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4725" windowHeight="17400" tabRatio="799" firstSheet="3" activeTab="8"/>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state="hidden" r:id="rId7"/>
    <sheet name="7. Weather Senstive Class" sheetId="29" r:id="rId8"/>
    <sheet name="8. KW and Non-Weather Sensitive" sheetId="46" r:id="rId9"/>
    <sheet name="9. Weather Adj LF" sheetId="32" r:id="rId10"/>
    <sheet name="10. CDM Adjustment" sheetId="42" r:id="rId11"/>
    <sheet name="10.1 CDM Allocation" sheetId="53" r:id="rId12"/>
    <sheet name="11. Final Load Forecast" sheetId="51" r:id="rId13"/>
    <sheet name="12. Analysis_ Avg Per Cust" sheetId="38" r:id="rId14"/>
    <sheet name="14. Winter Flag" sheetId="56" r:id="rId15"/>
    <sheet name="13. Analysis_Weather adj LF" sheetId="47" r:id="rId16"/>
  </sheets>
  <externalReferences>
    <externalReference r:id="rId17"/>
  </externalReferences>
  <definedNames>
    <definedName name="AllVariables">'5.Variables'!$B$120:$B$125</definedName>
    <definedName name="EBNUMBER">'[1]LDC Info'!$E$16</definedName>
    <definedName name="_xlnm.Print_Area" localSheetId="4">'5.Variables'!$A$10:$Z$132</definedName>
    <definedName name="RebaseYear">'[1]LDC Info'!$E$28</definedName>
    <definedName name="Variable1">'5.Variables'!$B$16</definedName>
    <definedName name="Variable2">'5.Variables'!$B$39</definedName>
    <definedName name="Variable3">'5.Variables'!$B$62</definedName>
    <definedName name="Variable5">'5.Variables'!$B$90</definedName>
    <definedName name="Variable6">'5.Variables'!$B$104</definedName>
  </definedNames>
  <calcPr calcId="152511"/>
</workbook>
</file>

<file path=xl/calcChain.xml><?xml version="1.0" encoding="utf-8"?>
<calcChain xmlns="http://schemas.openxmlformats.org/spreadsheetml/2006/main">
  <c r="AD31" i="29" l="1"/>
  <c r="V31" i="29"/>
  <c r="N31" i="29"/>
  <c r="F31" i="29"/>
  <c r="G32" i="46" l="1"/>
  <c r="F32" i="29" l="1"/>
  <c r="N32" i="29"/>
  <c r="F30" i="46" l="1"/>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20" i="4"/>
  <c r="C21" i="29" l="1"/>
  <c r="R37" i="6" l="1"/>
  <c r="C18" i="6"/>
  <c r="C19" i="6"/>
  <c r="I15" i="6"/>
  <c r="AK28" i="46" l="1"/>
  <c r="AK30" i="46"/>
  <c r="AK29" i="46"/>
  <c r="AK27" i="46"/>
  <c r="AK26" i="46"/>
  <c r="AK25" i="46"/>
  <c r="AK24" i="46"/>
  <c r="AK23" i="46"/>
  <c r="AK22" i="46"/>
  <c r="AK21" i="46"/>
  <c r="G24" i="6"/>
  <c r="G23" i="6"/>
  <c r="AH30" i="46"/>
  <c r="AH29" i="46"/>
  <c r="AH28" i="46"/>
  <c r="AH27" i="46"/>
  <c r="AH26" i="46"/>
  <c r="AH25" i="46"/>
  <c r="AH24" i="46"/>
  <c r="AH23" i="46"/>
  <c r="AH22" i="46"/>
  <c r="AH21" i="46"/>
  <c r="AA24" i="46"/>
  <c r="U20" i="30"/>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B40" i="52"/>
  <c r="L20" i="4"/>
  <c r="L21" i="4"/>
  <c r="L22" i="4"/>
  <c r="L23" i="4"/>
  <c r="L24" i="4"/>
  <c r="L25" i="4"/>
  <c r="L26" i="4"/>
  <c r="L27" i="4"/>
  <c r="L28" i="4"/>
  <c r="L29" i="4"/>
  <c r="L30" i="4"/>
  <c r="L31" i="4"/>
  <c r="B18" i="52"/>
  <c r="K140" i="4" l="1"/>
  <c r="A21" i="4"/>
  <c r="X21" i="46"/>
  <c r="Z21" i="46" s="1"/>
  <c r="AR30" i="46"/>
  <c r="AR29" i="46"/>
  <c r="AT29" i="46" s="1"/>
  <c r="AR28" i="46"/>
  <c r="AT28" i="46" s="1"/>
  <c r="AR27" i="46"/>
  <c r="AT27" i="46" s="1"/>
  <c r="AR26" i="46"/>
  <c r="AT26" i="46" s="1"/>
  <c r="AR25" i="46"/>
  <c r="AT25" i="46" s="1"/>
  <c r="AR24" i="46"/>
  <c r="AT24" i="46" s="1"/>
  <c r="AR23" i="46"/>
  <c r="AT23" i="46" s="1"/>
  <c r="AR22" i="46"/>
  <c r="AT22" i="46" s="1"/>
  <c r="AR21" i="46"/>
  <c r="AT21" i="46" s="1"/>
  <c r="AJ29" i="46"/>
  <c r="AJ28" i="46"/>
  <c r="AJ27" i="46"/>
  <c r="AJ26" i="46"/>
  <c r="AJ25" i="46"/>
  <c r="AJ24" i="46"/>
  <c r="AJ23" i="46"/>
  <c r="AJ22" i="46"/>
  <c r="AJ21" i="46"/>
  <c r="X30" i="46"/>
  <c r="X29" i="46"/>
  <c r="Z29" i="46" s="1"/>
  <c r="X28" i="46"/>
  <c r="Z28" i="46" s="1"/>
  <c r="X27" i="46"/>
  <c r="Z27" i="46" s="1"/>
  <c r="X26" i="46"/>
  <c r="Z26" i="46" s="1"/>
  <c r="X25" i="46"/>
  <c r="Z25" i="46" s="1"/>
  <c r="X24" i="46"/>
  <c r="Z24" i="46" s="1"/>
  <c r="X23" i="46"/>
  <c r="Z23" i="46" s="1"/>
  <c r="X22" i="46"/>
  <c r="Z22" i="46" s="1"/>
  <c r="N30" i="46"/>
  <c r="N29" i="46"/>
  <c r="P29" i="46" s="1"/>
  <c r="N28" i="46"/>
  <c r="P28" i="46" s="1"/>
  <c r="N27" i="46"/>
  <c r="P27" i="46" s="1"/>
  <c r="N26" i="46"/>
  <c r="P26" i="46" s="1"/>
  <c r="N25" i="46"/>
  <c r="P25" i="46" s="1"/>
  <c r="N24" i="46"/>
  <c r="P24" i="46" s="1"/>
  <c r="N23" i="46"/>
  <c r="P23" i="46" s="1"/>
  <c r="N22" i="46"/>
  <c r="P22" i="46" s="1"/>
  <c r="N21" i="46"/>
  <c r="P21" i="46" s="1"/>
  <c r="C30" i="46"/>
  <c r="C29" i="46"/>
  <c r="E29" i="46" s="1"/>
  <c r="C28" i="46"/>
  <c r="E28" i="46" s="1"/>
  <c r="C27" i="46"/>
  <c r="E27" i="46" s="1"/>
  <c r="C26" i="46"/>
  <c r="E26" i="46" s="1"/>
  <c r="C25" i="46"/>
  <c r="E25" i="46" s="1"/>
  <c r="C24" i="46"/>
  <c r="E24" i="46" s="1"/>
  <c r="C23" i="46"/>
  <c r="E23" i="46" s="1"/>
  <c r="C22" i="46"/>
  <c r="E22" i="46" s="1"/>
  <c r="C21" i="46"/>
  <c r="E21" i="46" s="1"/>
  <c r="N34" i="53"/>
  <c r="I19" i="53"/>
  <c r="I37" i="53" s="1"/>
  <c r="H19" i="53"/>
  <c r="H37" i="53" s="1"/>
  <c r="G19" i="53"/>
  <c r="G37" i="53" s="1"/>
  <c r="F19" i="53"/>
  <c r="F37" i="53" s="1"/>
  <c r="E19" i="53"/>
  <c r="E37" i="53" s="1"/>
  <c r="B74" i="32"/>
  <c r="F74" i="32" s="1"/>
  <c r="AU30" i="46"/>
  <c r="AU29" i="46"/>
  <c r="AU28" i="46"/>
  <c r="AU27" i="46"/>
  <c r="AY27" i="46" s="1"/>
  <c r="AU26" i="46"/>
  <c r="AU25" i="46"/>
  <c r="AU24" i="46"/>
  <c r="AU23" i="46"/>
  <c r="AY23" i="46" s="1"/>
  <c r="AU22" i="46"/>
  <c r="AU21" i="46"/>
  <c r="AQ47" i="46"/>
  <c r="AO21" i="46" l="1"/>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Z30" i="46"/>
  <c r="AJ30" i="46"/>
  <c r="P30" i="46"/>
  <c r="E30" i="46"/>
  <c r="AT30" i="46"/>
  <c r="AY28" i="46"/>
  <c r="AY29" i="46"/>
  <c r="AY25" i="46"/>
  <c r="AY26" i="46"/>
  <c r="AY21" i="46"/>
  <c r="AY24" i="46"/>
  <c r="AY22" i="46"/>
  <c r="AY30" i="46"/>
  <c r="AY34" i="46" l="1"/>
  <c r="F89" i="42"/>
  <c r="E89" i="42"/>
  <c r="D89" i="42"/>
  <c r="E87" i="42"/>
  <c r="D87" i="42"/>
  <c r="C87" i="42"/>
  <c r="E71" i="42"/>
  <c r="G71" i="42" s="1"/>
  <c r="D71" i="42"/>
  <c r="I54" i="42"/>
  <c r="B53" i="42"/>
  <c r="B52" i="42"/>
  <c r="B51" i="42"/>
  <c r="B50" i="42"/>
  <c r="B49" i="42"/>
  <c r="C48" i="42"/>
  <c r="G91" i="42" s="1"/>
  <c r="B48" i="42"/>
  <c r="E30" i="42"/>
  <c r="D30" i="42"/>
  <c r="C30" i="42"/>
  <c r="F29" i="42"/>
  <c r="D93" i="42" l="1"/>
  <c r="H89" i="42"/>
  <c r="E93" i="42"/>
  <c r="F71" i="42"/>
  <c r="C54" i="42"/>
  <c r="C40" i="42"/>
  <c r="C46" i="42" s="1"/>
  <c r="D49" i="42"/>
  <c r="I49" i="42" s="1"/>
  <c r="F87" i="42"/>
  <c r="F93" i="42" s="1"/>
  <c r="F30" i="42"/>
  <c r="G29" i="42"/>
  <c r="G30" i="42" s="1"/>
  <c r="I91" i="42"/>
  <c r="I48" i="42"/>
  <c r="G93" i="42" l="1"/>
  <c r="I93" i="42" s="1"/>
  <c r="L34" i="53" s="1"/>
  <c r="I40" i="42"/>
  <c r="E50" i="42"/>
  <c r="D41" i="42"/>
  <c r="D46" i="42" s="1"/>
  <c r="D54" i="42"/>
  <c r="H87" i="42"/>
  <c r="F20" i="42"/>
  <c r="E20" i="42"/>
  <c r="D21" i="42"/>
  <c r="D20" i="42"/>
  <c r="F22" i="42"/>
  <c r="C20" i="42"/>
  <c r="F21" i="42"/>
  <c r="E22" i="42"/>
  <c r="E21" i="42"/>
  <c r="F23" i="42"/>
  <c r="G23" i="42" s="1"/>
  <c r="D24" i="42" l="1"/>
  <c r="I41" i="42"/>
  <c r="E42" i="42"/>
  <c r="F51" i="42"/>
  <c r="I50" i="42"/>
  <c r="E54" i="42"/>
  <c r="G21" i="42"/>
  <c r="E24" i="42"/>
  <c r="G22" i="42"/>
  <c r="C24" i="42"/>
  <c r="G20" i="42"/>
  <c r="F24" i="42"/>
  <c r="F43" i="42" l="1"/>
  <c r="I51" i="42"/>
  <c r="F54" i="42"/>
  <c r="G52" i="42"/>
  <c r="E46" i="42"/>
  <c r="I42" i="42"/>
  <c r="G24" i="42"/>
  <c r="B65" i="32"/>
  <c r="F65" i="32" s="1"/>
  <c r="B66" i="32"/>
  <c r="F66" i="32" s="1"/>
  <c r="B67" i="32"/>
  <c r="F67" i="32" s="1"/>
  <c r="B68" i="32"/>
  <c r="F68" i="32" s="1"/>
  <c r="B69" i="32"/>
  <c r="F69" i="32" s="1"/>
  <c r="B70" i="32"/>
  <c r="F70" i="32" s="1"/>
  <c r="B71" i="32"/>
  <c r="F71" i="32" s="1"/>
  <c r="B72" i="32"/>
  <c r="F72" i="32" s="1"/>
  <c r="B73" i="32"/>
  <c r="F73" i="32" s="1"/>
  <c r="AA30" i="46"/>
  <c r="AA29" i="46"/>
  <c r="AA28" i="46"/>
  <c r="AA27" i="46"/>
  <c r="AA26" i="46"/>
  <c r="AA25" i="46"/>
  <c r="AE25" i="46" s="1"/>
  <c r="AA23" i="46"/>
  <c r="AE23" i="46" s="1"/>
  <c r="AA22" i="46"/>
  <c r="AE22" i="46" s="1"/>
  <c r="AA21" i="46"/>
  <c r="AE21" i="46" s="1"/>
  <c r="AE24" i="46"/>
  <c r="AO22" i="46"/>
  <c r="AO24" i="46"/>
  <c r="AO25" i="46"/>
  <c r="AO23" i="46"/>
  <c r="AO26" i="46"/>
  <c r="AG47" i="46"/>
  <c r="W47" i="46"/>
  <c r="M47" i="46"/>
  <c r="B47" i="46"/>
  <c r="V37" i="6"/>
  <c r="V36" i="6"/>
  <c r="C16" i="32" l="1"/>
  <c r="E17" i="32"/>
  <c r="E21" i="32"/>
  <c r="W37" i="6"/>
  <c r="M41" i="32"/>
  <c r="E41" i="32"/>
  <c r="D39" i="51" s="1"/>
  <c r="G37" i="32"/>
  <c r="F35" i="51" s="1"/>
  <c r="I33" i="32"/>
  <c r="H31" i="51" s="1"/>
  <c r="K29" i="32"/>
  <c r="J27" i="51" s="1"/>
  <c r="K41" i="32"/>
  <c r="J39" i="51" s="1"/>
  <c r="E37" i="32"/>
  <c r="D35" i="51" s="1"/>
  <c r="I29" i="32"/>
  <c r="H27" i="51" s="1"/>
  <c r="H37" i="32"/>
  <c r="G35" i="51" s="1"/>
  <c r="L41" i="32"/>
  <c r="N37" i="32"/>
  <c r="F37" i="32"/>
  <c r="E35" i="51" s="1"/>
  <c r="H33" i="32"/>
  <c r="G31" i="51" s="1"/>
  <c r="J29" i="32"/>
  <c r="I27" i="51" s="1"/>
  <c r="F68" i="47" s="1"/>
  <c r="M37" i="32"/>
  <c r="G33" i="32"/>
  <c r="F31" i="51" s="1"/>
  <c r="F41" i="32"/>
  <c r="E39" i="51" s="1"/>
  <c r="L29" i="32"/>
  <c r="J41" i="32"/>
  <c r="I39" i="51" s="1"/>
  <c r="L37" i="32"/>
  <c r="N33" i="32"/>
  <c r="F33" i="32"/>
  <c r="E31" i="51" s="1"/>
  <c r="H29" i="32"/>
  <c r="G27" i="51" s="1"/>
  <c r="I41" i="32"/>
  <c r="H39" i="51" s="1"/>
  <c r="K37" i="32"/>
  <c r="J35" i="51" s="1"/>
  <c r="M33" i="32"/>
  <c r="E33" i="32"/>
  <c r="D31" i="51" s="1"/>
  <c r="G29" i="32"/>
  <c r="F27" i="51" s="1"/>
  <c r="H41" i="32"/>
  <c r="G39" i="51" s="1"/>
  <c r="J37" i="32"/>
  <c r="I35" i="51" s="1"/>
  <c r="L33" i="32"/>
  <c r="N29" i="32"/>
  <c r="F29" i="32"/>
  <c r="E27" i="51" s="1"/>
  <c r="G41" i="32"/>
  <c r="F39" i="51" s="1"/>
  <c r="I37" i="32"/>
  <c r="H35" i="51" s="1"/>
  <c r="K33" i="32"/>
  <c r="J31" i="51" s="1"/>
  <c r="M29" i="32"/>
  <c r="E29" i="32"/>
  <c r="D27" i="51" s="1"/>
  <c r="N41" i="32"/>
  <c r="J33" i="32"/>
  <c r="I31" i="51" s="1"/>
  <c r="H42" i="32"/>
  <c r="G40" i="51" s="1"/>
  <c r="L38" i="32"/>
  <c r="L22" i="32"/>
  <c r="P18" i="32"/>
  <c r="H18" i="32"/>
  <c r="G16" i="51" s="1"/>
  <c r="N42" i="32"/>
  <c r="E42" i="32"/>
  <c r="D40" i="51" s="1"/>
  <c r="H38" i="32"/>
  <c r="G36" i="51" s="1"/>
  <c r="J22" i="32"/>
  <c r="I20" i="51" s="1"/>
  <c r="M18" i="32"/>
  <c r="M42" i="32"/>
  <c r="G38" i="32"/>
  <c r="F36" i="51" s="1"/>
  <c r="I22" i="32"/>
  <c r="H20" i="51" s="1"/>
  <c r="L18" i="32"/>
  <c r="L42" i="32"/>
  <c r="F38" i="32"/>
  <c r="E36" i="51" s="1"/>
  <c r="H22" i="32"/>
  <c r="G20" i="51" s="1"/>
  <c r="K18" i="32"/>
  <c r="J16" i="51" s="1"/>
  <c r="J42" i="32"/>
  <c r="I40" i="51" s="1"/>
  <c r="M38" i="32"/>
  <c r="O22" i="32"/>
  <c r="F22" i="32"/>
  <c r="E20" i="51" s="1"/>
  <c r="I18" i="32"/>
  <c r="H16" i="51" s="1"/>
  <c r="J38" i="32"/>
  <c r="I36" i="51" s="1"/>
  <c r="O18" i="32"/>
  <c r="E38" i="32"/>
  <c r="D36" i="51" s="1"/>
  <c r="P22" i="32"/>
  <c r="I40" i="53" s="1"/>
  <c r="G42" i="32"/>
  <c r="F40" i="51" s="1"/>
  <c r="F18" i="32"/>
  <c r="E16" i="51" s="1"/>
  <c r="E18" i="32"/>
  <c r="I38" i="32"/>
  <c r="H36" i="51" s="1"/>
  <c r="N18" i="32"/>
  <c r="K42" i="32"/>
  <c r="J40" i="51" s="1"/>
  <c r="J18" i="32"/>
  <c r="I16" i="51" s="1"/>
  <c r="F42" i="32"/>
  <c r="E40" i="51" s="1"/>
  <c r="K22" i="32"/>
  <c r="J20" i="51" s="1"/>
  <c r="I42" i="32"/>
  <c r="H40" i="51" s="1"/>
  <c r="N22" i="32"/>
  <c r="G18" i="32"/>
  <c r="M22" i="32"/>
  <c r="N38" i="32"/>
  <c r="G22" i="32"/>
  <c r="F20" i="51" s="1"/>
  <c r="K38" i="32"/>
  <c r="J36" i="51" s="1"/>
  <c r="E22" i="32"/>
  <c r="D20" i="51" s="1"/>
  <c r="AE30" i="46"/>
  <c r="C28" i="32"/>
  <c r="C20" i="32"/>
  <c r="C36" i="32"/>
  <c r="C32" i="32"/>
  <c r="C24" i="32"/>
  <c r="C40" i="32"/>
  <c r="AE28" i="46"/>
  <c r="AE29" i="46"/>
  <c r="AO28" i="46"/>
  <c r="AO27" i="46"/>
  <c r="AO29" i="46"/>
  <c r="AO30" i="46"/>
  <c r="G44" i="42"/>
  <c r="H53" i="42"/>
  <c r="G54" i="42"/>
  <c r="I52" i="42"/>
  <c r="I43" i="42"/>
  <c r="F46" i="42"/>
  <c r="AE26" i="46"/>
  <c r="AE27" i="46"/>
  <c r="Q30" i="46"/>
  <c r="Q29" i="46"/>
  <c r="Q28" i="46"/>
  <c r="Q27" i="46"/>
  <c r="Q26" i="46"/>
  <c r="Q25" i="46"/>
  <c r="Q24" i="46"/>
  <c r="Q23" i="46"/>
  <c r="Q22" i="46"/>
  <c r="Q21" i="46"/>
  <c r="N26" i="32"/>
  <c r="F29" i="46"/>
  <c r="M26" i="32" s="1"/>
  <c r="F28" i="46"/>
  <c r="L26" i="32" s="1"/>
  <c r="F27" i="46"/>
  <c r="K26" i="32" s="1"/>
  <c r="J24" i="51" s="1"/>
  <c r="F26" i="46"/>
  <c r="J26" i="32" s="1"/>
  <c r="I24" i="51" s="1"/>
  <c r="F25" i="46"/>
  <c r="I26" i="32" s="1"/>
  <c r="H24" i="51" s="1"/>
  <c r="F24" i="46"/>
  <c r="H26" i="32" s="1"/>
  <c r="G24" i="51" s="1"/>
  <c r="F23" i="46"/>
  <c r="G26" i="32" s="1"/>
  <c r="F24" i="51" s="1"/>
  <c r="F22" i="46"/>
  <c r="F26" i="32" s="1"/>
  <c r="E24" i="51" s="1"/>
  <c r="F21" i="46"/>
  <c r="E26" i="32" s="1"/>
  <c r="D24" i="51" s="1"/>
  <c r="AI30" i="29"/>
  <c r="AI29" i="29"/>
  <c r="AI28" i="29"/>
  <c r="AI27" i="29"/>
  <c r="AI26" i="29"/>
  <c r="AI25" i="29"/>
  <c r="AI24" i="29"/>
  <c r="AI23" i="29"/>
  <c r="AI22" i="29"/>
  <c r="AI21" i="29"/>
  <c r="AA21" i="29"/>
  <c r="AH40" i="29"/>
  <c r="N37" i="6"/>
  <c r="P37" i="6"/>
  <c r="L37" i="6"/>
  <c r="H37" i="6"/>
  <c r="F37" i="6"/>
  <c r="D37" i="6"/>
  <c r="J37" i="6"/>
  <c r="AA30" i="29"/>
  <c r="AA29" i="29"/>
  <c r="AA28" i="29"/>
  <c r="AA27" i="29"/>
  <c r="AA26" i="29"/>
  <c r="AA25" i="29"/>
  <c r="AA24" i="29"/>
  <c r="AA23" i="29"/>
  <c r="AA22" i="29"/>
  <c r="S30" i="29"/>
  <c r="S29" i="29"/>
  <c r="S28" i="29"/>
  <c r="S27" i="29"/>
  <c r="S26" i="29"/>
  <c r="S25" i="29"/>
  <c r="S24" i="29"/>
  <c r="S23" i="29"/>
  <c r="S22" i="29"/>
  <c r="S21" i="29"/>
  <c r="K30" i="29"/>
  <c r="N21" i="32" s="1"/>
  <c r="K29" i="29"/>
  <c r="M21" i="32" s="1"/>
  <c r="K28" i="29"/>
  <c r="L21" i="32" s="1"/>
  <c r="K26" i="29"/>
  <c r="J21" i="32" s="1"/>
  <c r="K27" i="29"/>
  <c r="K21" i="32" s="1"/>
  <c r="K25" i="29"/>
  <c r="I21" i="32" s="1"/>
  <c r="K24" i="29"/>
  <c r="H21" i="32" s="1"/>
  <c r="K23" i="29"/>
  <c r="G21" i="32" s="1"/>
  <c r="K22" i="29"/>
  <c r="F21" i="32" s="1"/>
  <c r="K21" i="29"/>
  <c r="C30" i="29"/>
  <c r="N17" i="32" s="1"/>
  <c r="C29" i="29"/>
  <c r="M17" i="32" s="1"/>
  <c r="C28" i="29"/>
  <c r="L17" i="32" s="1"/>
  <c r="C27" i="29"/>
  <c r="K17" i="32" s="1"/>
  <c r="C26" i="29"/>
  <c r="J17" i="32" s="1"/>
  <c r="C25" i="29"/>
  <c r="I17" i="32" s="1"/>
  <c r="C24" i="29"/>
  <c r="H17" i="32" s="1"/>
  <c r="C23" i="29"/>
  <c r="G17" i="32" s="1"/>
  <c r="C22" i="29"/>
  <c r="F17" i="32" s="1"/>
  <c r="M26" i="6"/>
  <c r="M25" i="6"/>
  <c r="R29" i="46" s="1"/>
  <c r="M24" i="6"/>
  <c r="R28" i="46" s="1"/>
  <c r="M23" i="6"/>
  <c r="R27" i="46" s="1"/>
  <c r="M22" i="6"/>
  <c r="R26" i="46" s="1"/>
  <c r="M21" i="6"/>
  <c r="R25" i="46" s="1"/>
  <c r="M20" i="6"/>
  <c r="R24" i="46" s="1"/>
  <c r="M19" i="6"/>
  <c r="R23" i="46" s="1"/>
  <c r="M18" i="6"/>
  <c r="R22" i="46" s="1"/>
  <c r="M17" i="6"/>
  <c r="R21" i="46" s="1"/>
  <c r="O26" i="6"/>
  <c r="AB30" i="46" s="1"/>
  <c r="AD30" i="46" s="1"/>
  <c r="O25" i="6"/>
  <c r="AB29" i="46" s="1"/>
  <c r="AC29" i="46" s="1"/>
  <c r="O24" i="6"/>
  <c r="AB28" i="46" s="1"/>
  <c r="AC28" i="46" s="1"/>
  <c r="O23" i="6"/>
  <c r="AB27" i="46" s="1"/>
  <c r="AC27" i="46" s="1"/>
  <c r="O22" i="6"/>
  <c r="AB26" i="46" s="1"/>
  <c r="AD26" i="46" s="1"/>
  <c r="O21" i="6"/>
  <c r="AB25" i="46" s="1"/>
  <c r="AC25" i="46" s="1"/>
  <c r="O20" i="6"/>
  <c r="AB24" i="46" s="1"/>
  <c r="AC24" i="46" s="1"/>
  <c r="O19" i="6"/>
  <c r="AB23" i="46" s="1"/>
  <c r="AC23" i="46" s="1"/>
  <c r="O18" i="6"/>
  <c r="AB22" i="46" s="1"/>
  <c r="AC22" i="46" s="1"/>
  <c r="O17" i="6"/>
  <c r="AB21" i="46" s="1"/>
  <c r="AD21" i="46" s="1"/>
  <c r="K26" i="6"/>
  <c r="K25" i="6"/>
  <c r="G29" i="46" s="1"/>
  <c r="K24" i="6"/>
  <c r="G28" i="46" s="1"/>
  <c r="K23" i="6"/>
  <c r="G27" i="46" s="1"/>
  <c r="K22" i="6"/>
  <c r="G26" i="46" s="1"/>
  <c r="K21" i="6"/>
  <c r="G25" i="46" s="1"/>
  <c r="K20" i="6"/>
  <c r="G24" i="46" s="1"/>
  <c r="K19" i="6"/>
  <c r="G23" i="46" s="1"/>
  <c r="K18" i="6"/>
  <c r="G22" i="46" s="1"/>
  <c r="K17" i="6"/>
  <c r="G21" i="46" s="1"/>
  <c r="G17" i="6"/>
  <c r="AV21" i="46" s="1"/>
  <c r="G18" i="6"/>
  <c r="AV22" i="46" s="1"/>
  <c r="G19" i="6"/>
  <c r="AV23" i="46" s="1"/>
  <c r="G20" i="6"/>
  <c r="AV24" i="46" s="1"/>
  <c r="G21" i="6"/>
  <c r="AV25" i="46" s="1"/>
  <c r="G22" i="6"/>
  <c r="AV26" i="46" s="1"/>
  <c r="AV27" i="46"/>
  <c r="AV28" i="46"/>
  <c r="G25" i="6"/>
  <c r="AV29" i="46" s="1"/>
  <c r="G26" i="6"/>
  <c r="AV30" i="46" s="1"/>
  <c r="O15" i="6"/>
  <c r="M15" i="6"/>
  <c r="H30" i="32" l="1"/>
  <c r="G28" i="51" s="1"/>
  <c r="L30" i="32"/>
  <c r="E30" i="32"/>
  <c r="D28" i="51" s="1"/>
  <c r="H63" i="47" s="1"/>
  <c r="I30" i="32"/>
  <c r="H28" i="51" s="1"/>
  <c r="M30" i="32"/>
  <c r="L28" i="51" s="1"/>
  <c r="F30" i="32"/>
  <c r="E28" i="51" s="1"/>
  <c r="H64" i="47" s="1"/>
  <c r="J30" i="32"/>
  <c r="I28" i="51" s="1"/>
  <c r="N30" i="32"/>
  <c r="G44" i="53" s="1"/>
  <c r="G30" i="32"/>
  <c r="F28" i="51" s="1"/>
  <c r="H65" i="47" s="1"/>
  <c r="K30" i="32"/>
  <c r="J28" i="51" s="1"/>
  <c r="H69" i="47" s="1"/>
  <c r="K34" i="32"/>
  <c r="J32" i="51" s="1"/>
  <c r="H85" i="47" s="1"/>
  <c r="G34" i="32"/>
  <c r="F32" i="51" s="1"/>
  <c r="H81" i="47" s="1"/>
  <c r="E34" i="32"/>
  <c r="D32" i="51" s="1"/>
  <c r="H79" i="47" s="1"/>
  <c r="F34" i="32"/>
  <c r="E32" i="51" s="1"/>
  <c r="H80" i="47" s="1"/>
  <c r="N34" i="32"/>
  <c r="G46" i="53" s="1"/>
  <c r="I34" i="32"/>
  <c r="H32" i="51" s="1"/>
  <c r="H83" i="47" s="1"/>
  <c r="M34" i="32"/>
  <c r="L32" i="51" s="1"/>
  <c r="L34" i="32"/>
  <c r="K32" i="51" s="1"/>
  <c r="J34" i="32"/>
  <c r="I32" i="51" s="1"/>
  <c r="H84" i="47" s="1"/>
  <c r="H34" i="32"/>
  <c r="G32" i="51" s="1"/>
  <c r="H82" i="47" s="1"/>
  <c r="AW30" i="46"/>
  <c r="AX30" i="46"/>
  <c r="AW22" i="46"/>
  <c r="AX22" i="46"/>
  <c r="AW29" i="46"/>
  <c r="AX29" i="46"/>
  <c r="AW21" i="46"/>
  <c r="AX21" i="46"/>
  <c r="AW28" i="46"/>
  <c r="AX28" i="46"/>
  <c r="AW24" i="46"/>
  <c r="AX24" i="46"/>
  <c r="AW26" i="46"/>
  <c r="AX26" i="46"/>
  <c r="AW25" i="46"/>
  <c r="AX25" i="46"/>
  <c r="AW27" i="46"/>
  <c r="AW34" i="46" s="1"/>
  <c r="AU49" i="46" s="1"/>
  <c r="AX27" i="46"/>
  <c r="AW23" i="46"/>
  <c r="AX23" i="46"/>
  <c r="AE34" i="46"/>
  <c r="AD24" i="46"/>
  <c r="H21" i="46"/>
  <c r="N36" i="6"/>
  <c r="R30" i="46"/>
  <c r="T30" i="46" s="1"/>
  <c r="N21" i="6"/>
  <c r="N23" i="6"/>
  <c r="N19" i="6"/>
  <c r="AC26" i="46"/>
  <c r="AD25" i="46"/>
  <c r="AD28" i="46"/>
  <c r="AD29" i="46"/>
  <c r="N25" i="6"/>
  <c r="AC30" i="46"/>
  <c r="N18" i="6"/>
  <c r="AD27" i="46"/>
  <c r="AD22" i="46"/>
  <c r="AC21" i="46"/>
  <c r="N24" i="6"/>
  <c r="AD23" i="46"/>
  <c r="N20" i="6"/>
  <c r="N22" i="6"/>
  <c r="L36" i="6"/>
  <c r="G30" i="46"/>
  <c r="I30" i="46" s="1"/>
  <c r="H53" i="47"/>
  <c r="H67" i="47"/>
  <c r="H68" i="47"/>
  <c r="F42" i="53"/>
  <c r="L24" i="51"/>
  <c r="H48" i="47"/>
  <c r="K28" i="51"/>
  <c r="E44" i="53"/>
  <c r="H49" i="47"/>
  <c r="H51" i="47"/>
  <c r="H52" i="47"/>
  <c r="F69" i="47"/>
  <c r="B26" i="53"/>
  <c r="B44" i="53" s="1"/>
  <c r="B26" i="51"/>
  <c r="F97" i="47"/>
  <c r="F99" i="47"/>
  <c r="H66" i="47"/>
  <c r="H20" i="47"/>
  <c r="H113" i="47"/>
  <c r="H38" i="53"/>
  <c r="N16" i="51"/>
  <c r="K39" i="51"/>
  <c r="E32" i="53"/>
  <c r="F48" i="53"/>
  <c r="L36" i="51"/>
  <c r="G32" i="53"/>
  <c r="M39" i="51"/>
  <c r="F38" i="53"/>
  <c r="L16" i="51"/>
  <c r="G50" i="53"/>
  <c r="M40" i="51"/>
  <c r="F79" i="47"/>
  <c r="F117" i="47"/>
  <c r="F32" i="53"/>
  <c r="L39" i="51"/>
  <c r="F40" i="53"/>
  <c r="L20" i="51"/>
  <c r="H99" i="47"/>
  <c r="H19" i="47"/>
  <c r="H116" i="47"/>
  <c r="H21" i="47"/>
  <c r="K40" i="51"/>
  <c r="E50" i="53"/>
  <c r="E38" i="53"/>
  <c r="K16" i="51"/>
  <c r="F50" i="53"/>
  <c r="L40" i="51"/>
  <c r="H36" i="47"/>
  <c r="H18" i="47"/>
  <c r="E48" i="53"/>
  <c r="K36" i="51"/>
  <c r="F28" i="53"/>
  <c r="L31" i="51"/>
  <c r="B14" i="51"/>
  <c r="B20" i="53"/>
  <c r="B38" i="53" s="1"/>
  <c r="H31" i="47"/>
  <c r="H33" i="47"/>
  <c r="H115" i="47"/>
  <c r="H117" i="47"/>
  <c r="O15" i="38"/>
  <c r="C111" i="47"/>
  <c r="F111" i="47"/>
  <c r="H32" i="47"/>
  <c r="F83" i="47"/>
  <c r="H34" i="47"/>
  <c r="F85" i="47"/>
  <c r="H35" i="47"/>
  <c r="I38" i="53"/>
  <c r="H114" i="47"/>
  <c r="F80" i="47"/>
  <c r="B32" i="53"/>
  <c r="B50" i="53" s="1"/>
  <c r="H37" i="47"/>
  <c r="H100" i="47"/>
  <c r="H40" i="53"/>
  <c r="N20" i="51"/>
  <c r="H47" i="47"/>
  <c r="F66" i="47"/>
  <c r="E40" i="53"/>
  <c r="K20" i="51"/>
  <c r="G28" i="53"/>
  <c r="M31" i="51"/>
  <c r="H112" i="47"/>
  <c r="D16" i="51"/>
  <c r="E42" i="53"/>
  <c r="K24" i="51"/>
  <c r="F65" i="47"/>
  <c r="M28" i="51"/>
  <c r="F82" i="47"/>
  <c r="B28" i="53"/>
  <c r="B46" i="53" s="1"/>
  <c r="B30" i="51"/>
  <c r="H101" i="47"/>
  <c r="G48" i="53"/>
  <c r="M36" i="51"/>
  <c r="G30" i="53"/>
  <c r="M35" i="51"/>
  <c r="E26" i="53"/>
  <c r="K27" i="51"/>
  <c r="E28" i="53"/>
  <c r="K31" i="51"/>
  <c r="B30" i="53"/>
  <c r="B48" i="53" s="1"/>
  <c r="B34" i="51"/>
  <c r="F67" i="47"/>
  <c r="L35" i="51"/>
  <c r="F30" i="53"/>
  <c r="F16" i="51"/>
  <c r="G38" i="53"/>
  <c r="M16" i="51"/>
  <c r="F96" i="47"/>
  <c r="F98" i="47"/>
  <c r="F100" i="47"/>
  <c r="F101" i="47"/>
  <c r="F114" i="47"/>
  <c r="H98" i="47"/>
  <c r="B24" i="53"/>
  <c r="B42" i="53" s="1"/>
  <c r="B22" i="51"/>
  <c r="F95" i="47"/>
  <c r="H95" i="47"/>
  <c r="F64" i="47"/>
  <c r="G42" i="53"/>
  <c r="M24" i="51"/>
  <c r="H50" i="47"/>
  <c r="F81" i="47"/>
  <c r="F115" i="47"/>
  <c r="G26" i="53"/>
  <c r="M27" i="51"/>
  <c r="E30" i="53"/>
  <c r="K35" i="51"/>
  <c r="B22" i="53"/>
  <c r="B40" i="53" s="1"/>
  <c r="B18" i="51"/>
  <c r="F63" i="47"/>
  <c r="G40" i="53"/>
  <c r="M20" i="51"/>
  <c r="L27" i="51"/>
  <c r="F26" i="53"/>
  <c r="H16" i="47"/>
  <c r="F116" i="47"/>
  <c r="F112" i="47"/>
  <c r="H96" i="47"/>
  <c r="F113" i="47"/>
  <c r="H97" i="47"/>
  <c r="H111" i="47"/>
  <c r="P15" i="38"/>
  <c r="F84" i="47"/>
  <c r="H45" i="42"/>
  <c r="I53" i="42"/>
  <c r="H54" i="42"/>
  <c r="G46" i="42"/>
  <c r="I44" i="42"/>
  <c r="U21" i="46"/>
  <c r="T21" i="46"/>
  <c r="S21" i="46"/>
  <c r="U29" i="46"/>
  <c r="T29" i="46"/>
  <c r="S29" i="46"/>
  <c r="U22" i="46"/>
  <c r="T22" i="46"/>
  <c r="S22" i="46"/>
  <c r="U30" i="46"/>
  <c r="U23" i="46"/>
  <c r="T23" i="46"/>
  <c r="S23" i="46"/>
  <c r="U24" i="46"/>
  <c r="S24" i="46"/>
  <c r="T24" i="46"/>
  <c r="U25" i="46"/>
  <c r="T25" i="46"/>
  <c r="S25" i="46"/>
  <c r="U26" i="46"/>
  <c r="T26" i="46"/>
  <c r="S26" i="46"/>
  <c r="U27" i="46"/>
  <c r="T27" i="46"/>
  <c r="S27" i="46"/>
  <c r="U28" i="46"/>
  <c r="S28" i="46"/>
  <c r="T28" i="46"/>
  <c r="J28" i="46"/>
  <c r="H28" i="46"/>
  <c r="I28" i="46"/>
  <c r="I21" i="46"/>
  <c r="J29" i="46"/>
  <c r="H29" i="46"/>
  <c r="I29" i="46"/>
  <c r="J22" i="46"/>
  <c r="I22" i="46"/>
  <c r="H22" i="46"/>
  <c r="J30" i="46"/>
  <c r="J23" i="46"/>
  <c r="I23" i="46"/>
  <c r="H23" i="46"/>
  <c r="J24" i="46"/>
  <c r="I24" i="46"/>
  <c r="H24" i="46"/>
  <c r="J25" i="46"/>
  <c r="I25" i="46"/>
  <c r="H25" i="46"/>
  <c r="J26" i="46"/>
  <c r="H26" i="46"/>
  <c r="I26" i="46"/>
  <c r="J27" i="46"/>
  <c r="H27" i="46"/>
  <c r="I27" i="46"/>
  <c r="J21" i="46"/>
  <c r="AO34" i="46"/>
  <c r="N26" i="6"/>
  <c r="R20" i="30"/>
  <c r="O20" i="30"/>
  <c r="L20" i="30"/>
  <c r="J20" i="30"/>
  <c r="H20" i="30"/>
  <c r="Z40" i="29"/>
  <c r="F44" i="53" l="1"/>
  <c r="F46" i="53"/>
  <c r="F52" i="53" s="1"/>
  <c r="G58" i="32"/>
  <c r="M32" i="51"/>
  <c r="F58" i="32"/>
  <c r="AX34" i="46"/>
  <c r="AV49" i="46" s="1"/>
  <c r="E46" i="53"/>
  <c r="E52" i="53" s="1"/>
  <c r="E58" i="32"/>
  <c r="S30" i="46"/>
  <c r="AU50" i="46"/>
  <c r="AD34" i="46"/>
  <c r="AB49" i="46" s="1"/>
  <c r="AC34" i="46"/>
  <c r="AA49" i="46" s="1"/>
  <c r="H30" i="46"/>
  <c r="H34" i="46" s="1"/>
  <c r="F50" i="46" s="1"/>
  <c r="N28" i="6"/>
  <c r="M30" i="6" s="1"/>
  <c r="M31" i="6" s="1"/>
  <c r="M43" i="6" s="1"/>
  <c r="I21" i="47"/>
  <c r="I114" i="47"/>
  <c r="I19" i="47"/>
  <c r="G98" i="47"/>
  <c r="I117" i="47"/>
  <c r="G112" i="47"/>
  <c r="I100" i="47"/>
  <c r="G81" i="47"/>
  <c r="I96" i="47"/>
  <c r="G100" i="47"/>
  <c r="I84" i="47"/>
  <c r="G82" i="47"/>
  <c r="I112" i="47"/>
  <c r="I83" i="47"/>
  <c r="I115" i="47"/>
  <c r="I97" i="47"/>
  <c r="G99" i="47"/>
  <c r="G114" i="47"/>
  <c r="I37" i="47"/>
  <c r="I35" i="47"/>
  <c r="I33" i="47"/>
  <c r="F102" i="47"/>
  <c r="G102" i="47" s="1"/>
  <c r="H56" i="47"/>
  <c r="H102" i="47"/>
  <c r="H22" i="47"/>
  <c r="I22" i="47" s="1"/>
  <c r="H39" i="47"/>
  <c r="F104" i="47"/>
  <c r="L58" i="32"/>
  <c r="G116" i="47"/>
  <c r="F88" i="47"/>
  <c r="G83" i="47"/>
  <c r="F71" i="47"/>
  <c r="I98" i="47"/>
  <c r="I101" i="47"/>
  <c r="I81" i="47"/>
  <c r="H41" i="47"/>
  <c r="F87" i="47"/>
  <c r="H119" i="47"/>
  <c r="H23" i="47"/>
  <c r="H55" i="47"/>
  <c r="J58" i="32"/>
  <c r="H40" i="47"/>
  <c r="G96" i="47"/>
  <c r="F103" i="47"/>
  <c r="H86" i="47"/>
  <c r="I86" i="47" s="1"/>
  <c r="B77" i="47"/>
  <c r="K13" i="38"/>
  <c r="O13" i="38"/>
  <c r="B109" i="47"/>
  <c r="I34" i="47"/>
  <c r="I116" i="47"/>
  <c r="H88" i="47"/>
  <c r="F118" i="47"/>
  <c r="G118" i="47" s="1"/>
  <c r="I58" i="32"/>
  <c r="H54" i="47"/>
  <c r="N38" i="53"/>
  <c r="M38" i="53"/>
  <c r="G115" i="47"/>
  <c r="F86" i="47"/>
  <c r="G86" i="47" s="1"/>
  <c r="H25" i="47"/>
  <c r="G13" i="38"/>
  <c r="B45" i="47"/>
  <c r="H24" i="47"/>
  <c r="F119" i="47"/>
  <c r="F120" i="47"/>
  <c r="G52" i="53"/>
  <c r="H118" i="47"/>
  <c r="I118" i="47" s="1"/>
  <c r="K58" i="32"/>
  <c r="I82" i="47"/>
  <c r="G113" i="47"/>
  <c r="F72" i="47"/>
  <c r="G101" i="47"/>
  <c r="B93" i="47"/>
  <c r="M13" i="38"/>
  <c r="I85" i="47"/>
  <c r="H72" i="47"/>
  <c r="H38" i="47"/>
  <c r="I38" i="47" s="1"/>
  <c r="G80" i="47"/>
  <c r="I32" i="47"/>
  <c r="H87" i="47"/>
  <c r="I99" i="47"/>
  <c r="H120" i="47"/>
  <c r="H103" i="47"/>
  <c r="I113" i="47"/>
  <c r="G97" i="47"/>
  <c r="H71" i="47"/>
  <c r="N58" i="32"/>
  <c r="M58" i="32"/>
  <c r="G84" i="47"/>
  <c r="B29" i="47"/>
  <c r="E13" i="38"/>
  <c r="I80" i="47"/>
  <c r="H104" i="47"/>
  <c r="H15" i="47"/>
  <c r="I16" i="47" s="1"/>
  <c r="H70" i="47"/>
  <c r="H17" i="47"/>
  <c r="I17" i="47" s="1"/>
  <c r="F70" i="47"/>
  <c r="G85" i="47"/>
  <c r="B13" i="47"/>
  <c r="C13" i="38"/>
  <c r="I36" i="47"/>
  <c r="G117" i="47"/>
  <c r="I20" i="47"/>
  <c r="B61" i="47"/>
  <c r="I13" i="38"/>
  <c r="H58" i="32"/>
  <c r="H46" i="42"/>
  <c r="I46" i="42" s="1"/>
  <c r="I45" i="42"/>
  <c r="I34" i="46"/>
  <c r="G49" i="46" s="1"/>
  <c r="U34" i="46"/>
  <c r="T34" i="46"/>
  <c r="J34" i="46"/>
  <c r="B125" i="52"/>
  <c r="B123" i="52"/>
  <c r="N42" i="6" l="1"/>
  <c r="AV50" i="46"/>
  <c r="M42" i="6"/>
  <c r="R31" i="46" s="1"/>
  <c r="P49" i="46" s="1"/>
  <c r="N43" i="6"/>
  <c r="AB50" i="46"/>
  <c r="R32" i="46"/>
  <c r="P50" i="46" s="1"/>
  <c r="AA50" i="46"/>
  <c r="G103" i="47"/>
  <c r="I120" i="47"/>
  <c r="G119" i="47"/>
  <c r="I87" i="47"/>
  <c r="I23" i="47"/>
  <c r="I18" i="47"/>
  <c r="I41" i="47"/>
  <c r="G88" i="47"/>
  <c r="I39" i="47"/>
  <c r="O38" i="53"/>
  <c r="O16" i="51" s="1"/>
  <c r="I119" i="47"/>
  <c r="I88" i="47"/>
  <c r="I25" i="47"/>
  <c r="I104" i="47"/>
  <c r="G120" i="47"/>
  <c r="G87" i="47"/>
  <c r="G104" i="47"/>
  <c r="I24" i="47"/>
  <c r="I40" i="47"/>
  <c r="I103" i="47"/>
  <c r="I102" i="47"/>
  <c r="F49" i="46"/>
  <c r="R49" i="46"/>
  <c r="R50" i="46"/>
  <c r="G50" i="46"/>
  <c r="H26" i="47" l="1"/>
  <c r="I26" i="47" s="1"/>
  <c r="M20" i="4" l="1"/>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M130" i="4"/>
  <c r="N130" i="4"/>
  <c r="M131" i="4"/>
  <c r="N131" i="4"/>
  <c r="M132" i="4"/>
  <c r="N132" i="4"/>
  <c r="M133" i="4"/>
  <c r="N133" i="4"/>
  <c r="M134" i="4"/>
  <c r="N134" i="4"/>
  <c r="M135" i="4"/>
  <c r="N135" i="4"/>
  <c r="M136" i="4"/>
  <c r="N136" i="4"/>
  <c r="M137" i="4"/>
  <c r="N137" i="4"/>
  <c r="M138" i="4"/>
  <c r="N138" i="4"/>
  <c r="M139" i="4"/>
  <c r="N139"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C177" i="4" l="1"/>
  <c r="D177" i="4"/>
  <c r="D179" i="4"/>
  <c r="C179" i="4"/>
  <c r="C178" i="4"/>
  <c r="D178" i="4"/>
  <c r="J36" i="6"/>
  <c r="L148" i="4" l="1"/>
  <c r="L160" i="4" s="1"/>
  <c r="L146" i="4"/>
  <c r="L158" i="4" s="1"/>
  <c r="L141" i="4"/>
  <c r="L153" i="4" s="1"/>
  <c r="L142" i="4"/>
  <c r="L154" i="4" s="1"/>
  <c r="L143" i="4"/>
  <c r="L155" i="4" s="1"/>
  <c r="L147" i="4"/>
  <c r="L159" i="4" s="1"/>
  <c r="L140" i="4"/>
  <c r="L145" i="4"/>
  <c r="L157" i="4" s="1"/>
  <c r="L150" i="4"/>
  <c r="L162" i="4" s="1"/>
  <c r="L149" i="4"/>
  <c r="L161" i="4" s="1"/>
  <c r="L144" i="4"/>
  <c r="L156" i="4" s="1"/>
  <c r="L151" i="4"/>
  <c r="L163" i="4" s="1"/>
  <c r="N146" i="4"/>
  <c r="N158" i="4" s="1"/>
  <c r="N142" i="4"/>
  <c r="N154" i="4" s="1"/>
  <c r="N150" i="4"/>
  <c r="N162" i="4" s="1"/>
  <c r="N144" i="4"/>
  <c r="N156" i="4" s="1"/>
  <c r="N141" i="4"/>
  <c r="N153" i="4" s="1"/>
  <c r="N143" i="4"/>
  <c r="N155" i="4" s="1"/>
  <c r="N151" i="4"/>
  <c r="N163" i="4" s="1"/>
  <c r="N148" i="4"/>
  <c r="N145" i="4"/>
  <c r="N157" i="4" s="1"/>
  <c r="N140" i="4"/>
  <c r="N152" i="4" s="1"/>
  <c r="N147" i="4"/>
  <c r="N159" i="4" s="1"/>
  <c r="N160" i="4"/>
  <c r="N149" i="4"/>
  <c r="N161" i="4" s="1"/>
  <c r="M143" i="4"/>
  <c r="M155" i="4" s="1"/>
  <c r="M151" i="4"/>
  <c r="M163" i="4" s="1"/>
  <c r="M150" i="4"/>
  <c r="M162" i="4" s="1"/>
  <c r="M141" i="4"/>
  <c r="M153" i="4" s="1"/>
  <c r="M148" i="4"/>
  <c r="M160" i="4" s="1"/>
  <c r="M145" i="4"/>
  <c r="M157" i="4" s="1"/>
  <c r="M142" i="4"/>
  <c r="M154" i="4" s="1"/>
  <c r="M147" i="4"/>
  <c r="M159" i="4" s="1"/>
  <c r="M144" i="4"/>
  <c r="M156" i="4" s="1"/>
  <c r="M140" i="4"/>
  <c r="M152" i="4" s="1"/>
  <c r="M149" i="4"/>
  <c r="M161" i="4" s="1"/>
  <c r="M146" i="4"/>
  <c r="M158" i="4" s="1"/>
  <c r="L152" i="4" l="1"/>
  <c r="J119" i="4"/>
  <c r="E22" i="6" l="1"/>
  <c r="C22" i="6"/>
  <c r="J43" i="6" l="1"/>
  <c r="J42" i="6"/>
  <c r="J20" i="4"/>
  <c r="S34" i="46" l="1"/>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20" i="4"/>
  <c r="J121" i="4"/>
  <c r="J122" i="4"/>
  <c r="J123" i="4"/>
  <c r="J124" i="4"/>
  <c r="J125" i="4"/>
  <c r="J126" i="4"/>
  <c r="J127" i="4"/>
  <c r="J128" i="4"/>
  <c r="J129" i="4"/>
  <c r="J130" i="4"/>
  <c r="J131" i="4"/>
  <c r="J132" i="4"/>
  <c r="J133" i="4"/>
  <c r="J134" i="4"/>
  <c r="J135" i="4"/>
  <c r="J136" i="4"/>
  <c r="J137" i="4"/>
  <c r="J138" i="4"/>
  <c r="J139" i="4"/>
  <c r="B124" i="52"/>
  <c r="B122" i="52"/>
  <c r="B121" i="52"/>
  <c r="B120" i="52"/>
  <c r="B36" i="52"/>
  <c r="B59" i="52" s="1"/>
  <c r="B73" i="52" s="1"/>
  <c r="B87" i="52" s="1"/>
  <c r="B101" i="52" s="1"/>
  <c r="B115" i="52" s="1"/>
  <c r="B20" i="52"/>
  <c r="B43" i="52" s="1"/>
  <c r="B41" i="52"/>
  <c r="B25" i="52"/>
  <c r="B48" i="52" s="1"/>
  <c r="B23" i="52"/>
  <c r="B46" i="52" s="1"/>
  <c r="B22" i="52"/>
  <c r="B45" i="52" s="1"/>
  <c r="B19" i="52"/>
  <c r="B42" i="52" s="1"/>
  <c r="B21" i="52"/>
  <c r="B44" i="52" s="1"/>
  <c r="B24" i="52"/>
  <c r="B47" i="52" s="1"/>
  <c r="B26" i="52"/>
  <c r="B49" i="52" s="1"/>
  <c r="B32" i="52"/>
  <c r="B55" i="52" s="1"/>
  <c r="B69" i="52" s="1"/>
  <c r="B83" i="52" s="1"/>
  <c r="B97" i="52" s="1"/>
  <c r="B111" i="52" s="1"/>
  <c r="B34" i="52"/>
  <c r="B57" i="52" s="1"/>
  <c r="B71" i="52" s="1"/>
  <c r="B85" i="52" s="1"/>
  <c r="B99" i="52" s="1"/>
  <c r="B113" i="52" s="1"/>
  <c r="B33" i="52"/>
  <c r="B56" i="52" s="1"/>
  <c r="B70" i="52" s="1"/>
  <c r="B84" i="52" s="1"/>
  <c r="B98" i="52" s="1"/>
  <c r="B112" i="52" s="1"/>
  <c r="B35" i="52"/>
  <c r="B58" i="52" s="1"/>
  <c r="B72" i="52" s="1"/>
  <c r="B86" i="52" s="1"/>
  <c r="B100" i="52" s="1"/>
  <c r="B114" i="52" s="1"/>
  <c r="B31" i="52"/>
  <c r="B54" i="52" s="1"/>
  <c r="B68" i="52" s="1"/>
  <c r="B82" i="52" s="1"/>
  <c r="B96" i="52" s="1"/>
  <c r="B110" i="52" s="1"/>
  <c r="B30" i="52"/>
  <c r="B53" i="52" s="1"/>
  <c r="B67" i="52" s="1"/>
  <c r="B81" i="52" s="1"/>
  <c r="B95" i="52" s="1"/>
  <c r="B109" i="52" s="1"/>
  <c r="B29" i="52"/>
  <c r="B52" i="52" s="1"/>
  <c r="B66" i="52" s="1"/>
  <c r="B80" i="52" s="1"/>
  <c r="B94" i="52" s="1"/>
  <c r="B108" i="52" s="1"/>
  <c r="B28" i="52"/>
  <c r="B51" i="52" s="1"/>
  <c r="B65" i="52" s="1"/>
  <c r="B79" i="52" s="1"/>
  <c r="B93" i="52" s="1"/>
  <c r="B107" i="52" s="1"/>
  <c r="B27" i="52"/>
  <c r="B50" i="52" s="1"/>
  <c r="B64" i="52" s="1"/>
  <c r="B78" i="52" s="1"/>
  <c r="Z27" i="52"/>
  <c r="Z28" i="52"/>
  <c r="Z29" i="52"/>
  <c r="Z30" i="52"/>
  <c r="Z31" i="52"/>
  <c r="V55" i="4" l="1"/>
  <c r="H65" i="46"/>
  <c r="H61" i="46"/>
  <c r="H63" i="46"/>
  <c r="H59" i="46"/>
  <c r="H67" i="46"/>
  <c r="H66" i="46"/>
  <c r="H64" i="46"/>
  <c r="H62" i="46"/>
  <c r="H60" i="46"/>
  <c r="Q50" i="46"/>
  <c r="Q49" i="46"/>
  <c r="B92" i="52"/>
  <c r="B106" i="52" s="1"/>
  <c r="D21" i="29"/>
  <c r="F21" i="29" s="1"/>
  <c r="V46" i="4"/>
  <c r="L21" i="29" l="1"/>
  <c r="B42" i="51"/>
  <c r="B46" i="51"/>
  <c r="B50" i="51"/>
  <c r="B44" i="32"/>
  <c r="B48" i="32"/>
  <c r="B52" i="32"/>
  <c r="B40" i="29"/>
  <c r="J40" i="29"/>
  <c r="R40" i="29"/>
  <c r="O20" i="4"/>
  <c r="P20" i="4"/>
  <c r="O21" i="4"/>
  <c r="P21" i="4"/>
  <c r="O22" i="4"/>
  <c r="P22" i="4"/>
  <c r="O23" i="4"/>
  <c r="P23" i="4"/>
  <c r="O24" i="4"/>
  <c r="P24" i="4"/>
  <c r="O25" i="4"/>
  <c r="P25" i="4"/>
  <c r="O26" i="4"/>
  <c r="P26" i="4"/>
  <c r="O27" i="4"/>
  <c r="P27" i="4"/>
  <c r="O28" i="4"/>
  <c r="P28" i="4"/>
  <c r="O29" i="4"/>
  <c r="P29" i="4"/>
  <c r="O30" i="4"/>
  <c r="P30" i="4"/>
  <c r="O31" i="4"/>
  <c r="P31" i="4"/>
  <c r="O32" i="4"/>
  <c r="P32" i="4"/>
  <c r="O33" i="4"/>
  <c r="P33" i="4"/>
  <c r="O34" i="4"/>
  <c r="P34" i="4"/>
  <c r="O35" i="4"/>
  <c r="P35" i="4"/>
  <c r="O36" i="4"/>
  <c r="P36" i="4"/>
  <c r="O37" i="4"/>
  <c r="P37" i="4"/>
  <c r="O38" i="4"/>
  <c r="P38" i="4"/>
  <c r="O39" i="4"/>
  <c r="P39" i="4"/>
  <c r="O40" i="4"/>
  <c r="P40" i="4"/>
  <c r="O41" i="4"/>
  <c r="P41" i="4"/>
  <c r="O42" i="4"/>
  <c r="P42" i="4"/>
  <c r="O43" i="4"/>
  <c r="P43" i="4"/>
  <c r="O44" i="4"/>
  <c r="P44" i="4"/>
  <c r="O45" i="4"/>
  <c r="P45" i="4"/>
  <c r="O46" i="4"/>
  <c r="P46" i="4"/>
  <c r="V59" i="4"/>
  <c r="O47" i="4"/>
  <c r="P47" i="4"/>
  <c r="V47" i="4"/>
  <c r="O48" i="4"/>
  <c r="P48" i="4"/>
  <c r="O49" i="4"/>
  <c r="P49" i="4"/>
  <c r="O50" i="4"/>
  <c r="P50" i="4"/>
  <c r="O51" i="4"/>
  <c r="P51" i="4"/>
  <c r="V48" i="4"/>
  <c r="O52" i="4"/>
  <c r="P52" i="4"/>
  <c r="O53" i="4"/>
  <c r="P53" i="4"/>
  <c r="O54" i="4"/>
  <c r="P54" i="4"/>
  <c r="O55" i="4"/>
  <c r="P55" i="4"/>
  <c r="O56" i="4"/>
  <c r="P56" i="4"/>
  <c r="O57" i="4"/>
  <c r="P57" i="4"/>
  <c r="O58" i="4"/>
  <c r="P58" i="4"/>
  <c r="O59" i="4"/>
  <c r="P59" i="4"/>
  <c r="O60" i="4"/>
  <c r="P60" i="4"/>
  <c r="O61" i="4"/>
  <c r="P61" i="4"/>
  <c r="O62" i="4"/>
  <c r="P62" i="4"/>
  <c r="O63" i="4"/>
  <c r="P63" i="4"/>
  <c r="O64" i="4"/>
  <c r="P64" i="4"/>
  <c r="O65" i="4"/>
  <c r="P65" i="4"/>
  <c r="O66" i="4"/>
  <c r="P66" i="4"/>
  <c r="O67" i="4"/>
  <c r="P67" i="4"/>
  <c r="O68" i="4"/>
  <c r="P68" i="4"/>
  <c r="O69" i="4"/>
  <c r="P69" i="4"/>
  <c r="O70" i="4"/>
  <c r="P70" i="4"/>
  <c r="O71" i="4"/>
  <c r="P71" i="4"/>
  <c r="O72" i="4"/>
  <c r="P72" i="4"/>
  <c r="O73" i="4"/>
  <c r="P73" i="4"/>
  <c r="O74" i="4"/>
  <c r="P74" i="4"/>
  <c r="O75" i="4"/>
  <c r="P75" i="4"/>
  <c r="O76" i="4"/>
  <c r="P76" i="4"/>
  <c r="O77" i="4"/>
  <c r="P77" i="4"/>
  <c r="O78" i="4"/>
  <c r="P78" i="4"/>
  <c r="O79" i="4"/>
  <c r="P79" i="4"/>
  <c r="V51" i="4"/>
  <c r="O80" i="4"/>
  <c r="P80" i="4"/>
  <c r="O81" i="4"/>
  <c r="P81" i="4"/>
  <c r="O82" i="4"/>
  <c r="P82" i="4"/>
  <c r="O83" i="4"/>
  <c r="P83" i="4"/>
  <c r="O84" i="4"/>
  <c r="P84" i="4"/>
  <c r="O85" i="4"/>
  <c r="P85" i="4"/>
  <c r="O86" i="4"/>
  <c r="P86" i="4"/>
  <c r="O87" i="4"/>
  <c r="P87" i="4"/>
  <c r="O88" i="4"/>
  <c r="P88" i="4"/>
  <c r="O89" i="4"/>
  <c r="P89" i="4"/>
  <c r="O90" i="4"/>
  <c r="P90" i="4"/>
  <c r="O91" i="4"/>
  <c r="P91" i="4"/>
  <c r="O92" i="4"/>
  <c r="P92" i="4"/>
  <c r="O93" i="4"/>
  <c r="P93" i="4"/>
  <c r="O94" i="4"/>
  <c r="P94" i="4"/>
  <c r="O95" i="4"/>
  <c r="P95" i="4"/>
  <c r="O96" i="4"/>
  <c r="P96" i="4"/>
  <c r="O97" i="4"/>
  <c r="P97" i="4"/>
  <c r="O98" i="4"/>
  <c r="P98" i="4"/>
  <c r="O99" i="4"/>
  <c r="P99" i="4"/>
  <c r="O100" i="4"/>
  <c r="P100" i="4"/>
  <c r="O101" i="4"/>
  <c r="P101" i="4"/>
  <c r="O102" i="4"/>
  <c r="P102" i="4"/>
  <c r="O103" i="4"/>
  <c r="P103" i="4"/>
  <c r="O104" i="4"/>
  <c r="P104" i="4"/>
  <c r="O105" i="4"/>
  <c r="P105" i="4"/>
  <c r="O106" i="4"/>
  <c r="P106" i="4"/>
  <c r="O107" i="4"/>
  <c r="P107" i="4"/>
  <c r="O108" i="4"/>
  <c r="P108" i="4"/>
  <c r="O109" i="4"/>
  <c r="P109" i="4"/>
  <c r="O110" i="4"/>
  <c r="P110" i="4"/>
  <c r="O111" i="4"/>
  <c r="P111" i="4"/>
  <c r="O112" i="4"/>
  <c r="P112" i="4"/>
  <c r="O113" i="4"/>
  <c r="P113" i="4"/>
  <c r="O114" i="4"/>
  <c r="P114" i="4"/>
  <c r="O115" i="4"/>
  <c r="P115" i="4"/>
  <c r="O116" i="4"/>
  <c r="P116" i="4"/>
  <c r="O117" i="4"/>
  <c r="P117" i="4"/>
  <c r="O118" i="4"/>
  <c r="P118" i="4"/>
  <c r="O119" i="4"/>
  <c r="P119" i="4"/>
  <c r="O120" i="4"/>
  <c r="P120" i="4"/>
  <c r="O121" i="4"/>
  <c r="P121" i="4"/>
  <c r="O122" i="4"/>
  <c r="P122" i="4"/>
  <c r="O123" i="4"/>
  <c r="P123" i="4"/>
  <c r="O124" i="4"/>
  <c r="P124" i="4"/>
  <c r="O125" i="4"/>
  <c r="P125" i="4"/>
  <c r="O126" i="4"/>
  <c r="P126" i="4"/>
  <c r="O127" i="4"/>
  <c r="P127" i="4"/>
  <c r="O128" i="4"/>
  <c r="P128" i="4"/>
  <c r="O129" i="4"/>
  <c r="P129" i="4"/>
  <c r="O130" i="4"/>
  <c r="P130" i="4"/>
  <c r="O131" i="4"/>
  <c r="P131" i="4"/>
  <c r="O132" i="4"/>
  <c r="P132" i="4"/>
  <c r="O133" i="4"/>
  <c r="P133" i="4"/>
  <c r="O134" i="4"/>
  <c r="P134" i="4"/>
  <c r="O135" i="4"/>
  <c r="P135" i="4"/>
  <c r="O136" i="4"/>
  <c r="P136" i="4"/>
  <c r="O137" i="4"/>
  <c r="P137" i="4"/>
  <c r="O138" i="4"/>
  <c r="P138" i="4"/>
  <c r="O139" i="4"/>
  <c r="P139" i="4"/>
  <c r="C15" i="6"/>
  <c r="E15" i="6"/>
  <c r="G15" i="6"/>
  <c r="K15" i="6"/>
  <c r="Q15" i="6"/>
  <c r="S15" i="6"/>
  <c r="B17" i="6"/>
  <c r="B21" i="29" s="1"/>
  <c r="C17" i="6"/>
  <c r="E17" i="6"/>
  <c r="AL21" i="46"/>
  <c r="AM21" i="46" s="1"/>
  <c r="B18" i="6"/>
  <c r="E18" i="6"/>
  <c r="H18" i="6"/>
  <c r="AL22" i="46"/>
  <c r="AM22" i="46" s="1"/>
  <c r="B19" i="6"/>
  <c r="E19" i="6"/>
  <c r="P19" i="6"/>
  <c r="AL23" i="46"/>
  <c r="AM23" i="46" s="1"/>
  <c r="B20" i="6"/>
  <c r="U62" i="4" s="1"/>
  <c r="C20" i="6"/>
  <c r="E20" i="6"/>
  <c r="AL24" i="46"/>
  <c r="AM24" i="46" s="1"/>
  <c r="B21" i="6"/>
  <c r="B25" i="29" s="1"/>
  <c r="C21" i="6"/>
  <c r="E21" i="6"/>
  <c r="L22" i="6"/>
  <c r="AL25" i="46"/>
  <c r="AM25" i="46" s="1"/>
  <c r="B22" i="6"/>
  <c r="B23" i="6"/>
  <c r="C23" i="6"/>
  <c r="E23" i="6"/>
  <c r="AL27" i="46"/>
  <c r="AM27" i="46" s="1"/>
  <c r="B24" i="6"/>
  <c r="C24" i="6"/>
  <c r="E24" i="6"/>
  <c r="AL28" i="46"/>
  <c r="AM28" i="46" s="1"/>
  <c r="B25" i="6"/>
  <c r="B29" i="46" s="1"/>
  <c r="C25" i="6"/>
  <c r="E25" i="6"/>
  <c r="AL29" i="46"/>
  <c r="AM29" i="46" s="1"/>
  <c r="B26" i="6"/>
  <c r="U55" i="4" s="1"/>
  <c r="C26" i="6"/>
  <c r="E26" i="6"/>
  <c r="AL30" i="46"/>
  <c r="AM30" i="46" s="1"/>
  <c r="B30" i="6"/>
  <c r="B31" i="6"/>
  <c r="B36" i="6"/>
  <c r="B37" i="6"/>
  <c r="D20" i="30"/>
  <c r="F20" i="30"/>
  <c r="X20" i="30"/>
  <c r="Z20" i="30"/>
  <c r="B25" i="30"/>
  <c r="B20" i="4" s="1"/>
  <c r="B26" i="30"/>
  <c r="B21" i="4" s="1"/>
  <c r="B27" i="30"/>
  <c r="B22" i="4" s="1"/>
  <c r="B28" i="30"/>
  <c r="B23" i="4" s="1"/>
  <c r="B29" i="30"/>
  <c r="B24" i="4" s="1"/>
  <c r="B30" i="30"/>
  <c r="B25" i="4" s="1"/>
  <c r="B31" i="30"/>
  <c r="B26" i="4" s="1"/>
  <c r="B32" i="30"/>
  <c r="B27" i="4" s="1"/>
  <c r="B33" i="30"/>
  <c r="B28" i="4" s="1"/>
  <c r="B34" i="30"/>
  <c r="B29" i="4" s="1"/>
  <c r="B35" i="30"/>
  <c r="B30" i="4" s="1"/>
  <c r="B36" i="30"/>
  <c r="B31" i="4" s="1"/>
  <c r="B37" i="30"/>
  <c r="B32" i="4" s="1"/>
  <c r="B38" i="30"/>
  <c r="B33" i="4" s="1"/>
  <c r="B39" i="30"/>
  <c r="B34" i="4" s="1"/>
  <c r="B40" i="30"/>
  <c r="B35" i="4" s="1"/>
  <c r="B41" i="30"/>
  <c r="B36" i="4" s="1"/>
  <c r="B42" i="30"/>
  <c r="B37" i="4" s="1"/>
  <c r="B43" i="30"/>
  <c r="B38" i="4" s="1"/>
  <c r="B44" i="30"/>
  <c r="B39" i="4" s="1"/>
  <c r="B45" i="30"/>
  <c r="B40" i="4" s="1"/>
  <c r="B46" i="30"/>
  <c r="B41" i="4" s="1"/>
  <c r="B47" i="30"/>
  <c r="B42" i="4" s="1"/>
  <c r="B48" i="30"/>
  <c r="B43" i="4" s="1"/>
  <c r="B49" i="30"/>
  <c r="B44" i="4" s="1"/>
  <c r="B50" i="30"/>
  <c r="B45" i="4" s="1"/>
  <c r="B51" i="30"/>
  <c r="B46" i="4" s="1"/>
  <c r="B52" i="30"/>
  <c r="B47" i="4" s="1"/>
  <c r="B53" i="30"/>
  <c r="B48" i="4" s="1"/>
  <c r="B54" i="30"/>
  <c r="B49" i="4" s="1"/>
  <c r="B55" i="30"/>
  <c r="B50" i="4" s="1"/>
  <c r="B56" i="30"/>
  <c r="B51" i="4" s="1"/>
  <c r="B57" i="30"/>
  <c r="B52" i="4" s="1"/>
  <c r="B58" i="30"/>
  <c r="B53" i="4" s="1"/>
  <c r="B59" i="30"/>
  <c r="B54" i="4" s="1"/>
  <c r="B60" i="30"/>
  <c r="B55" i="4" s="1"/>
  <c r="B61" i="30"/>
  <c r="B56" i="4" s="1"/>
  <c r="B62" i="30"/>
  <c r="B57" i="4" s="1"/>
  <c r="B63" i="30"/>
  <c r="B58" i="4" s="1"/>
  <c r="B64" i="30"/>
  <c r="B59" i="4" s="1"/>
  <c r="B65" i="30"/>
  <c r="B60" i="4" s="1"/>
  <c r="B66" i="30"/>
  <c r="B61" i="4" s="1"/>
  <c r="B67" i="30"/>
  <c r="B62" i="4" s="1"/>
  <c r="B68" i="30"/>
  <c r="B63" i="4" s="1"/>
  <c r="B69" i="30"/>
  <c r="B64" i="4" s="1"/>
  <c r="B70" i="30"/>
  <c r="B65" i="4" s="1"/>
  <c r="B71" i="30"/>
  <c r="B66" i="4" s="1"/>
  <c r="B72" i="30"/>
  <c r="B67" i="4" s="1"/>
  <c r="B73" i="30"/>
  <c r="B68" i="4" s="1"/>
  <c r="B74" i="30"/>
  <c r="B69" i="4" s="1"/>
  <c r="B75" i="30"/>
  <c r="B70" i="4" s="1"/>
  <c r="B76" i="30"/>
  <c r="B71" i="4" s="1"/>
  <c r="B77" i="30"/>
  <c r="B72" i="4" s="1"/>
  <c r="B78" i="30"/>
  <c r="B73" i="4" s="1"/>
  <c r="B79" i="30"/>
  <c r="B74" i="4" s="1"/>
  <c r="B80" i="30"/>
  <c r="B75" i="4" s="1"/>
  <c r="B81" i="30"/>
  <c r="B76" i="4" s="1"/>
  <c r="B82" i="30"/>
  <c r="B77" i="4" s="1"/>
  <c r="B83" i="30"/>
  <c r="B78" i="4" s="1"/>
  <c r="B84" i="30"/>
  <c r="B79" i="4" s="1"/>
  <c r="B85" i="30"/>
  <c r="B80" i="4" s="1"/>
  <c r="B86" i="30"/>
  <c r="B81" i="4" s="1"/>
  <c r="B87" i="30"/>
  <c r="B82" i="4" s="1"/>
  <c r="B88" i="30"/>
  <c r="B83" i="4" s="1"/>
  <c r="B89" i="30"/>
  <c r="B84" i="4" s="1"/>
  <c r="B90" i="30"/>
  <c r="B85" i="4" s="1"/>
  <c r="B91" i="30"/>
  <c r="B86" i="4" s="1"/>
  <c r="B92" i="30"/>
  <c r="B87" i="4" s="1"/>
  <c r="B93" i="30"/>
  <c r="B88" i="4" s="1"/>
  <c r="B94" i="30"/>
  <c r="B89" i="4" s="1"/>
  <c r="B95" i="30"/>
  <c r="B90" i="4" s="1"/>
  <c r="B96" i="30"/>
  <c r="B91" i="4" s="1"/>
  <c r="B97" i="30"/>
  <c r="B92" i="4" s="1"/>
  <c r="B98" i="30"/>
  <c r="B93" i="4" s="1"/>
  <c r="B99" i="30"/>
  <c r="B94" i="4" s="1"/>
  <c r="B100" i="30"/>
  <c r="B95" i="4" s="1"/>
  <c r="B101" i="30"/>
  <c r="B96" i="4" s="1"/>
  <c r="B102" i="30"/>
  <c r="B97" i="4" s="1"/>
  <c r="B103" i="30"/>
  <c r="B98" i="4" s="1"/>
  <c r="B104" i="30"/>
  <c r="B99" i="4" s="1"/>
  <c r="B105" i="30"/>
  <c r="B100" i="4" s="1"/>
  <c r="B106" i="30"/>
  <c r="B101" i="4" s="1"/>
  <c r="B107" i="30"/>
  <c r="B102" i="4" s="1"/>
  <c r="B108" i="30"/>
  <c r="B103" i="4" s="1"/>
  <c r="B109" i="30"/>
  <c r="B104" i="4" s="1"/>
  <c r="B110" i="30"/>
  <c r="B105" i="4" s="1"/>
  <c r="B111" i="30"/>
  <c r="B106" i="4" s="1"/>
  <c r="B112" i="30"/>
  <c r="B107" i="4" s="1"/>
  <c r="B113" i="30"/>
  <c r="B108" i="4" s="1"/>
  <c r="B114" i="30"/>
  <c r="B109" i="4" s="1"/>
  <c r="B115" i="30"/>
  <c r="B110" i="4" s="1"/>
  <c r="B116" i="30"/>
  <c r="B111" i="4" s="1"/>
  <c r="B117" i="30"/>
  <c r="B112" i="4" s="1"/>
  <c r="B118" i="30"/>
  <c r="B113" i="4" s="1"/>
  <c r="B119" i="30"/>
  <c r="B114" i="4" s="1"/>
  <c r="B120" i="30"/>
  <c r="B115" i="4" s="1"/>
  <c r="B121" i="30"/>
  <c r="B116" i="4" s="1"/>
  <c r="B122" i="30"/>
  <c r="B117" i="4" s="1"/>
  <c r="B123" i="30"/>
  <c r="B118" i="4" s="1"/>
  <c r="B124" i="30"/>
  <c r="B119" i="4" s="1"/>
  <c r="B125" i="30"/>
  <c r="B120" i="4" s="1"/>
  <c r="B126" i="30"/>
  <c r="B121" i="4" s="1"/>
  <c r="B127" i="30"/>
  <c r="B122" i="4" s="1"/>
  <c r="B128" i="30"/>
  <c r="B123" i="4" s="1"/>
  <c r="B129" i="30"/>
  <c r="B124" i="4" s="1"/>
  <c r="B130" i="30"/>
  <c r="B125" i="4" s="1"/>
  <c r="B131" i="30"/>
  <c r="B126" i="4" s="1"/>
  <c r="B132" i="30"/>
  <c r="B127" i="4" s="1"/>
  <c r="B133" i="30"/>
  <c r="B128" i="4" s="1"/>
  <c r="B134" i="30"/>
  <c r="B129" i="4" s="1"/>
  <c r="B135" i="30"/>
  <c r="B130" i="4" s="1"/>
  <c r="B136" i="30"/>
  <c r="B131" i="4" s="1"/>
  <c r="B137" i="30"/>
  <c r="B132" i="4" s="1"/>
  <c r="B138" i="30"/>
  <c r="B133" i="4" s="1"/>
  <c r="B139" i="30"/>
  <c r="B134" i="4" s="1"/>
  <c r="B140" i="30"/>
  <c r="B135" i="4" s="1"/>
  <c r="B141" i="30"/>
  <c r="B136" i="4" s="1"/>
  <c r="B142" i="30"/>
  <c r="B137" i="4" s="1"/>
  <c r="B143" i="30"/>
  <c r="B138" i="4" s="1"/>
  <c r="B144" i="30"/>
  <c r="B139" i="4" s="1"/>
  <c r="B145" i="30"/>
  <c r="B140" i="4" s="1"/>
  <c r="B146" i="30"/>
  <c r="B141" i="4" s="1"/>
  <c r="B147" i="30"/>
  <c r="B142" i="4" s="1"/>
  <c r="B148" i="30"/>
  <c r="B143" i="4" s="1"/>
  <c r="B149" i="30"/>
  <c r="B144" i="4" s="1"/>
  <c r="B150" i="30"/>
  <c r="B145" i="4" s="1"/>
  <c r="B151" i="30"/>
  <c r="B146" i="4" s="1"/>
  <c r="B152" i="30"/>
  <c r="B147" i="4" s="1"/>
  <c r="B153" i="30"/>
  <c r="B148" i="4" s="1"/>
  <c r="B154" i="30"/>
  <c r="B149" i="4" s="1"/>
  <c r="B155" i="30"/>
  <c r="B150" i="4" s="1"/>
  <c r="B156" i="30"/>
  <c r="B151" i="4" s="1"/>
  <c r="B157" i="30"/>
  <c r="B152" i="4" s="1"/>
  <c r="B158" i="30"/>
  <c r="B153" i="4" s="1"/>
  <c r="B159" i="30"/>
  <c r="B154" i="4" s="1"/>
  <c r="B160" i="30"/>
  <c r="B155" i="4" s="1"/>
  <c r="B161" i="30"/>
  <c r="B156" i="4" s="1"/>
  <c r="B162" i="30"/>
  <c r="B157" i="4" s="1"/>
  <c r="B163" i="30"/>
  <c r="B158" i="4" s="1"/>
  <c r="B164" i="30"/>
  <c r="B159" i="4" s="1"/>
  <c r="B165" i="30"/>
  <c r="B160" i="4" s="1"/>
  <c r="B166" i="30"/>
  <c r="B161" i="4" s="1"/>
  <c r="B167" i="30"/>
  <c r="B162" i="4" s="1"/>
  <c r="B168" i="30"/>
  <c r="B163" i="4" s="1"/>
  <c r="V25" i="6" l="1"/>
  <c r="V23" i="6"/>
  <c r="AN25" i="46"/>
  <c r="V19" i="6"/>
  <c r="M40" i="32"/>
  <c r="L38" i="51" s="1"/>
  <c r="L40" i="32"/>
  <c r="K38" i="51" s="1"/>
  <c r="I40" i="32"/>
  <c r="H38" i="51" s="1"/>
  <c r="H40" i="32"/>
  <c r="G38" i="51" s="1"/>
  <c r="K40" i="32"/>
  <c r="J38" i="51" s="1"/>
  <c r="J40" i="32"/>
  <c r="I38" i="51" s="1"/>
  <c r="F40" i="32"/>
  <c r="E38" i="51" s="1"/>
  <c r="E40" i="32"/>
  <c r="D38" i="51" s="1"/>
  <c r="N40" i="32"/>
  <c r="M38" i="51" s="1"/>
  <c r="G40" i="32"/>
  <c r="F38" i="51" s="1"/>
  <c r="AN30" i="46"/>
  <c r="AN24" i="46"/>
  <c r="AN23" i="46"/>
  <c r="AN29" i="46"/>
  <c r="AN28" i="46"/>
  <c r="AN27" i="46"/>
  <c r="V22" i="6"/>
  <c r="AL26" i="46"/>
  <c r="AM26" i="46" s="1"/>
  <c r="AN22" i="46"/>
  <c r="AN21" i="46"/>
  <c r="V20" i="6"/>
  <c r="V17" i="6"/>
  <c r="V24" i="6"/>
  <c r="V18" i="6"/>
  <c r="V26" i="6"/>
  <c r="V21" i="6"/>
  <c r="C176" i="4"/>
  <c r="D180" i="4"/>
  <c r="C180" i="4"/>
  <c r="H58" i="46"/>
  <c r="C181" i="4"/>
  <c r="D181" i="4"/>
  <c r="D176" i="4"/>
  <c r="U66" i="4"/>
  <c r="L15" i="32"/>
  <c r="E16" i="32"/>
  <c r="D14" i="51" s="1"/>
  <c r="F16" i="32"/>
  <c r="L16" i="32"/>
  <c r="K14" i="51" s="1"/>
  <c r="M16" i="32"/>
  <c r="L14" i="51" s="1"/>
  <c r="H16" i="32"/>
  <c r="G14" i="51" s="1"/>
  <c r="I16" i="32"/>
  <c r="H14" i="51" s="1"/>
  <c r="G16" i="32"/>
  <c r="F14" i="51" s="1"/>
  <c r="J16" i="32"/>
  <c r="I14" i="51" s="1"/>
  <c r="K16" i="32"/>
  <c r="J14" i="51" s="1"/>
  <c r="N16" i="32"/>
  <c r="M14" i="51" s="1"/>
  <c r="H28" i="32"/>
  <c r="G26" i="51" s="1"/>
  <c r="I32" i="32"/>
  <c r="H30" i="51" s="1"/>
  <c r="H36" i="32"/>
  <c r="G34" i="51" s="1"/>
  <c r="F36" i="32"/>
  <c r="E34" i="51" s="1"/>
  <c r="K20" i="32"/>
  <c r="J18" i="51" s="1"/>
  <c r="L24" i="32"/>
  <c r="K22" i="51" s="1"/>
  <c r="E28" i="32"/>
  <c r="D26" i="51" s="1"/>
  <c r="G36" i="32"/>
  <c r="F34" i="51" s="1"/>
  <c r="M36" i="32"/>
  <c r="L34" i="51" s="1"/>
  <c r="K28" i="32"/>
  <c r="J26" i="51" s="1"/>
  <c r="I21" i="38" s="1"/>
  <c r="F28" i="32"/>
  <c r="E26" i="51" s="1"/>
  <c r="F24" i="32"/>
  <c r="E22" i="51" s="1"/>
  <c r="K32" i="32"/>
  <c r="J30" i="51" s="1"/>
  <c r="J36" i="32"/>
  <c r="I34" i="51" s="1"/>
  <c r="I36" i="32"/>
  <c r="H34" i="51" s="1"/>
  <c r="J20" i="32"/>
  <c r="I18" i="51" s="1"/>
  <c r="I24" i="32"/>
  <c r="H22" i="51" s="1"/>
  <c r="E32" i="32"/>
  <c r="D30" i="51" s="1"/>
  <c r="K24" i="32"/>
  <c r="J22" i="51" s="1"/>
  <c r="E20" i="32"/>
  <c r="J24" i="32"/>
  <c r="I22" i="51" s="1"/>
  <c r="N20" i="32"/>
  <c r="M18" i="51" s="1"/>
  <c r="L20" i="32"/>
  <c r="K18" i="51" s="1"/>
  <c r="G28" i="32"/>
  <c r="F26" i="51" s="1"/>
  <c r="M24" i="32"/>
  <c r="L22" i="51" s="1"/>
  <c r="G32" i="32"/>
  <c r="F30" i="51" s="1"/>
  <c r="N36" i="32"/>
  <c r="M34" i="51" s="1"/>
  <c r="H24" i="32"/>
  <c r="G22" i="51" s="1"/>
  <c r="I20" i="32"/>
  <c r="H18" i="51" s="1"/>
  <c r="N24" i="32"/>
  <c r="M22" i="51" s="1"/>
  <c r="F20" i="32"/>
  <c r="E18" i="51" s="1"/>
  <c r="M28" i="32"/>
  <c r="L26" i="51" s="1"/>
  <c r="M32" i="32"/>
  <c r="L30" i="51" s="1"/>
  <c r="G20" i="32"/>
  <c r="F18" i="51" s="1"/>
  <c r="J32" i="32"/>
  <c r="I30" i="51" s="1"/>
  <c r="L32" i="32"/>
  <c r="K30" i="51" s="1"/>
  <c r="L36" i="32"/>
  <c r="K34" i="51" s="1"/>
  <c r="I28" i="32"/>
  <c r="H26" i="51" s="1"/>
  <c r="J28" i="32"/>
  <c r="I26" i="51" s="1"/>
  <c r="I20" i="38" s="1"/>
  <c r="G24" i="32"/>
  <c r="F22" i="51" s="1"/>
  <c r="N32" i="32"/>
  <c r="M30" i="51" s="1"/>
  <c r="F32" i="32"/>
  <c r="E30" i="51" s="1"/>
  <c r="K36" i="32"/>
  <c r="J34" i="51" s="1"/>
  <c r="M20" i="32"/>
  <c r="L18" i="51" s="1"/>
  <c r="L28" i="32"/>
  <c r="K26" i="51" s="1"/>
  <c r="N28" i="32"/>
  <c r="M26" i="51" s="1"/>
  <c r="E36" i="32"/>
  <c r="D34" i="51" s="1"/>
  <c r="H20" i="32"/>
  <c r="G18" i="51" s="1"/>
  <c r="E24" i="32"/>
  <c r="D22" i="51" s="1"/>
  <c r="H32" i="32"/>
  <c r="G30" i="51" s="1"/>
  <c r="F66" i="46"/>
  <c r="AQ29" i="46"/>
  <c r="AG29" i="46"/>
  <c r="D22" i="6"/>
  <c r="L26" i="6"/>
  <c r="P24" i="6"/>
  <c r="D25" i="6"/>
  <c r="P18" i="6"/>
  <c r="F20" i="6"/>
  <c r="D36" i="6"/>
  <c r="D20" i="6"/>
  <c r="H24" i="6"/>
  <c r="D26" i="6"/>
  <c r="H20" i="6"/>
  <c r="F18" i="6"/>
  <c r="H36" i="6"/>
  <c r="P20" i="6"/>
  <c r="F36" i="6"/>
  <c r="H22" i="6"/>
  <c r="H26" i="6"/>
  <c r="F23" i="6"/>
  <c r="P22" i="6"/>
  <c r="R36" i="6"/>
  <c r="R42" i="6" s="1"/>
  <c r="D24" i="6"/>
  <c r="I42" i="6"/>
  <c r="D21" i="6"/>
  <c r="L20" i="6"/>
  <c r="H21" i="6"/>
  <c r="F24" i="6"/>
  <c r="L24" i="6"/>
  <c r="F22" i="6"/>
  <c r="P26" i="6"/>
  <c r="F26" i="6"/>
  <c r="W47" i="4"/>
  <c r="V60" i="4"/>
  <c r="L25" i="6"/>
  <c r="M29" i="46"/>
  <c r="W29" i="46"/>
  <c r="P23" i="6"/>
  <c r="D23" i="6"/>
  <c r="B20" i="38"/>
  <c r="I13" i="51"/>
  <c r="J15" i="32"/>
  <c r="B26" i="46"/>
  <c r="B26" i="29"/>
  <c r="U51" i="4"/>
  <c r="U64" i="4"/>
  <c r="F21" i="6"/>
  <c r="H19" i="6"/>
  <c r="F13" i="51"/>
  <c r="B17" i="38"/>
  <c r="B23" i="46"/>
  <c r="G15" i="32"/>
  <c r="U48" i="4"/>
  <c r="U61" i="4"/>
  <c r="B23" i="29"/>
  <c r="B16" i="38"/>
  <c r="E13" i="51"/>
  <c r="F15" i="32"/>
  <c r="B22" i="46"/>
  <c r="B22" i="29"/>
  <c r="U47" i="4"/>
  <c r="U60" i="4"/>
  <c r="B24" i="38"/>
  <c r="M13" i="51"/>
  <c r="N15" i="32"/>
  <c r="B30" i="29"/>
  <c r="B30" i="46"/>
  <c r="U68" i="4"/>
  <c r="F25" i="6"/>
  <c r="H23" i="6"/>
  <c r="J13" i="51"/>
  <c r="B21" i="38"/>
  <c r="B27" i="46"/>
  <c r="K15" i="32"/>
  <c r="U52" i="4"/>
  <c r="U65" i="4"/>
  <c r="B27" i="29"/>
  <c r="L19" i="6"/>
  <c r="F19" i="6"/>
  <c r="L18" i="6"/>
  <c r="D18" i="6"/>
  <c r="V61" i="4"/>
  <c r="W48" i="4"/>
  <c r="B26" i="38"/>
  <c r="O13" i="51"/>
  <c r="P15" i="32"/>
  <c r="B32" i="46"/>
  <c r="B32" i="29"/>
  <c r="L23" i="6"/>
  <c r="P21" i="6"/>
  <c r="J21" i="29"/>
  <c r="Z21" i="29" s="1"/>
  <c r="R21" i="29"/>
  <c r="AH21" i="29" s="1"/>
  <c r="P36" i="6"/>
  <c r="N13" i="51"/>
  <c r="B25" i="38"/>
  <c r="B31" i="46"/>
  <c r="O15" i="32"/>
  <c r="B31" i="29"/>
  <c r="P25" i="6"/>
  <c r="H25" i="6"/>
  <c r="L21" i="6"/>
  <c r="J25" i="29"/>
  <c r="Z25" i="29" s="1"/>
  <c r="R25" i="29"/>
  <c r="AH25" i="29" s="1"/>
  <c r="D19" i="6"/>
  <c r="V68" i="4"/>
  <c r="V64" i="4"/>
  <c r="U54" i="4"/>
  <c r="U50" i="4"/>
  <c r="B29" i="29"/>
  <c r="B22" i="38"/>
  <c r="K13" i="51"/>
  <c r="B28" i="46"/>
  <c r="B18" i="38"/>
  <c r="G13" i="51"/>
  <c r="H15" i="32"/>
  <c r="B24" i="46"/>
  <c r="B15" i="38"/>
  <c r="D13" i="51"/>
  <c r="B21" i="46"/>
  <c r="E15" i="32"/>
  <c r="D30" i="29"/>
  <c r="F30" i="29" s="1"/>
  <c r="D29" i="29"/>
  <c r="L29" i="29" s="1"/>
  <c r="D28" i="29"/>
  <c r="D27" i="29"/>
  <c r="L27" i="29" s="1"/>
  <c r="T27" i="29" s="1"/>
  <c r="D26" i="29"/>
  <c r="L26" i="29" s="1"/>
  <c r="T26" i="29" s="1"/>
  <c r="D25" i="29"/>
  <c r="D24" i="29"/>
  <c r="L24" i="29" s="1"/>
  <c r="T24" i="29" s="1"/>
  <c r="V52" i="4"/>
  <c r="B28" i="29"/>
  <c r="B23" i="38"/>
  <c r="L13" i="51"/>
  <c r="M15" i="32"/>
  <c r="B19" i="38"/>
  <c r="H13" i="51"/>
  <c r="I15" i="32"/>
  <c r="U67" i="4"/>
  <c r="U63" i="4"/>
  <c r="U59" i="4"/>
  <c r="V53" i="4"/>
  <c r="V49" i="4"/>
  <c r="D23" i="29"/>
  <c r="L23" i="29" s="1"/>
  <c r="T23" i="29" s="1"/>
  <c r="D22" i="29"/>
  <c r="L22" i="29" s="1"/>
  <c r="T22" i="29" s="1"/>
  <c r="T21" i="29"/>
  <c r="V21" i="29" s="1"/>
  <c r="B24" i="29"/>
  <c r="B25" i="46"/>
  <c r="V54" i="4"/>
  <c r="U53" i="4"/>
  <c r="V50" i="4"/>
  <c r="U49" i="4"/>
  <c r="U46" i="4"/>
  <c r="G64" i="47"/>
  <c r="AA42" i="29" l="1"/>
  <c r="AI42" i="29"/>
  <c r="W23" i="6"/>
  <c r="AM34" i="46"/>
  <c r="AN26" i="46"/>
  <c r="AN34" i="46" s="1"/>
  <c r="E14" i="51"/>
  <c r="C16" i="47" s="1"/>
  <c r="F56" i="32"/>
  <c r="K150" i="4"/>
  <c r="P141" i="4"/>
  <c r="P153" i="4" s="1"/>
  <c r="P149" i="4"/>
  <c r="P161" i="4" s="1"/>
  <c r="P145" i="4"/>
  <c r="P157" i="4" s="1"/>
  <c r="P142" i="4"/>
  <c r="P154" i="4" s="1"/>
  <c r="P150" i="4"/>
  <c r="P162" i="4" s="1"/>
  <c r="P147" i="4"/>
  <c r="P159" i="4" s="1"/>
  <c r="P144" i="4"/>
  <c r="P156" i="4" s="1"/>
  <c r="P146" i="4"/>
  <c r="P158" i="4" s="1"/>
  <c r="P143" i="4"/>
  <c r="P155" i="4" s="1"/>
  <c r="P151" i="4"/>
  <c r="P163" i="4" s="1"/>
  <c r="P148" i="4"/>
  <c r="P160" i="4" s="1"/>
  <c r="P140" i="4"/>
  <c r="P152" i="4" s="1"/>
  <c r="K147" i="4"/>
  <c r="I63" i="46"/>
  <c r="I66" i="46"/>
  <c r="K149" i="4"/>
  <c r="K148" i="4"/>
  <c r="K145" i="4"/>
  <c r="K141" i="4"/>
  <c r="K151" i="4"/>
  <c r="K152" i="4"/>
  <c r="K143" i="4"/>
  <c r="K144" i="4"/>
  <c r="K142" i="4"/>
  <c r="K146" i="4"/>
  <c r="D28" i="6"/>
  <c r="I67" i="46"/>
  <c r="I61" i="46"/>
  <c r="I58" i="46"/>
  <c r="E21" i="29"/>
  <c r="I62" i="46"/>
  <c r="I60" i="46"/>
  <c r="I65" i="46"/>
  <c r="I59" i="46"/>
  <c r="I64" i="46"/>
  <c r="C17" i="47"/>
  <c r="D17" i="38"/>
  <c r="C19" i="47"/>
  <c r="D19" i="38"/>
  <c r="C18" i="47"/>
  <c r="D18" i="47" s="1"/>
  <c r="D18" i="38"/>
  <c r="C24" i="47"/>
  <c r="D24" i="38"/>
  <c r="C22" i="47"/>
  <c r="D22" i="38"/>
  <c r="C23" i="47"/>
  <c r="D23" i="38"/>
  <c r="D21" i="38"/>
  <c r="C21" i="47"/>
  <c r="C20" i="47"/>
  <c r="D20" i="47" s="1"/>
  <c r="D20" i="38"/>
  <c r="C15" i="47"/>
  <c r="D15" i="38"/>
  <c r="F19" i="38"/>
  <c r="C35" i="47"/>
  <c r="C96" i="47"/>
  <c r="N16" i="38"/>
  <c r="M16" i="38"/>
  <c r="C82" i="47"/>
  <c r="L18" i="38"/>
  <c r="K18" i="38"/>
  <c r="C116" i="47"/>
  <c r="O20" i="38"/>
  <c r="P20" i="38"/>
  <c r="C67" i="47"/>
  <c r="J19" i="38"/>
  <c r="I19" i="38"/>
  <c r="F16" i="38"/>
  <c r="C32" i="47"/>
  <c r="C81" i="47"/>
  <c r="L17" i="38"/>
  <c r="K17" i="38"/>
  <c r="C53" i="47"/>
  <c r="H21" i="38"/>
  <c r="C100" i="47"/>
  <c r="N20" i="38"/>
  <c r="M20" i="38"/>
  <c r="C118" i="47"/>
  <c r="O22" i="38"/>
  <c r="P22" i="38"/>
  <c r="C114" i="47"/>
  <c r="P18" i="38"/>
  <c r="O18" i="38"/>
  <c r="C102" i="47"/>
  <c r="N22" i="38"/>
  <c r="M22" i="38"/>
  <c r="C56" i="47"/>
  <c r="H24" i="38"/>
  <c r="C119" i="47"/>
  <c r="P23" i="38"/>
  <c r="O23" i="38"/>
  <c r="C85" i="47"/>
  <c r="K21" i="38"/>
  <c r="L21" i="38"/>
  <c r="C103" i="47"/>
  <c r="N23" i="38"/>
  <c r="M23" i="38"/>
  <c r="F21" i="38"/>
  <c r="C37" i="47"/>
  <c r="F23" i="38"/>
  <c r="C39" i="47"/>
  <c r="C47" i="47"/>
  <c r="H15" i="38"/>
  <c r="C84" i="47"/>
  <c r="L20" i="38"/>
  <c r="K20" i="38"/>
  <c r="C64" i="47"/>
  <c r="I16" i="38"/>
  <c r="J16" i="38"/>
  <c r="C95" i="47"/>
  <c r="N15" i="38"/>
  <c r="M15" i="38"/>
  <c r="C88" i="47"/>
  <c r="K24" i="38"/>
  <c r="L24" i="38"/>
  <c r="C33" i="47"/>
  <c r="F17" i="38"/>
  <c r="C40" i="47"/>
  <c r="F24" i="38"/>
  <c r="C113" i="47"/>
  <c r="O17" i="38"/>
  <c r="P17" i="38"/>
  <c r="C117" i="47"/>
  <c r="O21" i="38"/>
  <c r="P21" i="38"/>
  <c r="C54" i="47"/>
  <c r="H22" i="38"/>
  <c r="C55" i="47"/>
  <c r="H23" i="38"/>
  <c r="C48" i="47"/>
  <c r="D48" i="47" s="1"/>
  <c r="H16" i="38"/>
  <c r="C101" i="47"/>
  <c r="M21" i="38"/>
  <c r="N21" i="38"/>
  <c r="C50" i="47"/>
  <c r="H18" i="38"/>
  <c r="C112" i="47"/>
  <c r="O16" i="38"/>
  <c r="P16" i="38"/>
  <c r="C98" i="47"/>
  <c r="M18" i="38"/>
  <c r="N18" i="38"/>
  <c r="C80" i="47"/>
  <c r="K16" i="38"/>
  <c r="L16" i="38"/>
  <c r="C120" i="47"/>
  <c r="O24" i="38"/>
  <c r="P24" i="38"/>
  <c r="C51" i="47"/>
  <c r="H19" i="38"/>
  <c r="C63" i="47"/>
  <c r="J15" i="38"/>
  <c r="I15" i="38"/>
  <c r="C72" i="47"/>
  <c r="I24" i="38"/>
  <c r="J24" i="38"/>
  <c r="C49" i="47"/>
  <c r="H17" i="38"/>
  <c r="C87" i="47"/>
  <c r="K23" i="38"/>
  <c r="L23" i="38"/>
  <c r="C104" i="47"/>
  <c r="M24" i="38"/>
  <c r="N24" i="38"/>
  <c r="C52" i="47"/>
  <c r="D52" i="47" s="1"/>
  <c r="H20" i="38"/>
  <c r="F20" i="38"/>
  <c r="C36" i="47"/>
  <c r="C66" i="47"/>
  <c r="I18" i="38"/>
  <c r="J18" i="38"/>
  <c r="C86" i="47"/>
  <c r="D86" i="47" s="1"/>
  <c r="L22" i="38"/>
  <c r="K22" i="38"/>
  <c r="C79" i="47"/>
  <c r="K15" i="38"/>
  <c r="L15" i="38"/>
  <c r="C65" i="47"/>
  <c r="I17" i="38"/>
  <c r="J17" i="38"/>
  <c r="C97" i="47"/>
  <c r="D97" i="47" s="1"/>
  <c r="N17" i="38"/>
  <c r="M17" i="38"/>
  <c r="F18" i="38"/>
  <c r="C34" i="47"/>
  <c r="D34" i="47" s="1"/>
  <c r="F22" i="38"/>
  <c r="C38" i="47"/>
  <c r="D38" i="47" s="1"/>
  <c r="C83" i="47"/>
  <c r="K19" i="38"/>
  <c r="L19" i="38"/>
  <c r="C70" i="47"/>
  <c r="J22" i="38"/>
  <c r="I22" i="38"/>
  <c r="J20" i="38"/>
  <c r="C68" i="47"/>
  <c r="G68" i="47"/>
  <c r="C71" i="47"/>
  <c r="I23" i="38"/>
  <c r="J23" i="38"/>
  <c r="D18" i="51"/>
  <c r="D54" i="51" s="1"/>
  <c r="E56" i="32"/>
  <c r="C99" i="47"/>
  <c r="N19" i="38"/>
  <c r="M19" i="38"/>
  <c r="C69" i="47"/>
  <c r="J21" i="38"/>
  <c r="C115" i="47"/>
  <c r="P19" i="38"/>
  <c r="O19" i="38"/>
  <c r="F62" i="46"/>
  <c r="AQ25" i="46"/>
  <c r="AG25" i="46"/>
  <c r="F64" i="46"/>
  <c r="AQ27" i="46"/>
  <c r="AG27" i="46"/>
  <c r="F59" i="46"/>
  <c r="AQ22" i="46"/>
  <c r="AG22" i="46"/>
  <c r="F60" i="46"/>
  <c r="AQ23" i="46"/>
  <c r="AG23" i="46"/>
  <c r="F61" i="46"/>
  <c r="AQ24" i="46"/>
  <c r="AG24" i="46"/>
  <c r="F65" i="46"/>
  <c r="AQ28" i="46"/>
  <c r="AG28" i="46"/>
  <c r="B49" i="46"/>
  <c r="AQ31" i="46"/>
  <c r="AQ49" i="46" s="1"/>
  <c r="AG31" i="46"/>
  <c r="AG49" i="46" s="1"/>
  <c r="F63" i="46"/>
  <c r="AQ26" i="46"/>
  <c r="AG26" i="46"/>
  <c r="F67" i="46"/>
  <c r="AQ30" i="46"/>
  <c r="AG30" i="46"/>
  <c r="F58" i="46"/>
  <c r="AQ21" i="46"/>
  <c r="AG21" i="46"/>
  <c r="B50" i="46"/>
  <c r="AQ32" i="46"/>
  <c r="AQ50" i="46" s="1"/>
  <c r="AG32" i="46"/>
  <c r="AG50" i="46" s="1"/>
  <c r="W25" i="6"/>
  <c r="V26" i="29"/>
  <c r="AB26" i="29"/>
  <c r="AB21" i="29"/>
  <c r="V27" i="29"/>
  <c r="AB27" i="29"/>
  <c r="V23" i="29"/>
  <c r="AB23" i="29"/>
  <c r="V24" i="29"/>
  <c r="AB24" i="29"/>
  <c r="V22" i="29"/>
  <c r="AB22" i="29"/>
  <c r="W18" i="6"/>
  <c r="W20" i="6"/>
  <c r="W19" i="6"/>
  <c r="W36" i="6"/>
  <c r="W26" i="6"/>
  <c r="W24" i="6"/>
  <c r="W21" i="6"/>
  <c r="W22" i="6"/>
  <c r="I71" i="47"/>
  <c r="S31" i="4"/>
  <c r="X46" i="4" s="1"/>
  <c r="N24" i="29"/>
  <c r="L25" i="29"/>
  <c r="T25" i="29" s="1"/>
  <c r="F25" i="29"/>
  <c r="F24" i="29"/>
  <c r="I55" i="47"/>
  <c r="H28" i="6"/>
  <c r="H42" i="6" s="1"/>
  <c r="P28" i="6"/>
  <c r="F28" i="6"/>
  <c r="N56" i="32"/>
  <c r="L28" i="6"/>
  <c r="I54" i="51"/>
  <c r="I70" i="47"/>
  <c r="G65" i="47"/>
  <c r="H54" i="51"/>
  <c r="G67" i="47"/>
  <c r="I67" i="47"/>
  <c r="G70" i="47"/>
  <c r="G72" i="47"/>
  <c r="I56" i="32"/>
  <c r="F26" i="29"/>
  <c r="I50" i="47"/>
  <c r="I66" i="47"/>
  <c r="L56" i="51"/>
  <c r="E56" i="51"/>
  <c r="G56" i="51"/>
  <c r="I51" i="47"/>
  <c r="I49" i="47"/>
  <c r="N27" i="29"/>
  <c r="F27" i="29"/>
  <c r="N26" i="29"/>
  <c r="F23" i="29"/>
  <c r="G66" i="47"/>
  <c r="H56" i="51"/>
  <c r="D56" i="51"/>
  <c r="I48" i="47"/>
  <c r="M56" i="51"/>
  <c r="N22" i="29"/>
  <c r="W50" i="4"/>
  <c r="V63" i="4"/>
  <c r="J56" i="51"/>
  <c r="N23" i="29"/>
  <c r="R28" i="29"/>
  <c r="AH28" i="29" s="1"/>
  <c r="J28" i="29"/>
  <c r="Z28" i="29" s="1"/>
  <c r="T29" i="29"/>
  <c r="N29" i="29"/>
  <c r="M28" i="46"/>
  <c r="W28" i="46"/>
  <c r="M56" i="32"/>
  <c r="W31" i="46"/>
  <c r="W49" i="46" s="1"/>
  <c r="M31" i="46"/>
  <c r="M49" i="46" s="1"/>
  <c r="G54" i="51"/>
  <c r="I43" i="6"/>
  <c r="M22" i="46"/>
  <c r="W22" i="46"/>
  <c r="J23" i="29"/>
  <c r="Z23" i="29" s="1"/>
  <c r="R23" i="29"/>
  <c r="AH23" i="29" s="1"/>
  <c r="M23" i="46"/>
  <c r="W23" i="46"/>
  <c r="K56" i="32"/>
  <c r="I64" i="47"/>
  <c r="I52" i="47"/>
  <c r="V62" i="4"/>
  <c r="W49" i="4"/>
  <c r="N21" i="29"/>
  <c r="L30" i="29"/>
  <c r="N30" i="29" s="1"/>
  <c r="M24" i="46"/>
  <c r="W24" i="46"/>
  <c r="L54" i="51"/>
  <c r="W51" i="4"/>
  <c r="G56" i="32"/>
  <c r="L56" i="32"/>
  <c r="J32" i="29"/>
  <c r="Z32" i="29" s="1"/>
  <c r="R32" i="29"/>
  <c r="AH32" i="29" s="1"/>
  <c r="B43" i="29"/>
  <c r="J27" i="29"/>
  <c r="Z27" i="29" s="1"/>
  <c r="R27" i="29"/>
  <c r="AH27" i="29" s="1"/>
  <c r="M27" i="46"/>
  <c r="W27" i="46"/>
  <c r="J54" i="51"/>
  <c r="I68" i="47"/>
  <c r="I56" i="47"/>
  <c r="I65" i="47"/>
  <c r="W54" i="4"/>
  <c r="V67" i="4"/>
  <c r="R24" i="29"/>
  <c r="AH24" i="29" s="1"/>
  <c r="J24" i="29"/>
  <c r="Z24" i="29" s="1"/>
  <c r="V66" i="4"/>
  <c r="W53" i="4"/>
  <c r="K56" i="51"/>
  <c r="F22" i="29"/>
  <c r="V65" i="4"/>
  <c r="W52" i="4"/>
  <c r="F54" i="51"/>
  <c r="J31" i="29"/>
  <c r="Z31" i="29" s="1"/>
  <c r="R31" i="29"/>
  <c r="AH31" i="29" s="1"/>
  <c r="B42" i="29"/>
  <c r="F29" i="29"/>
  <c r="K54" i="51"/>
  <c r="W32" i="46"/>
  <c r="W50" i="46" s="1"/>
  <c r="M32" i="46"/>
  <c r="M50" i="46" s="1"/>
  <c r="M30" i="46"/>
  <c r="W30" i="46"/>
  <c r="R26" i="29"/>
  <c r="AH26" i="29" s="1"/>
  <c r="J26" i="29"/>
  <c r="Z26" i="29" s="1"/>
  <c r="I56" i="51"/>
  <c r="G71" i="47"/>
  <c r="I72" i="47"/>
  <c r="F56" i="51"/>
  <c r="M25" i="46"/>
  <c r="W25" i="46"/>
  <c r="J56" i="32"/>
  <c r="M54" i="51"/>
  <c r="I53" i="47"/>
  <c r="I69" i="47"/>
  <c r="I54" i="47"/>
  <c r="L28" i="29"/>
  <c r="F28" i="29"/>
  <c r="W21" i="46"/>
  <c r="M21" i="46"/>
  <c r="R29" i="29"/>
  <c r="AH29" i="29" s="1"/>
  <c r="J29" i="29"/>
  <c r="Z29" i="29" s="1"/>
  <c r="W55" i="4"/>
  <c r="H56" i="32"/>
  <c r="R30" i="29"/>
  <c r="AH30" i="29" s="1"/>
  <c r="J30" i="29"/>
  <c r="Z30" i="29" s="1"/>
  <c r="R22" i="29"/>
  <c r="AH22" i="29" s="1"/>
  <c r="J22" i="29"/>
  <c r="Z22" i="29" s="1"/>
  <c r="M26" i="46"/>
  <c r="W26" i="46"/>
  <c r="S115" i="4"/>
  <c r="X53" i="4" s="1"/>
  <c r="W66" i="4" s="1"/>
  <c r="E28" i="29"/>
  <c r="S67" i="4"/>
  <c r="X49" i="4" s="1"/>
  <c r="Z49" i="4" s="1"/>
  <c r="E23" i="29"/>
  <c r="E24" i="29"/>
  <c r="M24" i="29" s="1"/>
  <c r="E29" i="29"/>
  <c r="S79" i="4"/>
  <c r="X50" i="4" s="1"/>
  <c r="W63" i="4" s="1"/>
  <c r="S103" i="4"/>
  <c r="X52" i="4" s="1"/>
  <c r="W65" i="4" s="1"/>
  <c r="E30" i="29"/>
  <c r="G30" i="29" s="1"/>
  <c r="S55" i="4"/>
  <c r="X48" i="4" s="1"/>
  <c r="S91" i="4"/>
  <c r="X51" i="4" s="1"/>
  <c r="E27" i="29"/>
  <c r="M27" i="29" s="1"/>
  <c r="S43" i="4"/>
  <c r="X47" i="4" s="1"/>
  <c r="Z47" i="4" s="1"/>
  <c r="E25" i="29"/>
  <c r="E26" i="29"/>
  <c r="M26" i="29" s="1"/>
  <c r="J25" i="32" s="1"/>
  <c r="I23" i="51" s="1"/>
  <c r="F52" i="47" s="1"/>
  <c r="S127" i="4"/>
  <c r="X54" i="4" s="1"/>
  <c r="Z54" i="4" s="1"/>
  <c r="S139" i="4"/>
  <c r="X55" i="4" s="1"/>
  <c r="W68" i="4" s="1"/>
  <c r="E22" i="29"/>
  <c r="K154" i="4" l="1"/>
  <c r="K163" i="4"/>
  <c r="K161" i="4"/>
  <c r="K162" i="4"/>
  <c r="K156" i="4"/>
  <c r="K155" i="4"/>
  <c r="K157" i="4"/>
  <c r="K153" i="4"/>
  <c r="K158" i="4"/>
  <c r="K160" i="4"/>
  <c r="K159" i="4"/>
  <c r="D83" i="47"/>
  <c r="D36" i="47"/>
  <c r="D101" i="47"/>
  <c r="D99" i="47"/>
  <c r="D65" i="47"/>
  <c r="D104" i="47"/>
  <c r="D118" i="47"/>
  <c r="D81" i="47"/>
  <c r="D116" i="47"/>
  <c r="AA43" i="29"/>
  <c r="AI43" i="29"/>
  <c r="D69" i="47"/>
  <c r="D71" i="47"/>
  <c r="D51" i="47"/>
  <c r="D66" i="47"/>
  <c r="D49" i="47"/>
  <c r="D88" i="47"/>
  <c r="D39" i="47"/>
  <c r="D119" i="47"/>
  <c r="D114" i="47"/>
  <c r="D67" i="47"/>
  <c r="D21" i="47"/>
  <c r="D17" i="47"/>
  <c r="X68" i="4"/>
  <c r="Y68" i="4"/>
  <c r="E112" i="47"/>
  <c r="D112" i="47"/>
  <c r="D72" i="47"/>
  <c r="D120" i="47"/>
  <c r="D54" i="47"/>
  <c r="D40" i="47"/>
  <c r="D23" i="47"/>
  <c r="D24" i="47"/>
  <c r="D19" i="47"/>
  <c r="D16" i="47"/>
  <c r="D53" i="47"/>
  <c r="D22" i="47"/>
  <c r="D98" i="47"/>
  <c r="D55" i="47"/>
  <c r="D113" i="47"/>
  <c r="D33" i="47"/>
  <c r="D84" i="47"/>
  <c r="D85" i="47"/>
  <c r="D102" i="47"/>
  <c r="D96" i="47"/>
  <c r="D115" i="47"/>
  <c r="D68" i="47"/>
  <c r="D70" i="47"/>
  <c r="D87" i="47"/>
  <c r="D80" i="47"/>
  <c r="D50" i="47"/>
  <c r="D117" i="47"/>
  <c r="D64" i="47"/>
  <c r="D37" i="47"/>
  <c r="D103" i="47"/>
  <c r="D56" i="47"/>
  <c r="D100" i="47"/>
  <c r="D82" i="47"/>
  <c r="D35" i="47"/>
  <c r="G20" i="38"/>
  <c r="D16" i="38"/>
  <c r="R43" i="6"/>
  <c r="G30" i="6"/>
  <c r="H43" i="6"/>
  <c r="O30" i="6"/>
  <c r="O42" i="6" s="1"/>
  <c r="P43" i="6"/>
  <c r="P42" i="6"/>
  <c r="K30" i="6"/>
  <c r="K42" i="6" s="1"/>
  <c r="L43" i="6"/>
  <c r="L42" i="6"/>
  <c r="E30" i="6"/>
  <c r="E42" i="6" s="1"/>
  <c r="F43" i="6"/>
  <c r="F42" i="6"/>
  <c r="C30" i="6"/>
  <c r="C42" i="6" s="1"/>
  <c r="D43" i="6"/>
  <c r="D42" i="6"/>
  <c r="E54" i="51"/>
  <c r="AK49" i="46"/>
  <c r="AK50" i="46"/>
  <c r="AL49" i="46"/>
  <c r="AL50" i="46"/>
  <c r="H30" i="29"/>
  <c r="E83" i="47"/>
  <c r="E96" i="47"/>
  <c r="E119" i="47"/>
  <c r="G69" i="47"/>
  <c r="E40" i="47"/>
  <c r="E33" i="47"/>
  <c r="E56" i="47"/>
  <c r="E49" i="47"/>
  <c r="E20" i="47"/>
  <c r="E52" i="47"/>
  <c r="E71" i="47"/>
  <c r="E86" i="47"/>
  <c r="E38" i="47"/>
  <c r="E53" i="47"/>
  <c r="E115" i="47"/>
  <c r="E64" i="47"/>
  <c r="E48" i="47"/>
  <c r="E102" i="47"/>
  <c r="E67" i="47"/>
  <c r="E22" i="47"/>
  <c r="E18" i="47"/>
  <c r="E117" i="47"/>
  <c r="E36" i="47"/>
  <c r="E54" i="47"/>
  <c r="E34" i="47"/>
  <c r="E16" i="47"/>
  <c r="E24" i="47"/>
  <c r="E19" i="47"/>
  <c r="E23" i="47"/>
  <c r="E99" i="47"/>
  <c r="E101" i="47"/>
  <c r="E21" i="47"/>
  <c r="E17" i="47"/>
  <c r="E82" i="47"/>
  <c r="E68" i="47"/>
  <c r="E80" i="47"/>
  <c r="E69" i="47"/>
  <c r="E66" i="47"/>
  <c r="E50" i="47"/>
  <c r="E84" i="47"/>
  <c r="E88" i="47"/>
  <c r="E70" i="47"/>
  <c r="E51" i="47"/>
  <c r="E55" i="47"/>
  <c r="E72" i="47"/>
  <c r="E87" i="47"/>
  <c r="E118" i="47"/>
  <c r="E103" i="47"/>
  <c r="E104" i="47"/>
  <c r="E98" i="47"/>
  <c r="E39" i="47"/>
  <c r="E81" i="47"/>
  <c r="E65" i="47"/>
  <c r="E114" i="47"/>
  <c r="E116" i="47"/>
  <c r="E35" i="47"/>
  <c r="F15" i="38"/>
  <c r="C31" i="47"/>
  <c r="E32" i="47" s="1"/>
  <c r="E97" i="47"/>
  <c r="E120" i="47"/>
  <c r="E113" i="47"/>
  <c r="E37" i="47"/>
  <c r="E85" i="47"/>
  <c r="E100" i="47"/>
  <c r="AD22" i="29"/>
  <c r="AJ22" i="29"/>
  <c r="AD21" i="29"/>
  <c r="AJ21" i="29"/>
  <c r="AD24" i="29"/>
  <c r="AJ24" i="29"/>
  <c r="AD26" i="29"/>
  <c r="AJ26" i="29"/>
  <c r="AD23" i="29"/>
  <c r="AJ23" i="29"/>
  <c r="AD27" i="29"/>
  <c r="AJ27" i="29"/>
  <c r="W28" i="6"/>
  <c r="V25" i="29"/>
  <c r="AB25" i="29"/>
  <c r="V29" i="29"/>
  <c r="AB29" i="29"/>
  <c r="N25" i="29"/>
  <c r="G23" i="29"/>
  <c r="G25" i="29"/>
  <c r="X63" i="4"/>
  <c r="X65" i="4"/>
  <c r="X66" i="4"/>
  <c r="K31" i="6"/>
  <c r="K43" i="6" s="1"/>
  <c r="G28" i="29"/>
  <c r="G29" i="29"/>
  <c r="R42" i="29"/>
  <c r="AH42" i="29" s="1"/>
  <c r="J42" i="29"/>
  <c r="Z42" i="29" s="1"/>
  <c r="J43" i="29"/>
  <c r="Z43" i="29" s="1"/>
  <c r="R43" i="29"/>
  <c r="AH43" i="29" s="1"/>
  <c r="T28" i="29"/>
  <c r="N28" i="29"/>
  <c r="T30" i="29"/>
  <c r="V30" i="29" s="1"/>
  <c r="Y49" i="4"/>
  <c r="M29" i="29"/>
  <c r="U29" i="29" s="1"/>
  <c r="Z53" i="4"/>
  <c r="Z52" i="4"/>
  <c r="G27" i="29"/>
  <c r="W62" i="4"/>
  <c r="X62" i="4" s="1"/>
  <c r="Y53" i="4"/>
  <c r="W61" i="4"/>
  <c r="X61" i="4" s="1"/>
  <c r="M23" i="29"/>
  <c r="U23" i="29" s="1"/>
  <c r="Z50" i="4"/>
  <c r="M28" i="29"/>
  <c r="Y51" i="4"/>
  <c r="Z48" i="4"/>
  <c r="Y50" i="4"/>
  <c r="Y48" i="4"/>
  <c r="W64" i="4"/>
  <c r="X64" i="4" s="1"/>
  <c r="Z51" i="4"/>
  <c r="Y54" i="4"/>
  <c r="M25" i="29"/>
  <c r="U25" i="29" s="1"/>
  <c r="G24" i="29"/>
  <c r="M30" i="29"/>
  <c r="W67" i="4"/>
  <c r="X67" i="4" s="1"/>
  <c r="Y52" i="4"/>
  <c r="G26" i="29"/>
  <c r="Z55" i="4"/>
  <c r="W60" i="4"/>
  <c r="X60" i="4" s="1"/>
  <c r="Y55" i="4"/>
  <c r="Z46" i="4"/>
  <c r="W59" i="4"/>
  <c r="X59" i="4" s="1"/>
  <c r="U26" i="29"/>
  <c r="O26" i="29"/>
  <c r="Y47" i="4"/>
  <c r="G22" i="29"/>
  <c r="M22" i="29"/>
  <c r="O27" i="29"/>
  <c r="U27" i="29"/>
  <c r="M21" i="29"/>
  <c r="G21" i="29"/>
  <c r="O24" i="29"/>
  <c r="U24" i="29"/>
  <c r="X70" i="4" l="1"/>
  <c r="D32" i="47"/>
  <c r="E50" i="46"/>
  <c r="P28" i="32"/>
  <c r="O26" i="51" s="1"/>
  <c r="C74" i="47" s="1"/>
  <c r="G31" i="46"/>
  <c r="E49" i="46" s="1"/>
  <c r="O28" i="32"/>
  <c r="N26" i="51" s="1"/>
  <c r="C73" i="47" s="1"/>
  <c r="O31" i="6"/>
  <c r="O43" i="6" s="1"/>
  <c r="AB32" i="46" s="1"/>
  <c r="Z50" i="46" s="1"/>
  <c r="E31" i="6"/>
  <c r="E43" i="6" s="1"/>
  <c r="G31" i="6"/>
  <c r="G43" i="6" s="1"/>
  <c r="P24" i="32" s="1"/>
  <c r="O22" i="51" s="1"/>
  <c r="C58" i="47" s="1"/>
  <c r="G42" i="6"/>
  <c r="V30" i="6"/>
  <c r="Q43" i="6"/>
  <c r="Q42" i="6"/>
  <c r="W42" i="6"/>
  <c r="O140" i="4" s="1"/>
  <c r="W43" i="6"/>
  <c r="P32" i="32"/>
  <c r="O30" i="51" s="1"/>
  <c r="C90" i="47" s="1"/>
  <c r="AB31" i="46"/>
  <c r="Z49" i="46" s="1"/>
  <c r="O32" i="32"/>
  <c r="N30" i="51" s="1"/>
  <c r="C89" i="47" s="1"/>
  <c r="D89" i="47" s="1"/>
  <c r="O20" i="32"/>
  <c r="N18" i="51" s="1"/>
  <c r="C31" i="6"/>
  <c r="C43" i="6" s="1"/>
  <c r="O16" i="32"/>
  <c r="N14" i="51" s="1"/>
  <c r="H22" i="29"/>
  <c r="E15" i="51"/>
  <c r="H25" i="29"/>
  <c r="H15" i="51"/>
  <c r="P26" i="29"/>
  <c r="I19" i="51"/>
  <c r="H23" i="29"/>
  <c r="F15" i="51"/>
  <c r="P24" i="29"/>
  <c r="G19" i="51"/>
  <c r="H28" i="29"/>
  <c r="H21" i="29"/>
  <c r="H27" i="29"/>
  <c r="J15" i="51"/>
  <c r="H26" i="29"/>
  <c r="I15" i="51"/>
  <c r="M15" i="51"/>
  <c r="G20" i="53"/>
  <c r="H29" i="29"/>
  <c r="H24" i="29"/>
  <c r="G15" i="51"/>
  <c r="P27" i="29"/>
  <c r="J19" i="51"/>
  <c r="AL23" i="29"/>
  <c r="AL21" i="29"/>
  <c r="AL22" i="29"/>
  <c r="AL27" i="29"/>
  <c r="AD29" i="29"/>
  <c r="AJ29" i="29"/>
  <c r="AL26" i="29"/>
  <c r="AD25" i="29"/>
  <c r="AJ25" i="29"/>
  <c r="AL24" i="29"/>
  <c r="W27" i="29"/>
  <c r="AC27" i="29"/>
  <c r="V32" i="29"/>
  <c r="AB30" i="29"/>
  <c r="W26" i="29"/>
  <c r="X26" i="29" s="1"/>
  <c r="AC26" i="29"/>
  <c r="W25" i="29"/>
  <c r="AC25" i="29"/>
  <c r="V28" i="29"/>
  <c r="AB28" i="29"/>
  <c r="W23" i="29"/>
  <c r="AC23" i="29"/>
  <c r="W29" i="29"/>
  <c r="AC29" i="29"/>
  <c r="W24" i="29"/>
  <c r="AC24" i="29"/>
  <c r="X69" i="4"/>
  <c r="O28" i="29"/>
  <c r="O29" i="29"/>
  <c r="U28" i="29"/>
  <c r="O25" i="29"/>
  <c r="O23" i="29"/>
  <c r="O30" i="29"/>
  <c r="U30" i="29"/>
  <c r="U21" i="29"/>
  <c r="W21" i="29" s="1"/>
  <c r="E25" i="32" s="1"/>
  <c r="D23" i="51" s="1"/>
  <c r="O21" i="29"/>
  <c r="O22" i="29"/>
  <c r="U22" i="29"/>
  <c r="O141" i="4" l="1"/>
  <c r="R140" i="4"/>
  <c r="D74" i="47"/>
  <c r="E73" i="47"/>
  <c r="D73" i="47"/>
  <c r="D90" i="47"/>
  <c r="P20" i="32"/>
  <c r="O18" i="51" s="1"/>
  <c r="C42" i="47" s="1"/>
  <c r="V42" i="6"/>
  <c r="O24" i="32"/>
  <c r="N22" i="51" s="1"/>
  <c r="C57" i="47" s="1"/>
  <c r="D57" i="47" s="1"/>
  <c r="E74" i="47"/>
  <c r="X25" i="29"/>
  <c r="I25" i="32"/>
  <c r="H23" i="51" s="1"/>
  <c r="X24" i="29"/>
  <c r="H25" i="32"/>
  <c r="G23" i="51" s="1"/>
  <c r="G55" i="51" s="1"/>
  <c r="X23" i="29"/>
  <c r="G25" i="32"/>
  <c r="F23" i="51" s="1"/>
  <c r="F47" i="47"/>
  <c r="G15" i="38"/>
  <c r="X29" i="29"/>
  <c r="M25" i="32"/>
  <c r="X27" i="29"/>
  <c r="K25" i="32"/>
  <c r="J23" i="51" s="1"/>
  <c r="J55" i="51" s="1"/>
  <c r="V31" i="6"/>
  <c r="AV31" i="46"/>
  <c r="AT49" i="46" s="1"/>
  <c r="O36" i="32"/>
  <c r="N34" i="51" s="1"/>
  <c r="C105" i="47" s="1"/>
  <c r="AL32" i="46"/>
  <c r="AJ50" i="46" s="1"/>
  <c r="P40" i="32"/>
  <c r="O38" i="51" s="1"/>
  <c r="C122" i="47" s="1"/>
  <c r="AL31" i="46"/>
  <c r="AJ49" i="46" s="1"/>
  <c r="O40" i="32"/>
  <c r="N38" i="51" s="1"/>
  <c r="C121" i="47" s="1"/>
  <c r="AV32" i="46"/>
  <c r="AT50" i="46" s="1"/>
  <c r="P36" i="32"/>
  <c r="O34" i="51" s="1"/>
  <c r="C106" i="47" s="1"/>
  <c r="E90" i="47"/>
  <c r="E89" i="47"/>
  <c r="C41" i="47"/>
  <c r="F25" i="38"/>
  <c r="P16" i="32"/>
  <c r="O14" i="51" s="1"/>
  <c r="V43" i="6"/>
  <c r="D25" i="38"/>
  <c r="C25" i="47"/>
  <c r="F17" i="47"/>
  <c r="C17" i="38"/>
  <c r="P23" i="29"/>
  <c r="F19" i="51"/>
  <c r="L15" i="51"/>
  <c r="F20" i="53"/>
  <c r="E20" i="53"/>
  <c r="K15" i="51"/>
  <c r="F19" i="47"/>
  <c r="C19" i="38"/>
  <c r="D15" i="51"/>
  <c r="P25" i="29"/>
  <c r="H19" i="51"/>
  <c r="P22" i="29"/>
  <c r="E19" i="51"/>
  <c r="P29" i="29"/>
  <c r="F24" i="47"/>
  <c r="C24" i="38"/>
  <c r="F21" i="47"/>
  <c r="C21" i="38"/>
  <c r="F37" i="47"/>
  <c r="E21" i="38"/>
  <c r="F20" i="47"/>
  <c r="C20" i="38"/>
  <c r="F34" i="47"/>
  <c r="E18" i="38"/>
  <c r="F16" i="47"/>
  <c r="C16" i="38"/>
  <c r="F18" i="47"/>
  <c r="C18" i="38"/>
  <c r="P30" i="29"/>
  <c r="F36" i="47"/>
  <c r="E20" i="38"/>
  <c r="P21" i="29"/>
  <c r="D19" i="51"/>
  <c r="P28" i="29"/>
  <c r="AE29" i="29"/>
  <c r="AF29" i="29" s="1"/>
  <c r="AK29" i="29"/>
  <c r="AE26" i="29"/>
  <c r="AF26" i="29" s="1"/>
  <c r="AK26" i="29"/>
  <c r="AD28" i="29"/>
  <c r="AJ28" i="29"/>
  <c r="AE27" i="29"/>
  <c r="AF27" i="29" s="1"/>
  <c r="AK27" i="29"/>
  <c r="AL25" i="29"/>
  <c r="AD30" i="29"/>
  <c r="AJ30" i="29"/>
  <c r="AE23" i="29"/>
  <c r="AF23" i="29" s="1"/>
  <c r="AK23" i="29"/>
  <c r="AL29" i="29"/>
  <c r="AE24" i="29"/>
  <c r="AF24" i="29" s="1"/>
  <c r="AK24" i="29"/>
  <c r="AE25" i="29"/>
  <c r="AF25" i="29" s="1"/>
  <c r="AK25" i="29"/>
  <c r="I55" i="51"/>
  <c r="J57" i="32"/>
  <c r="X21" i="29"/>
  <c r="AC21" i="29"/>
  <c r="W30" i="29"/>
  <c r="AC30" i="29"/>
  <c r="W28" i="29"/>
  <c r="AC28" i="29"/>
  <c r="W22" i="29"/>
  <c r="AC22" i="29"/>
  <c r="O142" i="4" l="1"/>
  <c r="R141" i="4"/>
  <c r="E41" i="47"/>
  <c r="D41" i="47"/>
  <c r="E121" i="47"/>
  <c r="D121" i="47"/>
  <c r="E105" i="47"/>
  <c r="D105" i="47"/>
  <c r="D58" i="47"/>
  <c r="E25" i="47"/>
  <c r="D25" i="47"/>
  <c r="D106" i="47"/>
  <c r="D122" i="47"/>
  <c r="D42" i="47"/>
  <c r="D55" i="51"/>
  <c r="E58" i="47"/>
  <c r="E57" i="47"/>
  <c r="H57" i="32"/>
  <c r="K57" i="32"/>
  <c r="X22" i="29"/>
  <c r="F25" i="32"/>
  <c r="E23" i="51" s="1"/>
  <c r="E55" i="51" s="1"/>
  <c r="F53" i="47"/>
  <c r="G53" i="47" s="1"/>
  <c r="G21" i="38"/>
  <c r="F50" i="47"/>
  <c r="G18" i="38"/>
  <c r="X30" i="29"/>
  <c r="N25" i="32"/>
  <c r="L23" i="51"/>
  <c r="F24" i="53"/>
  <c r="F49" i="47"/>
  <c r="G17" i="38"/>
  <c r="F51" i="47"/>
  <c r="G51" i="47" s="1"/>
  <c r="G19" i="38"/>
  <c r="X28" i="29"/>
  <c r="L25" i="32"/>
  <c r="N54" i="51"/>
  <c r="O56" i="32"/>
  <c r="E106" i="47"/>
  <c r="E122" i="47"/>
  <c r="E42" i="47"/>
  <c r="P56" i="32"/>
  <c r="D26" i="38"/>
  <c r="C26" i="47"/>
  <c r="O54" i="51"/>
  <c r="G20" i="47"/>
  <c r="G18" i="47"/>
  <c r="G37" i="47"/>
  <c r="G21" i="47"/>
  <c r="E22" i="53"/>
  <c r="K19" i="51"/>
  <c r="F31" i="47"/>
  <c r="E15" i="38"/>
  <c r="F35" i="47"/>
  <c r="G35" i="47" s="1"/>
  <c r="E19" i="38"/>
  <c r="F15" i="47"/>
  <c r="G16" i="47" s="1"/>
  <c r="C15" i="38"/>
  <c r="F32" i="47"/>
  <c r="E16" i="38"/>
  <c r="F23" i="47"/>
  <c r="C23" i="38"/>
  <c r="E57" i="32"/>
  <c r="F33" i="47"/>
  <c r="E17" i="38"/>
  <c r="G22" i="53"/>
  <c r="M19" i="51"/>
  <c r="L19" i="51"/>
  <c r="F22" i="53"/>
  <c r="F22" i="47"/>
  <c r="G22" i="47" s="1"/>
  <c r="C22" i="38"/>
  <c r="G19" i="47"/>
  <c r="G17" i="47"/>
  <c r="AM25" i="29"/>
  <c r="AN25" i="29" s="1"/>
  <c r="AD32" i="29"/>
  <c r="H55" i="51"/>
  <c r="AE22" i="29"/>
  <c r="AF22" i="29" s="1"/>
  <c r="AK22" i="29"/>
  <c r="AL28" i="29"/>
  <c r="AE21" i="29"/>
  <c r="AF21" i="29" s="1"/>
  <c r="AK21" i="29"/>
  <c r="AE28" i="29"/>
  <c r="AF28" i="29" s="1"/>
  <c r="AK28" i="29"/>
  <c r="AM23" i="29"/>
  <c r="AN23" i="29" s="1"/>
  <c r="AM26" i="29"/>
  <c r="AN26" i="29" s="1"/>
  <c r="AM29" i="29"/>
  <c r="AN29" i="29" s="1"/>
  <c r="AE30" i="29"/>
  <c r="AF30" i="29" s="1"/>
  <c r="AK30" i="29"/>
  <c r="AL30" i="29"/>
  <c r="AM27" i="29"/>
  <c r="AN27" i="29" s="1"/>
  <c r="AM24" i="29"/>
  <c r="AN24" i="29" s="1"/>
  <c r="F55" i="51"/>
  <c r="M57" i="32"/>
  <c r="I57" i="32"/>
  <c r="G57" i="32"/>
  <c r="O143" i="4" l="1"/>
  <c r="R142" i="4"/>
  <c r="E26" i="47"/>
  <c r="D26" i="47"/>
  <c r="G52" i="47"/>
  <c r="G50" i="47"/>
  <c r="F57" i="32"/>
  <c r="F34" i="53"/>
  <c r="E24" i="53"/>
  <c r="E34" i="53" s="1"/>
  <c r="K23" i="51"/>
  <c r="G24" i="53"/>
  <c r="G34" i="53" s="1"/>
  <c r="M23" i="51"/>
  <c r="M55" i="51" s="1"/>
  <c r="F48" i="47"/>
  <c r="G49" i="47" s="1"/>
  <c r="G16" i="38"/>
  <c r="F55" i="47"/>
  <c r="G23" i="38"/>
  <c r="G36" i="47"/>
  <c r="G23" i="47"/>
  <c r="G32" i="47"/>
  <c r="F39" i="47"/>
  <c r="E23" i="38"/>
  <c r="F40" i="47"/>
  <c r="E24" i="38"/>
  <c r="L55" i="51"/>
  <c r="G33" i="47"/>
  <c r="G24" i="47"/>
  <c r="F38" i="47"/>
  <c r="G38" i="47" s="1"/>
  <c r="E22" i="38"/>
  <c r="G34" i="47"/>
  <c r="L57" i="32"/>
  <c r="AL31" i="29"/>
  <c r="AL32" i="29" s="1"/>
  <c r="AM28" i="29"/>
  <c r="AN28" i="29" s="1"/>
  <c r="AM30" i="29"/>
  <c r="AN30" i="29" s="1"/>
  <c r="AM22" i="29"/>
  <c r="AN22" i="29" s="1"/>
  <c r="AM21" i="29"/>
  <c r="AN21" i="29" s="1"/>
  <c r="N57" i="32"/>
  <c r="O144" i="4" l="1"/>
  <c r="R143" i="4"/>
  <c r="F56" i="47"/>
  <c r="G56" i="47" s="1"/>
  <c r="G24" i="38"/>
  <c r="F54" i="47"/>
  <c r="G22" i="38"/>
  <c r="G48" i="47"/>
  <c r="K55" i="51"/>
  <c r="G40" i="47"/>
  <c r="G39" i="47"/>
  <c r="O145" i="4" l="1"/>
  <c r="R144" i="4"/>
  <c r="G54" i="47"/>
  <c r="G55" i="47"/>
  <c r="O146" i="4" l="1"/>
  <c r="R145" i="4"/>
  <c r="O147" i="4" l="1"/>
  <c r="R146" i="4"/>
  <c r="O148" i="4" l="1"/>
  <c r="R147" i="4"/>
  <c r="O149" i="4" l="1"/>
  <c r="R148" i="4"/>
  <c r="AB42" i="29"/>
  <c r="O150" i="4" l="1"/>
  <c r="R149" i="4"/>
  <c r="AD42" i="29"/>
  <c r="AJ42" i="29"/>
  <c r="O151" i="4" l="1"/>
  <c r="R150" i="4"/>
  <c r="AL42" i="29"/>
  <c r="O152" i="4" l="1"/>
  <c r="R151" i="4"/>
  <c r="O153" i="4" l="1"/>
  <c r="R152" i="4"/>
  <c r="S151" i="4"/>
  <c r="E31" i="29"/>
  <c r="O154" i="4" l="1"/>
  <c r="R153" i="4"/>
  <c r="G31" i="29"/>
  <c r="H31" i="29" s="1"/>
  <c r="D42" i="29" s="1"/>
  <c r="F42" i="29" s="1"/>
  <c r="H42" i="29" s="1"/>
  <c r="M31" i="29"/>
  <c r="V76" i="4"/>
  <c r="W76" i="4" s="1"/>
  <c r="AH31" i="46"/>
  <c r="AJ31" i="46" s="1"/>
  <c r="C31" i="46"/>
  <c r="E31" i="46" s="1"/>
  <c r="AR31" i="46"/>
  <c r="AT31" i="46" s="1"/>
  <c r="N31" i="46"/>
  <c r="P31" i="46" s="1"/>
  <c r="X31" i="46"/>
  <c r="Z31" i="46" s="1"/>
  <c r="F31" i="46" l="1"/>
  <c r="I49" i="46"/>
  <c r="O29" i="32" s="1"/>
  <c r="Q31" i="46"/>
  <c r="T49" i="46"/>
  <c r="O33" i="32" s="1"/>
  <c r="O155" i="4"/>
  <c r="R154" i="4"/>
  <c r="AW31" i="46"/>
  <c r="AX49" i="46"/>
  <c r="O41" i="32" s="1"/>
  <c r="AU31" i="46"/>
  <c r="U31" i="29"/>
  <c r="O31" i="29"/>
  <c r="AA31" i="46"/>
  <c r="AD49" i="46"/>
  <c r="O37" i="32" s="1"/>
  <c r="AK31" i="46"/>
  <c r="AN49" i="46"/>
  <c r="AC31" i="46" l="1"/>
  <c r="AE49" i="46"/>
  <c r="O38" i="32" s="1"/>
  <c r="AD31" i="46"/>
  <c r="H32" i="53"/>
  <c r="N39" i="51"/>
  <c r="H28" i="53"/>
  <c r="N31" i="51"/>
  <c r="AM31" i="46"/>
  <c r="AO49" i="46"/>
  <c r="O26" i="32" s="1"/>
  <c r="AN31" i="46"/>
  <c r="AC31" i="29"/>
  <c r="W31" i="29"/>
  <c r="X31" i="29" s="1"/>
  <c r="T42" i="29" s="1"/>
  <c r="V42" i="29" s="1"/>
  <c r="X42" i="29" s="1"/>
  <c r="O25" i="32" s="1"/>
  <c r="H26" i="53"/>
  <c r="N27" i="51"/>
  <c r="P31" i="29"/>
  <c r="L42" i="29" s="1"/>
  <c r="N42" i="29" s="1"/>
  <c r="P42" i="29" s="1"/>
  <c r="O21" i="32" s="1"/>
  <c r="T31" i="46"/>
  <c r="U49" i="46"/>
  <c r="O34" i="32" s="1"/>
  <c r="S31" i="46"/>
  <c r="H30" i="53"/>
  <c r="N35" i="51"/>
  <c r="AY49" i="46"/>
  <c r="O42" i="32" s="1"/>
  <c r="AX31" i="46"/>
  <c r="O156" i="4"/>
  <c r="R155" i="4"/>
  <c r="J49" i="46"/>
  <c r="O30" i="32" s="1"/>
  <c r="I31" i="46"/>
  <c r="H31" i="46"/>
  <c r="H22" i="53" l="1"/>
  <c r="N19" i="51"/>
  <c r="N40" i="51"/>
  <c r="H50" i="53"/>
  <c r="N32" i="51"/>
  <c r="H46" i="53"/>
  <c r="F73" i="47"/>
  <c r="G73" i="47" s="1"/>
  <c r="I25" i="38"/>
  <c r="N23" i="51"/>
  <c r="H24" i="53"/>
  <c r="H44" i="53"/>
  <c r="N28" i="51"/>
  <c r="F105" i="47"/>
  <c r="G105" i="47" s="1"/>
  <c r="M25" i="38"/>
  <c r="F89" i="47"/>
  <c r="G89" i="47" s="1"/>
  <c r="K25" i="38"/>
  <c r="O157" i="4"/>
  <c r="R156" i="4"/>
  <c r="N36" i="51"/>
  <c r="H48" i="53"/>
  <c r="AE31" i="29"/>
  <c r="AK31" i="29"/>
  <c r="AM31" i="29" s="1"/>
  <c r="N24" i="51"/>
  <c r="H42" i="53"/>
  <c r="O58" i="32"/>
  <c r="O25" i="38"/>
  <c r="F121" i="47"/>
  <c r="G121" i="47" s="1"/>
  <c r="AF31" i="29" l="1"/>
  <c r="AF42" i="29"/>
  <c r="AN31" i="29"/>
  <c r="AN42" i="29"/>
  <c r="O17" i="32" s="1"/>
  <c r="H121" i="47"/>
  <c r="I121" i="47" s="1"/>
  <c r="P25" i="38"/>
  <c r="H52" i="53"/>
  <c r="O158" i="4"/>
  <c r="R157" i="4"/>
  <c r="F57" i="47"/>
  <c r="G57" i="47" s="1"/>
  <c r="G25" i="38"/>
  <c r="H89" i="47"/>
  <c r="I89" i="47" s="1"/>
  <c r="L25" i="38"/>
  <c r="F41" i="47"/>
  <c r="G41" i="47" s="1"/>
  <c r="E25" i="38"/>
  <c r="H57" i="47"/>
  <c r="I57" i="47" s="1"/>
  <c r="N56" i="51"/>
  <c r="H25" i="38"/>
  <c r="H105" i="47"/>
  <c r="I105" i="47" s="1"/>
  <c r="N25" i="38"/>
  <c r="J25" i="38"/>
  <c r="H73" i="47"/>
  <c r="I73" i="47" s="1"/>
  <c r="O159" i="4" l="1"/>
  <c r="R158" i="4"/>
  <c r="H20" i="53"/>
  <c r="H34" i="53" s="1"/>
  <c r="N15" i="51"/>
  <c r="O57" i="32"/>
  <c r="AB43" i="29"/>
  <c r="O160" i="4" l="1"/>
  <c r="R159" i="4"/>
  <c r="C25" i="38"/>
  <c r="N55" i="51"/>
  <c r="F25" i="47"/>
  <c r="G25" i="47" s="1"/>
  <c r="AD43" i="29"/>
  <c r="AJ43" i="29"/>
  <c r="O161" i="4" l="1"/>
  <c r="R160" i="4"/>
  <c r="AL43" i="29"/>
  <c r="O162" i="4" l="1"/>
  <c r="R161" i="4"/>
  <c r="O163" i="4" l="1"/>
  <c r="R163" i="4" s="1"/>
  <c r="R162" i="4"/>
  <c r="S163" i="4" l="1"/>
  <c r="E32" i="29"/>
  <c r="V77" i="4" l="1"/>
  <c r="W77" i="4" s="1"/>
  <c r="X32" i="46"/>
  <c r="Z32" i="46" s="1"/>
  <c r="AH32" i="46"/>
  <c r="AJ32" i="46" s="1"/>
  <c r="N32" i="46"/>
  <c r="P32" i="46" s="1"/>
  <c r="AR32" i="46"/>
  <c r="AT32" i="46" s="1"/>
  <c r="C32" i="46"/>
  <c r="E32" i="46" s="1"/>
  <c r="M32" i="29"/>
  <c r="G32" i="29"/>
  <c r="M40" i="53"/>
  <c r="H32" i="29" l="1"/>
  <c r="D43" i="29" s="1"/>
  <c r="F43" i="29" s="1"/>
  <c r="H43" i="29" s="1"/>
  <c r="Q32" i="46"/>
  <c r="T50" i="46"/>
  <c r="O32" i="29"/>
  <c r="U32" i="29"/>
  <c r="I50" i="46"/>
  <c r="F32" i="46"/>
  <c r="AD50" i="46"/>
  <c r="P37" i="32" s="1"/>
  <c r="I30" i="53" s="1"/>
  <c r="AA32" i="46"/>
  <c r="AK32" i="46"/>
  <c r="AN50" i="46"/>
  <c r="AW32" i="46"/>
  <c r="AU32" i="46"/>
  <c r="AX50" i="46"/>
  <c r="P41" i="32" s="1"/>
  <c r="I32" i="53" s="1"/>
  <c r="AM32" i="46" l="1"/>
  <c r="AO50" i="46"/>
  <c r="P26" i="32" s="1"/>
  <c r="AN32" i="46"/>
  <c r="S32" i="46"/>
  <c r="T32" i="46"/>
  <c r="U50" i="46"/>
  <c r="P34" i="32" s="1"/>
  <c r="I46" i="53" s="1"/>
  <c r="P32" i="29"/>
  <c r="L43" i="29" s="1"/>
  <c r="N43" i="29" s="1"/>
  <c r="P43" i="29" s="1"/>
  <c r="P21" i="32" s="1"/>
  <c r="I22" i="53" s="1"/>
  <c r="AY50" i="46"/>
  <c r="P42" i="32" s="1"/>
  <c r="I50" i="53" s="1"/>
  <c r="AX32" i="46"/>
  <c r="AC32" i="46"/>
  <c r="AD32" i="46"/>
  <c r="AE50" i="46"/>
  <c r="P38" i="32" s="1"/>
  <c r="I48" i="53" s="1"/>
  <c r="W32" i="29"/>
  <c r="AC32" i="29"/>
  <c r="J50" i="46"/>
  <c r="P30" i="32" s="1"/>
  <c r="I44" i="53" s="1"/>
  <c r="I32" i="46"/>
  <c r="H32" i="46"/>
  <c r="P29" i="32"/>
  <c r="I26" i="53" s="1"/>
  <c r="P33" i="32"/>
  <c r="I28" i="53" s="1"/>
  <c r="N40" i="53" l="1"/>
  <c r="N50" i="53"/>
  <c r="M50" i="53"/>
  <c r="AE32" i="29"/>
  <c r="AK32" i="29"/>
  <c r="AM32" i="29" s="1"/>
  <c r="X32" i="29"/>
  <c r="T43" i="29" s="1"/>
  <c r="V43" i="29" s="1"/>
  <c r="X43" i="29" s="1"/>
  <c r="P25" i="32" s="1"/>
  <c r="I24" i="53" s="1"/>
  <c r="N48" i="53"/>
  <c r="N46" i="53"/>
  <c r="I42" i="53"/>
  <c r="P58" i="32"/>
  <c r="N44" i="53"/>
  <c r="N42" i="53" l="1"/>
  <c r="N52" i="53" s="1"/>
  <c r="O50" i="53"/>
  <c r="O40" i="51" s="1"/>
  <c r="AN32" i="29"/>
  <c r="AN43" i="29"/>
  <c r="P17" i="32" s="1"/>
  <c r="I52" i="53"/>
  <c r="M42" i="53"/>
  <c r="AF32" i="29"/>
  <c r="AF43" i="29"/>
  <c r="O40" i="53"/>
  <c r="O20" i="51" l="1"/>
  <c r="O42" i="53"/>
  <c r="O24" i="51" s="1"/>
  <c r="P26" i="38"/>
  <c r="H122" i="47"/>
  <c r="I122" i="47" s="1"/>
  <c r="I20" i="53"/>
  <c r="I34" i="53" s="1"/>
  <c r="P57" i="32"/>
  <c r="H42" i="47" l="1"/>
  <c r="I42" i="47" s="1"/>
  <c r="F26" i="38"/>
  <c r="H58" i="47"/>
  <c r="I58" i="47" s="1"/>
  <c r="H26" i="38"/>
  <c r="K20" i="53"/>
  <c r="L20" i="53" s="1"/>
  <c r="M20" i="53" s="1"/>
  <c r="O20" i="53" s="1"/>
  <c r="M34" i="53"/>
  <c r="K34" i="53"/>
  <c r="K30" i="53"/>
  <c r="L30" i="53" s="1"/>
  <c r="M30" i="53" s="1"/>
  <c r="K32" i="53"/>
  <c r="L32" i="53" s="1"/>
  <c r="M32" i="53" s="1"/>
  <c r="O32" i="53" s="1"/>
  <c r="O39" i="51" s="1"/>
  <c r="K26" i="53"/>
  <c r="L26" i="53" s="1"/>
  <c r="M26" i="53" s="1"/>
  <c r="K22" i="53"/>
  <c r="L22" i="53" s="1"/>
  <c r="M22" i="53" s="1"/>
  <c r="O22" i="53" s="1"/>
  <c r="O19" i="51" s="1"/>
  <c r="K28" i="53"/>
  <c r="L28" i="53" s="1"/>
  <c r="M28" i="53" s="1"/>
  <c r="K24" i="53"/>
  <c r="L24" i="53" s="1"/>
  <c r="M24" i="53" s="1"/>
  <c r="O24" i="53" s="1"/>
  <c r="O23" i="51" s="1"/>
  <c r="F42" i="47" l="1"/>
  <c r="G42" i="47" s="1"/>
  <c r="E26" i="38"/>
  <c r="O30" i="53"/>
  <c r="O35" i="51" s="1"/>
  <c r="M48" i="53"/>
  <c r="O48" i="53" s="1"/>
  <c r="O36" i="51" s="1"/>
  <c r="O26" i="53"/>
  <c r="O27" i="51" s="1"/>
  <c r="M44" i="53"/>
  <c r="O28" i="53"/>
  <c r="O31" i="51" s="1"/>
  <c r="M46" i="53"/>
  <c r="O46" i="53" s="1"/>
  <c r="O32" i="51" s="1"/>
  <c r="G26" i="38"/>
  <c r="F58" i="47"/>
  <c r="G58" i="47" s="1"/>
  <c r="O26" i="38"/>
  <c r="F122" i="47"/>
  <c r="G122" i="47" s="1"/>
  <c r="O15" i="51"/>
  <c r="L26" i="38" l="1"/>
  <c r="H90" i="47"/>
  <c r="I90" i="47" s="1"/>
  <c r="H106" i="47"/>
  <c r="I106" i="47" s="1"/>
  <c r="N26" i="38"/>
  <c r="K26" i="38"/>
  <c r="F90" i="47"/>
  <c r="G90" i="47" s="1"/>
  <c r="F106" i="47"/>
  <c r="G106" i="47" s="1"/>
  <c r="M26" i="38"/>
  <c r="C26" i="38"/>
  <c r="F26" i="47"/>
  <c r="G26" i="47" s="1"/>
  <c r="O55" i="51"/>
  <c r="F74" i="47"/>
  <c r="G74" i="47" s="1"/>
  <c r="I26" i="38"/>
  <c r="O34" i="53"/>
  <c r="Q34" i="53" s="1"/>
  <c r="O44" i="53"/>
  <c r="M52" i="53"/>
  <c r="O28" i="51" l="1"/>
  <c r="O52" i="53"/>
  <c r="H74" i="47" l="1"/>
  <c r="I74" i="47" s="1"/>
  <c r="J26" i="38"/>
  <c r="O56" i="51"/>
</calcChain>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<sst xmlns="http://schemas.openxmlformats.org/spreadsheetml/2006/main" count="1131" uniqueCount="416">
  <si>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</si>
  <si>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</si>
  <si>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</si>
  <si>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</si>
  <si>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</si>
  <si>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</si>
  <si>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</si>
  <si>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</si>
  <si>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</si>
  <si>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</si>
  <si>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</si>
  <si>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</si>
  <si>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</si>
  <si>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</si>
  <si>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</si>
  <si>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</si>
  <si>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</si>
  <si>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</si>
  <si>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</si>
  <si>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</si>
  <si>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</si>
  <si>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</si>
  <si>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</si>
  <si>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</si>
  <si>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</si>
  <si>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</si>
  <si>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</si>
  <si>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</si>
  <si>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</si>
  <si>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</si>
  <si>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</si>
  <si>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</si>
  <si>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</si>
  <si>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</si>
  <si>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</si>
  <si>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</si>
  <si>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</si>
  <si>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</si>
  <si>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</si>
  <si>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</si>
  <si>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</si>
  <si>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</si>
  <si>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Non-Weather Sensitive</t>
  </si>
  <si>
    <t>kWh Purchased</t>
  </si>
  <si>
    <t>Weather Sensitive Load</t>
  </si>
  <si>
    <t>year over year</t>
  </si>
  <si>
    <t>Purch. VS Adj.</t>
  </si>
  <si>
    <t>Mean Average Percentage Error (Mape) :</t>
  </si>
  <si>
    <t>per cust kWh</t>
  </si>
  <si>
    <t>Cust</t>
  </si>
  <si>
    <t>4 Year (2011-2014) kWh Target:</t>
  </si>
  <si>
    <t>2011 CDM Programs</t>
  </si>
  <si>
    <t>2012 CDM Programs</t>
  </si>
  <si>
    <t>2013 CDM Programs</t>
  </si>
  <si>
    <t>2014 CDM Programs</t>
  </si>
  <si>
    <t>Total in Year</t>
  </si>
  <si>
    <t>"Gross"</t>
  </si>
  <si>
    <t>"Net"</t>
  </si>
  <si>
    <t>Difference</t>
  </si>
  <si>
    <t xml:space="preserve">Average per customer </t>
  </si>
  <si>
    <t>Share</t>
  </si>
  <si>
    <t>Target</t>
  </si>
  <si>
    <t>%chg</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</si>
  <si>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</si>
  <si>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</si>
  <si>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</si>
  <si>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</si>
  <si>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</si>
  <si>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</si>
  <si>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</si>
  <si>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</si>
  <si>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</si>
  <si>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</si>
  <si>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</si>
  <si>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</si>
  <si>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</si>
  <si>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</si>
  <si>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</si>
  <si>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</si>
  <si>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</si>
  <si>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</si>
  <si>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</si>
  <si>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</si>
  <si>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</si>
  <si>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</si>
  <si>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</si>
  <si>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</si>
  <si>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</si>
  <si>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</si>
  <si>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</si>
  <si>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</si>
  <si>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</si>
  <si>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</si>
  <si>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</si>
  <si>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</si>
  <si>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</si>
  <si>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</si>
  <si>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</si>
  <si>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</si>
  <si>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</si>
  <si>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kW and Non-Weather Sensitive Load</t>
  </si>
  <si>
    <t>Consumption by Rate Class</t>
  </si>
  <si>
    <t>LDC Info</t>
  </si>
  <si>
    <t>Weather Adjusted Load Forecast Results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</si>
  <si>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</si>
  <si>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</si>
  <si>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</si>
  <si>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</si>
  <si>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</si>
  <si>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</si>
  <si>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</si>
  <si>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</si>
  <si>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</si>
  <si>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</si>
  <si>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</si>
  <si>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</si>
  <si>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</si>
  <si>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</si>
  <si>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</si>
  <si>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</si>
  <si>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</si>
  <si>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</si>
  <si>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</si>
  <si>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</si>
  <si>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</si>
  <si>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</si>
  <si>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</si>
  <si>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</si>
  <si>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Demand (kW)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</si>
  <si>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</si>
  <si>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</si>
  <si>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</si>
  <si>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</si>
  <si>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</si>
  <si>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</si>
  <si>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</si>
  <si>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</si>
  <si>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</si>
  <si>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</si>
  <si>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</si>
  <si>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</si>
  <si>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</si>
  <si>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</si>
  <si>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</si>
  <si>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</si>
  <si>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</si>
  <si>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</si>
  <si>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</si>
  <si>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</si>
  <si>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</si>
  <si>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</si>
  <si>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</si>
  <si>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</si>
  <si>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</si>
  <si>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</si>
  <si>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GS&gt;50 Metered kWh</t>
  </si>
  <si>
    <t>* the model uses metered per class to determine the wholesale per class</t>
  </si>
  <si>
    <t>Days in Month</t>
  </si>
  <si>
    <t>SUMMARY OUTPUT</t>
  </si>
  <si>
    <t>FINAL ADJUSTED NUMBERS</t>
  </si>
  <si>
    <t>Per Customer Weather Normalized (based on 2014 cust count)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</si>
  <si>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</si>
  <si>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</si>
  <si>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</si>
  <si>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</si>
  <si>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</si>
  <si>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</si>
  <si>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</si>
  <si>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</si>
  <si>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</si>
  <si>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</si>
  <si>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</si>
  <si>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</si>
  <si>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</si>
  <si>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</si>
  <si>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</si>
  <si>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</si>
  <si>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</si>
  <si>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</si>
  <si>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</si>
  <si>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</si>
  <si>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</si>
  <si>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</si>
  <si>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</si>
  <si>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</si>
  <si>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</si>
  <si>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</si>
  <si>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</si>
  <si>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</si>
  <si>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</si>
  <si>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</si>
  <si>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</si>
  <si>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</si>
  <si>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</si>
  <si>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</si>
  <si>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</si>
  <si>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</si>
  <si>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</si>
  <si>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</si>
  <si>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</si>
  <si>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</si>
  <si>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</si>
  <si>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</si>
  <si>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</si>
  <si>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</si>
  <si>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</si>
  <si>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</si>
  <si>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</si>
  <si>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</si>
  <si>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</si>
  <si>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</si>
  <si>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Load Forecast CDM Adjustment Work Form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</si>
  <si>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</si>
  <si>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</si>
  <si>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</si>
  <si>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</si>
  <si>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</si>
  <si>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</si>
  <si>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</si>
  <si>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</si>
  <si>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</si>
  <si>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Total for 2014</t>
  </si>
  <si>
    <t>2011 CDM adjustment (per Board Decision in 2011 Cost of Service Application)</t>
  </si>
  <si>
    <t>Amount used for CDM threshold for LRAMVA (2015)</t>
  </si>
  <si>
    <t>Manual Adjustment for 2015 Load Forecast (billed basis)</t>
  </si>
  <si>
    <t>CDM Allocation Worksheet</t>
  </si>
  <si>
    <t xml:space="preserve"> Adjusted load from 2015 Forecast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</si>
  <si>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</si>
  <si>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</si>
  <si>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</si>
  <si>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</si>
  <si>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</si>
  <si>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</si>
  <si>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 xml:space="preserve"> S/b Zero</t>
  </si>
  <si>
    <t>Final Load Forecast Results - CDM Adjusted</t>
  </si>
  <si>
    <t>Adjusted kWh</t>
  </si>
  <si>
    <t>Linear Trending</t>
  </si>
  <si>
    <t>Linear Trending Calculation ( y=mx+b)</t>
  </si>
  <si>
    <t>Slope (m)</t>
  </si>
  <si>
    <t>Intercept (b)</t>
  </si>
  <si>
    <t>Non-WN/kW</t>
  </si>
  <si>
    <t>Streetlighting-Non-WN/kW</t>
  </si>
  <si>
    <t>Sentinel Lighting-Non-WN/kW</t>
  </si>
  <si>
    <t>Number of Days in Month</t>
  </si>
  <si>
    <t>1995</t>
  </si>
  <si>
    <t>kWH Forecasted Purchases</t>
  </si>
  <si>
    <t>Adjustment</t>
  </si>
  <si>
    <t xml:space="preserve">1) Utilities will have the choice to manually adjust the projected growth in the bridge and test years if it is felt that the Geomean average does not represent forecasted growth. </t>
  </si>
  <si>
    <t xml:space="preserve">1) Enter Variables here that will be used to run the regression analysis in worksheet 6. WS Regression Analysis ( Maximum 6 variables)
"Wholesale" purchases are purchases measured at the wholesale meter. </t>
  </si>
  <si>
    <t xml:space="preserve">Note: Your final regression analysis does not need to include all six of the variables 
Note: Your final regression analysis does not need to include all six of the variables 
</t>
  </si>
  <si>
    <t xml:space="preserve">1) Update Wholesale Purchases. </t>
  </si>
  <si>
    <t>2) Use drop down lists to select the variables inputted from 5.Variable Worksheet and  Select Forecast Methodology</t>
  </si>
  <si>
    <t>3) Run Regression -&gt; Data -&gt; Data Analysis - &gt; Regression</t>
  </si>
  <si>
    <t xml:space="preserve">1) Examples of Correlation and Regression Results can be copied over from worksheet 6. WS Regression Analysis
Update Wholesale Purchases. </t>
  </si>
  <si>
    <t xml:space="preserve">2) This page will be overwrite by utilities specific studies
</t>
  </si>
  <si>
    <t>Scenarios</t>
  </si>
  <si>
    <t xml:space="preserve">1) Please Select Only the Weather Sensitive Customer Classes from the Drop Down List ( Include GS&gt;50 kW customers) </t>
  </si>
  <si>
    <t xml:space="preserve">2) Select if you need to manually adjust for Load Growth or not - i.e. if this was not captured through the regression analysis (this can be verified by a quick calculation, comparing weather normal kwh purchases/forecasted customer totals for the forecast year)-
</t>
  </si>
  <si>
    <t xml:space="preserve">1) Please Select All Customers billed Distribution Volumetric Rates by kW. </t>
  </si>
  <si>
    <t xml:space="preserve">2) Please update the Average Years that is used to calculate an average kW/kWh ratio and forecast kW's
</t>
  </si>
  <si>
    <t xml:space="preserve">3) If required, A Distributor may manually adjust kWh's - i.e. Wholesale Market Participant might not have been reflected through Regression for Large Customers ( Distributor must support decision)
</t>
  </si>
  <si>
    <t xml:space="preserve">4) Select if you need to manually adjust for Load Growth or not - i.e. if this was not captured through the regression analysis (Distributor must support decision)
</t>
  </si>
  <si>
    <t xml:space="preserve">1) Use the drop down selections to select the appropriate customer classes. </t>
  </si>
  <si>
    <t xml:space="preserve">1) Use this sheet to allocate Projected CDM Savings for the Test Year
. </t>
  </si>
  <si>
    <t xml:space="preserve">2) Reallocate CDM savings to specific classes if required ( Distributers must support reallocation) </t>
  </si>
  <si>
    <t xml:space="preserve">Note: This sheet is linked from Worksheet 10.CDM Adjustments
</t>
  </si>
  <si>
    <t>2010</t>
  </si>
  <si>
    <t>General Service &gt; 50 kW - 4999 kW</t>
  </si>
  <si>
    <t>Employment Stats</t>
  </si>
  <si>
    <t>General Service &gt; 50 kW - 4999 kW-Non-WN/kW</t>
  </si>
  <si>
    <t>0-Non-WN/kW</t>
  </si>
  <si>
    <t>Winter Flag</t>
  </si>
  <si>
    <t xml:space="preserve">Load Forecast Model version 1.0 © CHEC </t>
  </si>
  <si>
    <t>Input cells</t>
  </si>
  <si>
    <t>Drop down cells</t>
  </si>
  <si>
    <t>Model Notes</t>
  </si>
  <si>
    <t>Unmetered Scattered Load-Non-WN/kW</t>
  </si>
  <si>
    <t>Ottawa River Power Corporation</t>
  </si>
  <si>
    <t>EB-2014-0000</t>
  </si>
  <si>
    <t>Adjustment for loss of comemrcial customer #1</t>
  </si>
  <si>
    <t>Adjustment for loss of commercial customer #2</t>
  </si>
  <si>
    <t>#chg</t>
  </si>
  <si>
    <t>Months/Season</t>
  </si>
  <si>
    <t>Consumption</t>
  </si>
  <si>
    <t>2013-September</t>
  </si>
  <si>
    <t>2005-October</t>
  </si>
  <si>
    <t>2009-November</t>
  </si>
  <si>
    <t>2008-January</t>
  </si>
  <si>
    <t>2012-September</t>
  </si>
  <si>
    <t>2009-June</t>
  </si>
  <si>
    <t>2006-October</t>
  </si>
  <si>
    <t>2007-March</t>
  </si>
  <si>
    <t>2008-May</t>
  </si>
  <si>
    <t>2013-October</t>
  </si>
  <si>
    <t>2009-August</t>
  </si>
  <si>
    <t>2011-February</t>
  </si>
  <si>
    <t>2010-September</t>
  </si>
  <si>
    <t>2006-May</t>
  </si>
  <si>
    <t>2007-April</t>
  </si>
  <si>
    <t>2008-March</t>
  </si>
  <si>
    <t>2012-October</t>
  </si>
  <si>
    <t>2010-August</t>
  </si>
  <si>
    <t>2011-April</t>
  </si>
  <si>
    <t>2006-March</t>
  </si>
  <si>
    <t>2008-April</t>
  </si>
  <si>
    <t>2004-September</t>
  </si>
  <si>
    <t>2011-July</t>
  </si>
  <si>
    <t>2012-February</t>
  </si>
  <si>
    <t>2013-May</t>
  </si>
  <si>
    <t>2005-September</t>
  </si>
  <si>
    <t>2005-July</t>
  </si>
  <si>
    <t>2005-March</t>
  </si>
  <si>
    <t>2010-June</t>
  </si>
  <si>
    <t>2004-July</t>
  </si>
  <si>
    <t>2005-April</t>
  </si>
  <si>
    <t>2012-January</t>
  </si>
  <si>
    <t>2008-June</t>
  </si>
  <si>
    <t>2006-June</t>
  </si>
  <si>
    <t>2010-November</t>
  </si>
  <si>
    <t>2005-February</t>
  </si>
  <si>
    <t>2009-September</t>
  </si>
  <si>
    <t>2008-October</t>
  </si>
  <si>
    <t>2004-April</t>
  </si>
  <si>
    <t>2004-February</t>
  </si>
  <si>
    <t>2013-June</t>
  </si>
  <si>
    <t>2004-May</t>
  </si>
  <si>
    <t>2013-November</t>
  </si>
  <si>
    <t>2006-December</t>
  </si>
  <si>
    <t>2006-September</t>
  </si>
  <si>
    <t>2005-May</t>
  </si>
  <si>
    <t>2005-November</t>
  </si>
  <si>
    <t>2009-December</t>
  </si>
  <si>
    <t>2008-September</t>
  </si>
  <si>
    <t>2007-August</t>
  </si>
  <si>
    <t>2012-November</t>
  </si>
  <si>
    <t>2007-January</t>
  </si>
  <si>
    <t>2004-June</t>
  </si>
  <si>
    <t>2004-August</t>
  </si>
  <si>
    <t>2012-August</t>
  </si>
  <si>
    <t>2007-February</t>
  </si>
  <si>
    <t>2011-October</t>
  </si>
  <si>
    <t>2007-June</t>
  </si>
  <si>
    <t>2006-November</t>
  </si>
  <si>
    <t>2006-January</t>
  </si>
  <si>
    <t>2009-July</t>
  </si>
  <si>
    <t>2010-October</t>
  </si>
  <si>
    <t>2006-July</t>
  </si>
  <si>
    <t>2006-February</t>
  </si>
  <si>
    <t>2007-October</t>
  </si>
  <si>
    <t>2007-September</t>
  </si>
  <si>
    <t>2009-March</t>
  </si>
  <si>
    <t>2011-December</t>
  </si>
  <si>
    <t>2008-July</t>
  </si>
  <si>
    <t>2011-June</t>
  </si>
  <si>
    <t>2005-June</t>
  </si>
  <si>
    <t>2009-February</t>
  </si>
  <si>
    <t>2010-April</t>
  </si>
  <si>
    <t>2011-November</t>
  </si>
  <si>
    <t>2011-March</t>
  </si>
  <si>
    <t>2010-December</t>
  </si>
  <si>
    <t>2012-May</t>
  </si>
  <si>
    <t>2005-August</t>
  </si>
  <si>
    <t>2008-November</t>
  </si>
  <si>
    <t>2005-December</t>
  </si>
  <si>
    <t>2007-May</t>
  </si>
  <si>
    <t>2007-July</t>
  </si>
  <si>
    <t>2010-July</t>
  </si>
  <si>
    <t>2008-December</t>
  </si>
  <si>
    <t>2004-October</t>
  </si>
  <si>
    <t>2013-August</t>
  </si>
  <si>
    <t>2013-March</t>
  </si>
  <si>
    <t>2013-January</t>
  </si>
  <si>
    <t>2013-April</t>
  </si>
  <si>
    <t>2012-July</t>
  </si>
  <si>
    <t>2012-March</t>
  </si>
  <si>
    <t>2011-January</t>
  </si>
  <si>
    <t>2006-August</t>
  </si>
  <si>
    <t>2006-April</t>
  </si>
  <si>
    <t>2010-February</t>
  </si>
  <si>
    <t>2010-January</t>
  </si>
  <si>
    <t>2009-May</t>
  </si>
  <si>
    <t>2012-June</t>
  </si>
  <si>
    <t>2004-March</t>
  </si>
  <si>
    <t>2007-December</t>
  </si>
  <si>
    <t>2011-May</t>
  </si>
  <si>
    <t>2009-October</t>
  </si>
  <si>
    <t>2012-December</t>
  </si>
  <si>
    <t>2009-January</t>
  </si>
  <si>
    <t>2011-September</t>
  </si>
  <si>
    <t>2013-July</t>
  </si>
  <si>
    <t>2004-November</t>
  </si>
  <si>
    <t>2004-December</t>
  </si>
  <si>
    <t>2010-May</t>
  </si>
  <si>
    <t>2009-April</t>
  </si>
  <si>
    <t>2007-November</t>
  </si>
  <si>
    <t>2013-December</t>
  </si>
  <si>
    <t>2011-August</t>
  </si>
  <si>
    <t>2010-March</t>
  </si>
  <si>
    <t>2008-February</t>
  </si>
  <si>
    <t>2004-January</t>
  </si>
  <si>
    <t>2012-April</t>
  </si>
  <si>
    <t>2008-August</t>
  </si>
  <si>
    <t>2013-February</t>
  </si>
  <si>
    <t>2005-January</t>
  </si>
  <si>
    <t>Winter months</t>
  </si>
  <si>
    <t>Summer Months</t>
  </si>
  <si>
    <t>Spring Months</t>
  </si>
  <si>
    <t>Fall Months</t>
  </si>
  <si>
    <t>Holiday Months</t>
  </si>
  <si>
    <t>Jane Donnelly</t>
  </si>
  <si>
    <t>2016</t>
  </si>
  <si>
    <t>X Variable 1</t>
  </si>
  <si>
    <t>X Variable 2</t>
  </si>
  <si>
    <t>X Variable 3</t>
  </si>
  <si>
    <t>X Variable 4</t>
  </si>
  <si>
    <t>X Variable 5</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</si>
</sst>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00"/>
    <numFmt numFmtId="168" formatCode="0.0%"/>
    <numFmt numFmtId="169" formatCode="#,##0.00000"/>
    <numFmt numFmtId="170" formatCode="_-* #,##0_-;\-* #,##0_-;_-* &quot;-&quot;??_-;_-@_-"/>
    <numFmt numFmtId="171" formatCode="#,##0_ ;\-#,##0\ "/>
    <numFmt numFmtId="172" formatCode="_-&quot;$&quot;* #,##0_-;\-&quot;$&quot;* #,##0_-;_-&quot;$&quot;* &quot;-&quot;??_-;_-@_-"/>
    <numFmt numFmtId="173" formatCode="_-* #,##0.00000_-;\-* #,##0.00000_-;_-* &quot;-&quot;??_-;_-@_-"/>
    <numFmt numFmtId="174" formatCode="#,##0.000000"/>
    <numFmt numFmtId="175" formatCode="#,##0.0000000"/>
    <numFmt numFmtId="176" formatCode="_-* #,##0.000_-;\-* #,##0.000_-;_-* &quot;-&quot;??_-;_-@_-"/>
    <numFmt numFmtId="177" formatCode="#,##0.0000"/>
    <numFmt numFmtId="178" formatCode="_(* #,##0.0_);_(* \(#,##0.0\);_(* &quot;-&quot;??_);_(@_)"/>
    <numFmt numFmtId="179" formatCode="#,##0.0"/>
    <numFmt numFmtId="180" formatCode="mm/dd/yyyy"/>
    <numFmt numFmtId="181" formatCode="0\-0"/>
    <numFmt numFmtId="182" formatCode="##\-#"/>
    <numFmt numFmtId="183" formatCode="_(* #,##0_);_(* \(#,##0\);_(* &quot;-&quot;??_);_(@_)"/>
    <numFmt numFmtId="184" formatCode="&quot;£ &quot;#,##0.00;[Red]\-&quot;£ &quot;#,##0.00"/>
    <numFmt numFmtId="185" formatCode="_-* #,##0.0000000_-;\-* #,##0.0000000_-;_-* &quot;-&quot;??_-;_-@_-"/>
  </numFmts>
  <fonts count="118"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Times New Roman"/>
      <family val="1"/>
    </font>
    <font>
      <sz val="10"/>
      <color theme="0"/>
      <name val="Times New Roman"/>
      <family val="1"/>
    </font>
    <font>
      <sz val="11"/>
      <color theme="0" tint="-0.499984740745262"/>
      <name val="Arial"/>
      <family val="2"/>
    </font>
    <font>
      <u/>
      <sz val="10"/>
      <color theme="10"/>
      <name val="Arial"/>
      <family val="2"/>
    </font>
    <font>
      <b/>
      <sz val="11"/>
      <color rgb="FF0033CC"/>
      <name val="Arial"/>
      <family val="2"/>
    </font>
    <font>
      <sz val="12"/>
      <name val="Arial"/>
      <family val="2"/>
    </font>
    <font>
      <b/>
      <sz val="10"/>
      <name val="Times New Roman"/>
      <family val="1"/>
    </font>
    <font>
      <b/>
      <i/>
      <sz val="14"/>
      <color theme="1"/>
      <name val="Arial"/>
      <family val="2"/>
    </font>
    <font>
      <b/>
      <sz val="18"/>
      <color theme="1"/>
      <name val="Arial"/>
      <family val="2"/>
    </font>
    <font>
      <b/>
      <i/>
      <sz val="11"/>
      <color theme="1"/>
      <name val="Arial"/>
      <family val="2"/>
    </font>
    <font>
      <i/>
      <sz val="11"/>
      <color theme="1"/>
      <name val="Arial"/>
      <family val="2"/>
    </font>
    <font>
      <b/>
      <sz val="11"/>
      <color theme="0"/>
      <name val="Arial"/>
      <family val="2"/>
    </font>
    <font>
      <b/>
      <sz val="8"/>
      <name val="Arial"/>
      <family val="2"/>
    </font>
    <font>
      <b/>
      <i/>
      <sz val="8"/>
      <color theme="0" tint="-0.14999847407452621"/>
      <name val="Arial"/>
      <family val="2"/>
      <charset val="1"/>
    </font>
  </fonts>
  <fills count="7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58"/>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s>
  <cellStyleXfs count="1446">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43" fontId="13" fillId="0" borderId="0" applyFont="0" applyFill="0" applyBorder="0" applyAlignment="0" applyProtection="0"/>
    <xf numFmtId="166" fontId="22"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44" fontId="9"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38" fillId="0" borderId="0"/>
    <xf numFmtId="0" fontId="38" fillId="0" borderId="0"/>
    <xf numFmtId="0" fontId="9" fillId="0" borderId="0"/>
    <xf numFmtId="0" fontId="12"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9" fontId="14"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0" fontId="40" fillId="0" borderId="0" applyNumberFormat="0" applyFill="0" applyBorder="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0" fontId="8" fillId="0" borderId="0"/>
    <xf numFmtId="0" fontId="8"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57" fillId="0" borderId="0" applyFont="0" applyFill="0" applyBorder="0" applyAlignment="0" applyProtection="0"/>
    <xf numFmtId="166"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0" fontId="9" fillId="0" borderId="0"/>
    <xf numFmtId="0" fontId="8" fillId="0" borderId="0"/>
    <xf numFmtId="0" fontId="8" fillId="0" borderId="0"/>
    <xf numFmtId="0" fontId="9" fillId="0" borderId="0"/>
    <xf numFmtId="0" fontId="8" fillId="0" borderId="0"/>
    <xf numFmtId="0" fontId="9" fillId="0" borderId="0"/>
    <xf numFmtId="0" fontId="9" fillId="0" borderId="0"/>
    <xf numFmtId="0" fontId="57" fillId="0" borderId="0"/>
    <xf numFmtId="0" fontId="9" fillId="0" borderId="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7" fillId="37" borderId="1" applyNumberFormat="0" applyProtection="0">
      <alignment horizontal="left" vertical="center"/>
    </xf>
    <xf numFmtId="0" fontId="9" fillId="37" borderId="1" applyNumberFormat="0" applyProtection="0">
      <alignment horizontal="left" vertical="center"/>
    </xf>
    <xf numFmtId="9"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59" fillId="0" borderId="0"/>
    <xf numFmtId="166" fontId="13" fillId="0" borderId="0" applyFont="0" applyFill="0" applyBorder="0" applyAlignment="0" applyProtection="0"/>
    <xf numFmtId="9" fontId="13"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3" fillId="0" borderId="0"/>
    <xf numFmtId="43" fontId="13" fillId="0" borderId="0" applyFont="0" applyFill="0" applyBorder="0" applyAlignment="0" applyProtection="0"/>
    <xf numFmtId="0" fontId="4" fillId="0" borderId="0"/>
    <xf numFmtId="0" fontId="4" fillId="0" borderId="0"/>
    <xf numFmtId="9" fontId="1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88" fillId="48" borderId="0" applyNumberFormat="0" applyBorder="0" applyAlignment="0" applyProtection="0"/>
    <xf numFmtId="0" fontId="88" fillId="45"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1"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0" fillId="56" borderId="83" applyNumberFormat="0" applyAlignment="0" applyProtection="0"/>
    <xf numFmtId="0" fontId="86" fillId="0" borderId="0" applyNumberFormat="0" applyFill="0" applyBorder="0" applyAlignment="0" applyProtection="0">
      <alignment vertical="top"/>
      <protection locked="0"/>
    </xf>
    <xf numFmtId="0" fontId="99" fillId="58" borderId="0" applyNumberFormat="0" applyBorder="0" applyAlignment="0" applyProtection="0"/>
    <xf numFmtId="0" fontId="101" fillId="0" borderId="0" applyNumberFormat="0" applyFill="0" applyBorder="0" applyAlignment="0" applyProtection="0"/>
    <xf numFmtId="0" fontId="102" fillId="0" borderId="91" applyNumberFormat="0" applyFill="0" applyAlignment="0" applyProtection="0"/>
    <xf numFmtId="0" fontId="103" fillId="0" borderId="0" applyNumberFormat="0" applyFill="0" applyBorder="0" applyAlignment="0" applyProtection="0"/>
    <xf numFmtId="0" fontId="9" fillId="0" borderId="0"/>
    <xf numFmtId="0" fontId="40" fillId="0" borderId="0" applyNumberFormat="0" applyFill="0" applyBorder="0" applyAlignment="0" applyProtection="0"/>
    <xf numFmtId="0" fontId="67" fillId="0" borderId="60" applyNumberFormat="0" applyFill="0" applyAlignment="0" applyProtection="0"/>
    <xf numFmtId="0" fontId="66" fillId="0" borderId="59" applyNumberFormat="0" applyFill="0" applyAlignment="0" applyProtection="0"/>
    <xf numFmtId="0" fontId="3" fillId="0" borderId="0"/>
    <xf numFmtId="0" fontId="68" fillId="0" borderId="61" applyNumberFormat="0" applyFill="0" applyAlignment="0" applyProtection="0"/>
    <xf numFmtId="0" fontId="68" fillId="0" borderId="0" applyNumberFormat="0" applyFill="0" applyBorder="0" applyAlignment="0" applyProtection="0"/>
    <xf numFmtId="0" fontId="69" fillId="29" borderId="0" applyNumberFormat="0" applyBorder="0" applyAlignment="0" applyProtection="0"/>
    <xf numFmtId="0" fontId="70" fillId="26" borderId="0" applyNumberFormat="0" applyBorder="0" applyAlignment="0" applyProtection="0"/>
    <xf numFmtId="0" fontId="71" fillId="31" borderId="0" applyNumberFormat="0" applyBorder="0" applyAlignment="0" applyProtection="0"/>
    <xf numFmtId="0" fontId="72" fillId="30" borderId="57" applyNumberFormat="0" applyAlignment="0" applyProtection="0"/>
    <xf numFmtId="0" fontId="73" fillId="27" borderId="64" applyNumberFormat="0" applyAlignment="0" applyProtection="0"/>
    <xf numFmtId="0" fontId="74" fillId="27" borderId="57" applyNumberFormat="0" applyAlignment="0" applyProtection="0"/>
    <xf numFmtId="0" fontId="75" fillId="0" borderId="62" applyNumberFormat="0" applyFill="0" applyAlignment="0" applyProtection="0"/>
    <xf numFmtId="0" fontId="76" fillId="28" borderId="58" applyNumberFormat="0" applyAlignment="0" applyProtection="0"/>
    <xf numFmtId="0" fontId="77" fillId="0" borderId="0" applyNumberFormat="0" applyFill="0" applyBorder="0" applyAlignment="0" applyProtection="0"/>
    <xf numFmtId="0" fontId="3" fillId="32" borderId="63" applyNumberFormat="0" applyFont="0" applyAlignment="0" applyProtection="0"/>
    <xf numFmtId="0" fontId="78" fillId="0" borderId="0" applyNumberFormat="0" applyFill="0" applyBorder="0" applyAlignment="0" applyProtection="0"/>
    <xf numFmtId="0" fontId="79" fillId="0" borderId="65" applyNumberFormat="0" applyFill="0" applyAlignment="0" applyProtection="0"/>
    <xf numFmtId="0" fontId="80" fillId="2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80" fillId="14" borderId="0" applyNumberFormat="0" applyBorder="0" applyAlignment="0" applyProtection="0"/>
    <xf numFmtId="0" fontId="80" fillId="21"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80" fillId="15" borderId="0" applyNumberFormat="0" applyBorder="0" applyAlignment="0" applyProtection="0"/>
    <xf numFmtId="0" fontId="80" fillId="22"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80" fillId="16" borderId="0" applyNumberFormat="0" applyBorder="0" applyAlignment="0" applyProtection="0"/>
    <xf numFmtId="0" fontId="80" fillId="2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80" fillId="17" borderId="0" applyNumberFormat="0" applyBorder="0" applyAlignment="0" applyProtection="0"/>
    <xf numFmtId="0" fontId="80" fillId="24"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80" fillId="18" borderId="0" applyNumberFormat="0" applyBorder="0" applyAlignment="0" applyProtection="0"/>
    <xf numFmtId="0" fontId="80" fillId="25"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80" fillId="19"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178" fontId="9" fillId="0" borderId="0"/>
    <xf numFmtId="179" fontId="9" fillId="0" borderId="0"/>
    <xf numFmtId="178" fontId="9" fillId="0" borderId="0"/>
    <xf numFmtId="178" fontId="9" fillId="0" borderId="0"/>
    <xf numFmtId="178" fontId="9" fillId="0" borderId="0"/>
    <xf numFmtId="178" fontId="9" fillId="0" borderId="0"/>
    <xf numFmtId="180" fontId="9" fillId="0" borderId="0"/>
    <xf numFmtId="181" fontId="9" fillId="0" borderId="0"/>
    <xf numFmtId="180" fontId="9" fillId="0" borderId="0"/>
    <xf numFmtId="3" fontId="9" fillId="0" borderId="0" applyFont="0" applyFill="0" applyBorder="0" applyAlignment="0" applyProtection="0"/>
    <xf numFmtId="164"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38" fontId="87" fillId="60" borderId="0" applyNumberFormat="0" applyBorder="0" applyAlignment="0" applyProtection="0"/>
    <xf numFmtId="10" fontId="87" fillId="63" borderId="1" applyNumberFormat="0" applyBorder="0" applyAlignment="0" applyProtection="0"/>
    <xf numFmtId="182" fontId="9" fillId="0" borderId="0"/>
    <xf numFmtId="182" fontId="9" fillId="0" borderId="0"/>
    <xf numFmtId="182" fontId="9" fillId="0" borderId="0"/>
    <xf numFmtId="182" fontId="9" fillId="0" borderId="0"/>
    <xf numFmtId="182" fontId="9" fillId="0" borderId="0"/>
    <xf numFmtId="184" fontId="9" fillId="0" borderId="0"/>
    <xf numFmtId="10"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183" fontId="9" fillId="0" borderId="0"/>
    <xf numFmtId="0" fontId="100" fillId="56" borderId="90" applyNumberFormat="0" applyAlignment="0" applyProtection="0"/>
    <xf numFmtId="0" fontId="91" fillId="57" borderId="84" applyNumberFormat="0" applyAlignment="0" applyProtection="0"/>
    <xf numFmtId="0" fontId="97" fillId="43" borderId="83" applyNumberFormat="0" applyAlignment="0" applyProtection="0"/>
    <xf numFmtId="0" fontId="9" fillId="59" borderId="89" applyNumberFormat="0" applyFont="0" applyAlignment="0" applyProtection="0"/>
    <xf numFmtId="0" fontId="93" fillId="40" borderId="0" applyNumberFormat="0" applyBorder="0" applyAlignment="0" applyProtection="0"/>
    <xf numFmtId="0" fontId="89" fillId="39" borderId="0" applyNumberFormat="0" applyBorder="0" applyAlignment="0" applyProtection="0"/>
    <xf numFmtId="0" fontId="96" fillId="0" borderId="87" applyNumberFormat="0" applyFill="0" applyAlignment="0" applyProtection="0"/>
    <xf numFmtId="0" fontId="95" fillId="0" borderId="86" applyNumberFormat="0" applyFill="0" applyAlignment="0" applyProtection="0"/>
    <xf numFmtId="0" fontId="92" fillId="0" borderId="0" applyNumberFormat="0" applyFill="0" applyBorder="0" applyAlignment="0" applyProtection="0"/>
    <xf numFmtId="0" fontId="94" fillId="0" borderId="85" applyNumberFormat="0" applyFill="0" applyAlignment="0" applyProtection="0"/>
    <xf numFmtId="0" fontId="82"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8" fillId="50" borderId="0" applyNumberFormat="0" applyBorder="0" applyAlignment="0" applyProtection="0"/>
    <xf numFmtId="0" fontId="3" fillId="0" borderId="0"/>
    <xf numFmtId="0" fontId="3" fillId="0" borderId="0"/>
    <xf numFmtId="0" fontId="3" fillId="0" borderId="0"/>
    <xf numFmtId="0" fontId="88" fillId="55" borderId="0" applyNumberFormat="0" applyBorder="0" applyAlignment="0" applyProtection="0"/>
    <xf numFmtId="0" fontId="88" fillId="49" borderId="0" applyNumberFormat="0" applyBorder="0" applyAlignment="0" applyProtection="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3" fillId="0" borderId="0"/>
    <xf numFmtId="0" fontId="98" fillId="0" borderId="88" applyNumberFormat="0" applyFill="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96"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9" fillId="0" borderId="0"/>
    <xf numFmtId="0" fontId="9" fillId="0" borderId="0"/>
    <xf numFmtId="0" fontId="97" fillId="43" borderId="83" applyNumberFormat="0" applyAlignment="0" applyProtection="0"/>
    <xf numFmtId="0" fontId="97" fillId="43" borderId="83" applyNumberFormat="0" applyAlignment="0" applyProtection="0"/>
    <xf numFmtId="0" fontId="97" fillId="43" borderId="83"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7" fillId="43" borderId="83" applyNumberFormat="0" applyAlignment="0" applyProtection="0"/>
    <xf numFmtId="0" fontId="9" fillId="0" borderId="0"/>
    <xf numFmtId="0" fontId="13" fillId="0" borderId="0"/>
    <xf numFmtId="0" fontId="2" fillId="0" borderId="0"/>
    <xf numFmtId="0" fontId="2" fillId="0" borderId="0"/>
    <xf numFmtId="9"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9" fillId="0" borderId="0"/>
    <xf numFmtId="9" fontId="13" fillId="0" borderId="0" applyFont="0" applyFill="0" applyBorder="0" applyAlignment="0" applyProtection="0"/>
    <xf numFmtId="0" fontId="13" fillId="0" borderId="0"/>
    <xf numFmtId="9" fontId="9" fillId="0" borderId="0" applyFont="0" applyFill="0" applyBorder="0" applyAlignment="0" applyProtection="0"/>
    <xf numFmtId="0" fontId="9"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9" fillId="0" borderId="0" applyFont="0" applyFill="0" applyBorder="0" applyAlignment="0" applyProtection="0"/>
    <xf numFmtId="166" fontId="1" fillId="0" borderId="0" applyFont="0" applyFill="0" applyBorder="0" applyAlignment="0" applyProtection="0"/>
    <xf numFmtId="0" fontId="9" fillId="0" borderId="0"/>
    <xf numFmtId="0" fontId="1"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1" fillId="0" borderId="0" applyNumberFormat="0" applyFill="0" applyBorder="0" applyAlignment="0" applyProtection="0"/>
    <xf numFmtId="0" fontId="1" fillId="0" borderId="0"/>
    <xf numFmtId="4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7" fillId="0" borderId="0" applyNumberForma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3" fillId="0" borderId="0"/>
    <xf numFmtId="43" fontId="13"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918">
    <xf numFmtId="0" fontId="0" fillId="0" borderId="0" xfId="0"/>
    <xf numFmtId="0" fontId="9" fillId="0" borderId="0" xfId="0" applyFont="1"/>
    <xf numFmtId="1" fontId="9" fillId="33" borderId="2" xfId="379" applyNumberFormat="1" applyFont="1" applyFill="1" applyBorder="1" applyAlignment="1">
      <alignment horizontal="center"/>
    </xf>
    <xf numFmtId="0" fontId="43" fillId="0" borderId="0" xfId="0" applyFont="1" applyBorder="1" applyAlignment="1">
      <alignment horizontal="left" vertic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49" fontId="9" fillId="0" borderId="7" xfId="0" applyNumberFormat="1" applyFont="1" applyBorder="1" applyAlignment="1">
      <alignment horizontal="center"/>
    </xf>
    <xf numFmtId="49" fontId="9" fillId="0" borderId="2" xfId="0" applyNumberFormat="1" applyFont="1" applyBorder="1" applyAlignment="1">
      <alignment horizontal="center"/>
    </xf>
    <xf numFmtId="167" fontId="9" fillId="0" borderId="1" xfId="0" applyNumberFormat="1" applyFont="1" applyBorder="1" applyAlignment="1">
      <alignment horizontal="center"/>
    </xf>
    <xf numFmtId="167" fontId="9" fillId="0" borderId="8" xfId="0" applyNumberFormat="1" applyFont="1" applyBorder="1" applyAlignment="1">
      <alignment horizontal="center"/>
    </xf>
    <xf numFmtId="14" fontId="9" fillId="0" borderId="2" xfId="0" applyNumberFormat="1" applyFont="1" applyBorder="1" applyAlignment="1">
      <alignment horizontal="center"/>
    </xf>
    <xf numFmtId="0" fontId="9" fillId="0" borderId="1" xfId="0" applyFont="1" applyBorder="1" applyAlignment="1">
      <alignment horizontal="center"/>
    </xf>
    <xf numFmtId="14" fontId="15" fillId="0" borderId="2" xfId="0" applyNumberFormat="1" applyFont="1" applyBorder="1" applyAlignment="1">
      <alignment horizontal="center"/>
    </xf>
    <xf numFmtId="167" fontId="15" fillId="0" borderId="1" xfId="0" applyNumberFormat="1" applyFont="1" applyBorder="1" applyAlignment="1">
      <alignment horizontal="center"/>
    </xf>
    <xf numFmtId="0" fontId="15" fillId="0" borderId="1" xfId="0" applyFont="1" applyBorder="1" applyAlignment="1">
      <alignment horizontal="center"/>
    </xf>
    <xf numFmtId="167" fontId="15" fillId="0" borderId="8" xfId="0" applyNumberFormat="1" applyFont="1" applyBorder="1" applyAlignment="1">
      <alignment horizontal="center"/>
    </xf>
    <xf numFmtId="1" fontId="9" fillId="0" borderId="1" xfId="0" applyNumberFormat="1" applyFont="1" applyFill="1" applyBorder="1" applyAlignment="1">
      <alignment horizontal="center"/>
    </xf>
    <xf numFmtId="0" fontId="9" fillId="0" borderId="1" xfId="0" applyFont="1" applyFill="1" applyBorder="1" applyAlignment="1">
      <alignment horizontal="center"/>
    </xf>
    <xf numFmtId="0" fontId="9" fillId="0" borderId="8" xfId="0" applyFont="1" applyFill="1" applyBorder="1" applyAlignment="1">
      <alignment horizontal="center"/>
    </xf>
    <xf numFmtId="49" fontId="9" fillId="0" borderId="9" xfId="0" applyNumberFormat="1" applyFont="1" applyBorder="1" applyAlignment="1">
      <alignment horizontal="center"/>
    </xf>
    <xf numFmtId="167" fontId="9" fillId="0" borderId="10" xfId="0" applyNumberFormat="1" applyFont="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xf numFmtId="0" fontId="9" fillId="0" borderId="13" xfId="0" applyFont="1" applyFill="1" applyBorder="1"/>
    <xf numFmtId="1" fontId="9" fillId="33" borderId="1" xfId="0" applyNumberFormat="1" applyFont="1" applyFill="1" applyBorder="1" applyAlignment="1">
      <alignment horizontal="center"/>
    </xf>
    <xf numFmtId="1" fontId="9" fillId="33" borderId="10" xfId="0" applyNumberFormat="1" applyFont="1" applyFill="1" applyBorder="1" applyAlignment="1">
      <alignment horizontal="center"/>
    </xf>
    <xf numFmtId="167" fontId="9" fillId="0" borderId="11" xfId="0" applyNumberFormat="1" applyFont="1" applyBorder="1" applyAlignment="1">
      <alignment horizontal="center"/>
    </xf>
    <xf numFmtId="0" fontId="9" fillId="0" borderId="0" xfId="0" applyFont="1" applyFill="1" applyBorder="1"/>
    <xf numFmtId="2" fontId="42" fillId="0" borderId="0" xfId="0" applyNumberFormat="1" applyFont="1" applyFill="1" applyBorder="1" applyAlignment="1">
      <alignment horizontal="center"/>
    </xf>
    <xf numFmtId="0" fontId="9"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2" xfId="0" applyFont="1" applyFill="1" applyBorder="1" applyAlignment="1">
      <alignment horizontal="center"/>
    </xf>
    <xf numFmtId="2" fontId="42" fillId="0" borderId="8" xfId="0" applyNumberFormat="1" applyFont="1" applyFill="1" applyBorder="1" applyAlignment="1">
      <alignment horizontal="center"/>
    </xf>
    <xf numFmtId="0" fontId="9" fillId="0" borderId="16" xfId="0" applyFont="1" applyFill="1" applyBorder="1" applyAlignment="1">
      <alignment horizontal="center"/>
    </xf>
    <xf numFmtId="0" fontId="9" fillId="0" borderId="9" xfId="0" applyFont="1" applyFill="1" applyBorder="1" applyAlignment="1">
      <alignment horizontal="center"/>
    </xf>
    <xf numFmtId="2" fontId="42" fillId="0" borderId="11" xfId="0" applyNumberFormat="1" applyFont="1" applyFill="1" applyBorder="1" applyAlignment="1">
      <alignment horizontal="center"/>
    </xf>
    <xf numFmtId="0" fontId="9" fillId="0" borderId="17" xfId="0" applyFont="1" applyFill="1" applyBorder="1" applyAlignment="1">
      <alignment horizontal="center"/>
    </xf>
    <xf numFmtId="2" fontId="42" fillId="0" borderId="18" xfId="0" applyNumberFormat="1" applyFont="1" applyFill="1" applyBorder="1" applyAlignment="1">
      <alignment horizontal="center"/>
    </xf>
    <xf numFmtId="2" fontId="42" fillId="0" borderId="13" xfId="0" applyNumberFormat="1" applyFont="1" applyFill="1" applyBorder="1" applyAlignment="1">
      <alignment horizontal="center"/>
    </xf>
    <xf numFmtId="0" fontId="9" fillId="0" borderId="20" xfId="0" applyFont="1" applyFill="1" applyBorder="1" applyAlignment="1">
      <alignment horizontal="left"/>
    </xf>
    <xf numFmtId="17" fontId="9" fillId="0" borderId="15" xfId="0" applyNumberFormat="1" applyFont="1" applyFill="1" applyBorder="1" applyAlignment="1">
      <alignment horizontal="center"/>
    </xf>
    <xf numFmtId="1" fontId="9" fillId="33" borderId="2" xfId="0" applyNumberFormat="1" applyFont="1" applyFill="1" applyBorder="1" applyAlignment="1">
      <alignment horizontal="center"/>
    </xf>
    <xf numFmtId="1" fontId="42" fillId="33" borderId="8" xfId="0" applyNumberFormat="1" applyFont="1" applyFill="1" applyBorder="1" applyAlignment="1">
      <alignment horizontal="center"/>
    </xf>
    <xf numFmtId="1" fontId="9" fillId="33" borderId="21" xfId="0" applyNumberFormat="1" applyFont="1" applyFill="1" applyBorder="1" applyAlignment="1">
      <alignment horizontal="center"/>
    </xf>
    <xf numFmtId="1" fontId="9" fillId="33" borderId="1" xfId="379" applyNumberFormat="1" applyFont="1" applyFill="1" applyBorder="1" applyAlignment="1">
      <alignment horizontal="center"/>
    </xf>
    <xf numFmtId="1" fontId="9" fillId="33" borderId="21" xfId="379" applyNumberFormat="1" applyFont="1" applyFill="1" applyBorder="1" applyAlignment="1">
      <alignment horizontal="center"/>
    </xf>
    <xf numFmtId="1" fontId="9" fillId="33" borderId="2" xfId="379" applyNumberFormat="1" applyFont="1" applyFill="1" applyBorder="1" applyAlignment="1">
      <alignment horizontal="center" vertical="center"/>
    </xf>
    <xf numFmtId="1" fontId="44" fillId="33" borderId="2" xfId="0" applyNumberFormat="1" applyFont="1" applyFill="1" applyBorder="1" applyAlignment="1">
      <alignment horizontal="center"/>
    </xf>
    <xf numFmtId="1" fontId="25" fillId="33" borderId="2" xfId="0" applyNumberFormat="1" applyFont="1" applyFill="1" applyBorder="1" applyAlignment="1">
      <alignment horizontal="center"/>
    </xf>
    <xf numFmtId="1" fontId="9" fillId="33" borderId="9" xfId="0" applyNumberFormat="1" applyFont="1" applyFill="1" applyBorder="1" applyAlignment="1">
      <alignment horizontal="center"/>
    </xf>
    <xf numFmtId="1" fontId="42" fillId="33" borderId="11" xfId="0" applyNumberFormat="1" applyFont="1" applyFill="1" applyBorder="1" applyAlignment="1">
      <alignment horizontal="center"/>
    </xf>
    <xf numFmtId="1" fontId="9" fillId="33" borderId="10" xfId="379" applyNumberFormat="1" applyFont="1" applyFill="1" applyBorder="1" applyAlignment="1">
      <alignment horizontal="center"/>
    </xf>
    <xf numFmtId="1" fontId="9" fillId="33" borderId="22" xfId="0" applyNumberFormat="1" applyFont="1" applyFill="1" applyBorder="1" applyAlignment="1">
      <alignment horizontal="center"/>
    </xf>
    <xf numFmtId="3" fontId="9" fillId="0" borderId="0" xfId="0" applyNumberFormat="1" applyFont="1" applyFill="1" applyBorder="1" applyAlignment="1">
      <alignment horizontal="center"/>
    </xf>
    <xf numFmtId="0" fontId="9" fillId="0" borderId="0" xfId="0" applyFont="1" applyAlignment="1">
      <alignment horizontal="center"/>
    </xf>
    <xf numFmtId="0" fontId="9" fillId="0" borderId="1" xfId="0" applyFont="1" applyBorder="1"/>
    <xf numFmtId="17" fontId="9" fillId="0" borderId="0" xfId="0" applyNumberFormat="1" applyFont="1" applyBorder="1"/>
    <xf numFmtId="0" fontId="9" fillId="0" borderId="0" xfId="0" applyFont="1" applyAlignment="1">
      <alignment horizontal="left"/>
    </xf>
    <xf numFmtId="0" fontId="9" fillId="0" borderId="0" xfId="0" applyFont="1" applyFill="1"/>
    <xf numFmtId="0" fontId="45" fillId="0" borderId="0" xfId="0" applyFont="1" applyBorder="1" applyAlignment="1">
      <alignment horizontal="left" vertical="center"/>
    </xf>
    <xf numFmtId="0" fontId="9" fillId="0" borderId="0" xfId="0" applyFont="1" applyBorder="1"/>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6" fillId="0" borderId="28" xfId="0" applyFont="1" applyBorder="1" applyAlignment="1">
      <alignment horizontal="center" vertical="center" wrapText="1"/>
    </xf>
    <xf numFmtId="0" fontId="44" fillId="0" borderId="29" xfId="0" applyFont="1" applyFill="1" applyBorder="1" applyAlignment="1">
      <alignment horizontal="center" vertical="center" wrapText="1"/>
    </xf>
    <xf numFmtId="0" fontId="44" fillId="0" borderId="7" xfId="0" applyFont="1" applyBorder="1" applyAlignment="1">
      <alignment horizontal="center" vertical="center" wrapText="1"/>
    </xf>
    <xf numFmtId="3" fontId="44" fillId="0" borderId="23" xfId="0" applyNumberFormat="1" applyFont="1" applyBorder="1" applyAlignment="1">
      <alignment horizontal="center" vertical="center" wrapText="1"/>
    </xf>
    <xf numFmtId="10" fontId="44" fillId="0" borderId="23"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10" fontId="44" fillId="0" borderId="1"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42" fillId="0" borderId="1" xfId="0" applyFont="1" applyBorder="1" applyAlignment="1">
      <alignment horizontal="center" vertical="center" wrapText="1"/>
    </xf>
    <xf numFmtId="10" fontId="42" fillId="0" borderId="1" xfId="0" applyNumberFormat="1" applyFont="1" applyBorder="1" applyAlignment="1">
      <alignment horizontal="center" vertical="center" wrapText="1"/>
    </xf>
    <xf numFmtId="0" fontId="42" fillId="0" borderId="10" xfId="0" applyFont="1" applyBorder="1" applyAlignment="1">
      <alignment horizontal="center" vertical="center" wrapText="1"/>
    </xf>
    <xf numFmtId="10" fontId="42" fillId="0" borderId="10" xfId="0" applyNumberFormat="1" applyFont="1" applyBorder="1" applyAlignment="1">
      <alignment horizontal="center" vertical="center" wrapText="1"/>
    </xf>
    <xf numFmtId="0" fontId="42" fillId="0" borderId="0" xfId="0" applyFont="1" applyBorder="1" applyAlignment="1">
      <alignment horizontal="center" vertical="center" wrapText="1"/>
    </xf>
    <xf numFmtId="3" fontId="42" fillId="0" borderId="0" xfId="0" applyNumberFormat="1" applyFont="1" applyBorder="1" applyAlignment="1">
      <alignment horizontal="center" vertical="center" wrapText="1"/>
    </xf>
    <xf numFmtId="0" fontId="44" fillId="0" borderId="30" xfId="0" applyFont="1" applyFill="1" applyBorder="1" applyAlignment="1">
      <alignment horizontal="center" vertical="center" wrapText="1"/>
    </xf>
    <xf numFmtId="3" fontId="44" fillId="0" borderId="0"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11" xfId="0" applyNumberFormat="1" applyFont="1" applyBorder="1" applyAlignment="1">
      <alignment horizontal="center" vertical="center" wrapText="1"/>
    </xf>
    <xf numFmtId="169" fontId="44" fillId="0" borderId="8" xfId="0" applyNumberFormat="1" applyFont="1" applyBorder="1" applyAlignment="1">
      <alignment horizontal="center" vertical="center" wrapText="1"/>
    </xf>
    <xf numFmtId="3" fontId="42" fillId="0" borderId="8" xfId="0" applyNumberFormat="1" applyFont="1" applyBorder="1" applyAlignment="1">
      <alignment horizontal="center" vertical="center" wrapText="1"/>
    </xf>
    <xf numFmtId="0" fontId="9" fillId="0" borderId="39" xfId="0" applyFont="1" applyBorder="1"/>
    <xf numFmtId="0" fontId="9" fillId="0" borderId="23" xfId="0" applyFont="1" applyBorder="1"/>
    <xf numFmtId="0" fontId="9" fillId="0" borderId="2" xfId="0" applyFont="1" applyBorder="1"/>
    <xf numFmtId="0" fontId="9" fillId="0" borderId="9" xfId="0" applyFont="1" applyBorder="1"/>
    <xf numFmtId="0" fontId="9" fillId="0" borderId="10" xfId="0" applyFont="1" applyBorder="1"/>
    <xf numFmtId="0" fontId="44"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8" xfId="0"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3" fontId="44" fillId="0" borderId="8" xfId="0" applyNumberFormat="1" applyFont="1" applyFill="1" applyBorder="1" applyAlignment="1">
      <alignment horizontal="center" vertical="center" wrapText="1"/>
    </xf>
    <xf numFmtId="3" fontId="44" fillId="0" borderId="10" xfId="0" applyNumberFormat="1" applyFont="1" applyFill="1" applyBorder="1" applyAlignment="1">
      <alignment horizontal="center" vertical="center" wrapText="1"/>
    </xf>
    <xf numFmtId="3" fontId="44" fillId="0" borderId="11" xfId="0" applyNumberFormat="1" applyFont="1" applyFill="1" applyBorder="1" applyAlignment="1">
      <alignment horizontal="center" vertical="center" wrapText="1"/>
    </xf>
    <xf numFmtId="0" fontId="19" fillId="0" borderId="0" xfId="0" applyFont="1" applyFill="1" applyAlignment="1">
      <alignment horizontal="center"/>
    </xf>
    <xf numFmtId="0" fontId="19" fillId="0" borderId="0" xfId="0" applyFont="1" applyFill="1" applyAlignment="1">
      <alignment horizontal="left"/>
    </xf>
    <xf numFmtId="0" fontId="20" fillId="0" borderId="0" xfId="0" applyFont="1" applyFill="1" applyAlignment="1">
      <alignment horizontal="left"/>
    </xf>
    <xf numFmtId="0" fontId="9" fillId="0" borderId="0" xfId="521" applyFont="1"/>
    <xf numFmtId="0" fontId="25" fillId="0" borderId="0" xfId="524" applyFont="1" applyFill="1"/>
    <xf numFmtId="0" fontId="9" fillId="0" borderId="0" xfId="521" applyFont="1" applyAlignment="1">
      <alignment horizontal="left"/>
    </xf>
    <xf numFmtId="0" fontId="25" fillId="0" borderId="0" xfId="524" applyFont="1"/>
    <xf numFmtId="9" fontId="9" fillId="0" borderId="0" xfId="559" applyFont="1" applyFill="1"/>
    <xf numFmtId="9" fontId="25" fillId="0" borderId="0" xfId="524" applyNumberFormat="1" applyFont="1" applyFill="1"/>
    <xf numFmtId="9" fontId="25" fillId="0" borderId="0" xfId="524" applyNumberFormat="1" applyFont="1"/>
    <xf numFmtId="0" fontId="48" fillId="0" borderId="0" xfId="524" applyFont="1"/>
    <xf numFmtId="0" fontId="49" fillId="0" borderId="0" xfId="524" applyFont="1"/>
    <xf numFmtId="0" fontId="9" fillId="0" borderId="39" xfId="521" applyFont="1" applyBorder="1"/>
    <xf numFmtId="0" fontId="9" fillId="0" borderId="26" xfId="521" applyFont="1" applyBorder="1" applyAlignment="1">
      <alignment horizontal="center"/>
    </xf>
    <xf numFmtId="0" fontId="9" fillId="0" borderId="7" xfId="521" applyFont="1" applyBorder="1"/>
    <xf numFmtId="0" fontId="9" fillId="0" borderId="2" xfId="521" applyFont="1" applyBorder="1"/>
    <xf numFmtId="3" fontId="9" fillId="0" borderId="1" xfId="521" applyNumberFormat="1" applyFont="1" applyFill="1" applyBorder="1" applyAlignment="1">
      <alignment horizontal="center"/>
    </xf>
    <xf numFmtId="168" fontId="9" fillId="0" borderId="2" xfId="558" applyNumberFormat="1" applyFont="1" applyFill="1" applyBorder="1" applyAlignment="1">
      <alignment horizontal="center"/>
    </xf>
    <xf numFmtId="10" fontId="9" fillId="0" borderId="2" xfId="558" applyNumberFormat="1" applyFont="1" applyFill="1" applyBorder="1" applyAlignment="1">
      <alignment horizontal="center"/>
    </xf>
    <xf numFmtId="0" fontId="9" fillId="0" borderId="43" xfId="521" applyFont="1" applyBorder="1"/>
    <xf numFmtId="0" fontId="9" fillId="0" borderId="9" xfId="521" applyFont="1" applyBorder="1"/>
    <xf numFmtId="10" fontId="9" fillId="0" borderId="9" xfId="558" applyNumberFormat="1" applyFont="1" applyFill="1" applyBorder="1" applyAlignment="1">
      <alignment horizontal="center"/>
    </xf>
    <xf numFmtId="0" fontId="9" fillId="0" borderId="0" xfId="521" applyFont="1" applyFill="1" applyBorder="1"/>
    <xf numFmtId="1" fontId="9" fillId="0" borderId="0" xfId="521" applyNumberFormat="1" applyFont="1" applyFill="1" applyBorder="1" applyAlignment="1">
      <alignment horizontal="center"/>
    </xf>
    <xf numFmtId="1" fontId="42" fillId="0" borderId="0" xfId="521" applyNumberFormat="1" applyFont="1" applyFill="1" applyBorder="1" applyAlignment="1">
      <alignment horizontal="center"/>
    </xf>
    <xf numFmtId="0" fontId="9" fillId="0" borderId="0" xfId="521" applyFont="1" applyFill="1"/>
    <xf numFmtId="0" fontId="9" fillId="0" borderId="0" xfId="521" applyFont="1" applyFill="1" applyBorder="1" applyAlignment="1">
      <alignment horizontal="center"/>
    </xf>
    <xf numFmtId="3" fontId="9" fillId="0" borderId="0" xfId="521" applyNumberFormat="1" applyFont="1" applyFill="1" applyBorder="1" applyAlignment="1">
      <alignment horizontal="center"/>
    </xf>
    <xf numFmtId="3" fontId="42" fillId="0" borderId="0" xfId="521" applyNumberFormat="1" applyFont="1" applyFill="1" applyBorder="1" applyAlignment="1">
      <alignment horizontal="center"/>
    </xf>
    <xf numFmtId="0" fontId="51" fillId="0" borderId="0" xfId="521" applyFont="1" applyFill="1" applyBorder="1" applyAlignment="1">
      <alignment horizontal="left" vertical="center"/>
    </xf>
    <xf numFmtId="0" fontId="9" fillId="0" borderId="1" xfId="521" applyFont="1" applyBorder="1" applyAlignment="1">
      <alignment horizontal="center"/>
    </xf>
    <xf numFmtId="0" fontId="9" fillId="0" borderId="23" xfId="521" applyFont="1" applyBorder="1" applyAlignment="1">
      <alignment horizontal="center"/>
    </xf>
    <xf numFmtId="3" fontId="42" fillId="0" borderId="1" xfId="0" applyNumberFormat="1" applyFont="1" applyBorder="1" applyAlignment="1">
      <alignment horizontal="center" vertical="center" wrapText="1"/>
    </xf>
    <xf numFmtId="3" fontId="42" fillId="0" borderId="10" xfId="0" applyNumberFormat="1" applyFont="1" applyBorder="1" applyAlignment="1">
      <alignment horizontal="center" vertical="center" wrapText="1"/>
    </xf>
    <xf numFmtId="0" fontId="52" fillId="0" borderId="0" xfId="0" applyFont="1" applyBorder="1" applyAlignment="1">
      <alignment horizontal="left" vertical="center"/>
    </xf>
    <xf numFmtId="0" fontId="44" fillId="0" borderId="0" xfId="0" applyFont="1" applyFill="1" applyBorder="1" applyAlignment="1">
      <alignment vertical="top"/>
    </xf>
    <xf numFmtId="0" fontId="9" fillId="0" borderId="0" xfId="0" applyFont="1" applyProtection="1"/>
    <xf numFmtId="0" fontId="0" fillId="0" borderId="0" xfId="0" applyAlignment="1">
      <alignment horizontal="center"/>
    </xf>
    <xf numFmtId="0" fontId="23" fillId="0" borderId="0" xfId="0" applyFont="1" applyAlignment="1">
      <alignment horizontal="center" vertical="top"/>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172" fontId="9" fillId="0" borderId="0" xfId="383" applyNumberFormat="1" applyFont="1" applyFill="1" applyBorder="1" applyAlignment="1">
      <alignment horizontal="left"/>
    </xf>
    <xf numFmtId="0" fontId="9" fillId="0" borderId="0" xfId="0" applyFont="1" applyBorder="1" applyProtection="1"/>
    <xf numFmtId="0" fontId="9" fillId="0" borderId="0" xfId="0" applyFont="1" applyAlignment="1" applyProtection="1">
      <alignment vertical="center"/>
    </xf>
    <xf numFmtId="0" fontId="9" fillId="0" borderId="0" xfId="0" applyFont="1" applyFill="1" applyAlignment="1" applyProtection="1">
      <alignment vertical="center"/>
    </xf>
    <xf numFmtId="1" fontId="9" fillId="33" borderId="9" xfId="379" applyNumberFormat="1" applyFont="1" applyFill="1" applyBorder="1" applyAlignment="1">
      <alignment horizontal="center"/>
    </xf>
    <xf numFmtId="0" fontId="9" fillId="0" borderId="0" xfId="0" applyFont="1" applyBorder="1" applyAlignment="1">
      <alignment horizontal="center"/>
    </xf>
    <xf numFmtId="0" fontId="44" fillId="0" borderId="0" xfId="0" applyFont="1" applyFill="1" applyBorder="1" applyAlignment="1">
      <alignment horizontal="center" vertical="center" wrapText="1"/>
    </xf>
    <xf numFmtId="3" fontId="47" fillId="0" borderId="0" xfId="0" applyNumberFormat="1" applyFont="1" applyBorder="1" applyAlignment="1">
      <alignment horizontal="center" vertical="center" wrapText="1"/>
    </xf>
    <xf numFmtId="0" fontId="42" fillId="34" borderId="0" xfId="0" applyFont="1" applyFill="1" applyBorder="1" applyAlignment="1">
      <alignment horizontal="center" vertical="center" wrapText="1"/>
    </xf>
    <xf numFmtId="3" fontId="42" fillId="34" borderId="0" xfId="0" applyNumberFormat="1" applyFont="1" applyFill="1" applyBorder="1" applyAlignment="1">
      <alignment horizontal="center" vertical="center" wrapText="1"/>
    </xf>
    <xf numFmtId="10" fontId="42" fillId="34" borderId="0" xfId="0" applyNumberFormat="1" applyFont="1" applyFill="1" applyBorder="1" applyAlignment="1">
      <alignment horizontal="center" vertical="center" wrapText="1"/>
    </xf>
    <xf numFmtId="3" fontId="42" fillId="34" borderId="0" xfId="0" applyNumberFormat="1" applyFont="1" applyFill="1" applyBorder="1" applyAlignment="1">
      <alignment horizontal="left" vertical="center"/>
    </xf>
    <xf numFmtId="0" fontId="9" fillId="34" borderId="0" xfId="0" applyFont="1" applyFill="1"/>
    <xf numFmtId="0" fontId="9" fillId="34" borderId="0" xfId="0" applyFont="1" applyFill="1" applyBorder="1"/>
    <xf numFmtId="0" fontId="52" fillId="0" borderId="0" xfId="0" applyFont="1" applyFill="1" applyBorder="1" applyAlignment="1">
      <alignment horizontal="left" vertical="center"/>
    </xf>
    <xf numFmtId="0" fontId="4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xf>
    <xf numFmtId="0" fontId="9" fillId="0" borderId="0" xfId="0" applyFont="1" applyAlignment="1">
      <alignment horizontal="left" indent="1"/>
    </xf>
    <xf numFmtId="49" fontId="9" fillId="33" borderId="0" xfId="383" applyNumberFormat="1" applyFont="1" applyFill="1" applyBorder="1" applyAlignment="1">
      <alignment horizontal="center"/>
    </xf>
    <xf numFmtId="49" fontId="9" fillId="0" borderId="0" xfId="383" applyNumberFormat="1" applyFont="1" applyFill="1" applyBorder="1" applyAlignment="1">
      <alignment horizontal="center"/>
    </xf>
    <xf numFmtId="0" fontId="9" fillId="0" borderId="0" xfId="0" applyFont="1" applyFill="1" applyAlignment="1">
      <alignment horizontal="center"/>
    </xf>
    <xf numFmtId="0" fontId="24" fillId="0" borderId="0" xfId="0" applyFont="1" applyAlignment="1">
      <alignment horizontal="left" vertical="top"/>
    </xf>
    <xf numFmtId="3" fontId="42" fillId="0" borderId="1" xfId="0" applyNumberFormat="1" applyFont="1" applyBorder="1" applyAlignment="1">
      <alignment horizontal="center" vertical="center" wrapText="1"/>
    </xf>
    <xf numFmtId="3" fontId="42" fillId="0" borderId="10" xfId="0" applyNumberFormat="1" applyFont="1" applyBorder="1" applyAlignment="1">
      <alignment horizontal="center" vertical="center" wrapText="1"/>
    </xf>
    <xf numFmtId="0" fontId="9" fillId="0" borderId="38" xfId="0" applyFont="1" applyFill="1" applyBorder="1" applyAlignment="1">
      <alignment horizontal="center"/>
    </xf>
    <xf numFmtId="49" fontId="9" fillId="0" borderId="15" xfId="0" applyNumberFormat="1" applyFont="1" applyFill="1" applyBorder="1" applyAlignment="1">
      <alignment horizontal="center"/>
    </xf>
    <xf numFmtId="49" fontId="16" fillId="0" borderId="9" xfId="516" applyNumberFormat="1" applyFont="1" applyFill="1" applyBorder="1" applyAlignment="1">
      <alignment horizontal="center"/>
    </xf>
    <xf numFmtId="49" fontId="16" fillId="0" borderId="2" xfId="516" applyNumberFormat="1" applyFont="1" applyFill="1" applyBorder="1" applyAlignment="1">
      <alignment horizontal="center"/>
    </xf>
    <xf numFmtId="0" fontId="9" fillId="0" borderId="23" xfId="0" applyFont="1" applyFill="1" applyBorder="1" applyAlignment="1">
      <alignment horizontal="center"/>
    </xf>
    <xf numFmtId="0" fontId="9" fillId="0" borderId="4" xfId="0" applyFont="1" applyBorder="1" applyAlignment="1">
      <alignment horizontal="center" wrapText="1"/>
    </xf>
    <xf numFmtId="1" fontId="9" fillId="0" borderId="23" xfId="0" applyNumberFormat="1" applyFont="1" applyFill="1" applyBorder="1" applyAlignment="1">
      <alignment horizontal="center"/>
    </xf>
    <xf numFmtId="0" fontId="9" fillId="0" borderId="30" xfId="0" applyFont="1" applyFill="1" applyBorder="1" applyAlignment="1">
      <alignment horizontal="center"/>
    </xf>
    <xf numFmtId="167" fontId="9" fillId="0" borderId="1" xfId="0" applyNumberFormat="1" applyFont="1" applyFill="1" applyBorder="1" applyAlignment="1">
      <alignment horizontal="center"/>
    </xf>
    <xf numFmtId="167" fontId="9" fillId="0" borderId="8" xfId="0" applyNumberFormat="1" applyFont="1" applyFill="1" applyBorder="1" applyAlignment="1">
      <alignment horizontal="center"/>
    </xf>
    <xf numFmtId="17" fontId="9" fillId="0" borderId="23" xfId="0" applyNumberFormat="1" applyFont="1" applyBorder="1" applyAlignment="1">
      <alignment horizontal="center"/>
    </xf>
    <xf numFmtId="17" fontId="9" fillId="0" borderId="0" xfId="0" applyNumberFormat="1" applyFont="1" applyBorder="1" applyAlignment="1">
      <alignment horizontal="center"/>
    </xf>
    <xf numFmtId="0" fontId="16" fillId="0" borderId="0" xfId="0" applyFont="1"/>
    <xf numFmtId="49" fontId="44"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42" fillId="0" borderId="27" xfId="0" applyNumberFormat="1" applyFont="1" applyBorder="1" applyAlignment="1">
      <alignment horizontal="center" vertical="center" wrapText="1"/>
    </xf>
    <xf numFmtId="49" fontId="42" fillId="0" borderId="2" xfId="0" applyNumberFormat="1" applyFont="1" applyBorder="1" applyAlignment="1">
      <alignment horizontal="center" vertical="center" wrapText="1"/>
    </xf>
    <xf numFmtId="1" fontId="9" fillId="0" borderId="0" xfId="0" applyNumberFormat="1" applyFont="1"/>
    <xf numFmtId="169" fontId="44" fillId="0" borderId="0" xfId="0" applyNumberFormat="1" applyFont="1" applyBorder="1" applyAlignment="1">
      <alignment horizontal="center" vertical="center" wrapText="1"/>
    </xf>
    <xf numFmtId="169" fontId="15" fillId="0" borderId="0" xfId="0" applyNumberFormat="1" applyFont="1" applyBorder="1" applyAlignment="1">
      <alignment horizontal="center" vertical="center" wrapText="1"/>
    </xf>
    <xf numFmtId="0" fontId="53" fillId="0" borderId="0" xfId="0" applyFont="1" applyBorder="1" applyAlignment="1">
      <alignment horizontal="center" vertical="center" wrapText="1"/>
    </xf>
    <xf numFmtId="0" fontId="53" fillId="0" borderId="0" xfId="0" applyFont="1" applyFill="1" applyBorder="1" applyAlignment="1">
      <alignment horizontal="center" vertical="center" wrapText="1"/>
    </xf>
    <xf numFmtId="9" fontId="44" fillId="0" borderId="1" xfId="557" applyFont="1" applyFill="1" applyBorder="1" applyAlignment="1">
      <alignment horizontal="center" vertical="center" wrapText="1"/>
    </xf>
    <xf numFmtId="9" fontId="42" fillId="0" borderId="1" xfId="557" applyFont="1" applyFill="1" applyBorder="1" applyAlignment="1">
      <alignment horizontal="center" vertical="center" wrapText="1"/>
    </xf>
    <xf numFmtId="3" fontId="15" fillId="0" borderId="1" xfId="0" applyNumberFormat="1" applyFont="1" applyBorder="1" applyAlignment="1">
      <alignment horizontal="center" vertical="center" wrapText="1"/>
    </xf>
    <xf numFmtId="49" fontId="44" fillId="0" borderId="2" xfId="0" applyNumberFormat="1" applyFont="1" applyBorder="1" applyAlignment="1">
      <alignment horizontal="center" vertical="center" wrapText="1"/>
    </xf>
    <xf numFmtId="169" fontId="15" fillId="0" borderId="8" xfId="0" applyNumberFormat="1" applyFont="1" applyBorder="1" applyAlignment="1">
      <alignment horizontal="center" vertical="center" wrapText="1"/>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xf numFmtId="49" fontId="9" fillId="0" borderId="42" xfId="0" applyNumberFormat="1" applyFont="1" applyBorder="1" applyAlignment="1">
      <alignment horizontal="center"/>
    </xf>
    <xf numFmtId="49" fontId="9" fillId="0" borderId="26" xfId="0" applyNumberFormat="1" applyFont="1" applyBorder="1" applyAlignment="1">
      <alignment horizontal="center"/>
    </xf>
    <xf numFmtId="0" fontId="9" fillId="0" borderId="43" xfId="0" applyFont="1" applyBorder="1"/>
    <xf numFmtId="0" fontId="9" fillId="0" borderId="44" xfId="0" applyFont="1" applyBorder="1"/>
    <xf numFmtId="49" fontId="9" fillId="0" borderId="43" xfId="0" applyNumberFormat="1" applyFont="1" applyBorder="1"/>
    <xf numFmtId="170" fontId="9" fillId="0" borderId="23" xfId="379" applyNumberFormat="1" applyFont="1" applyFill="1" applyBorder="1" applyAlignment="1">
      <alignment horizontal="center"/>
    </xf>
    <xf numFmtId="170" fontId="9" fillId="0" borderId="1" xfId="379" applyNumberFormat="1" applyFont="1" applyFill="1" applyBorder="1" applyAlignment="1">
      <alignment horizontal="center"/>
    </xf>
    <xf numFmtId="0" fontId="9" fillId="0" borderId="19" xfId="0" applyFont="1" applyFill="1" applyBorder="1"/>
    <xf numFmtId="49" fontId="9" fillId="0" borderId="2" xfId="0" applyNumberFormat="1" applyFont="1" applyFill="1" applyBorder="1" applyAlignment="1">
      <alignment horizontal="center" vertical="center" wrapText="1"/>
    </xf>
    <xf numFmtId="49" fontId="42" fillId="0" borderId="2" xfId="0" applyNumberFormat="1" applyFont="1" applyFill="1" applyBorder="1" applyAlignment="1">
      <alignment horizontal="center" vertical="center" wrapText="1"/>
    </xf>
    <xf numFmtId="49" fontId="42" fillId="0" borderId="9" xfId="0" applyNumberFormat="1" applyFont="1" applyFill="1" applyBorder="1" applyAlignment="1">
      <alignment horizontal="center" vertical="center" wrapText="1"/>
    </xf>
    <xf numFmtId="0" fontId="42" fillId="0" borderId="0" xfId="0" applyFont="1"/>
    <xf numFmtId="0" fontId="9" fillId="0" borderId="44" xfId="521" applyFont="1" applyBorder="1" applyAlignment="1">
      <alignment horizontal="center"/>
    </xf>
    <xf numFmtId="0" fontId="9" fillId="0" borderId="10" xfId="521" applyFont="1" applyBorder="1" applyAlignment="1">
      <alignment horizontal="center"/>
    </xf>
    <xf numFmtId="0" fontId="9" fillId="0" borderId="0" xfId="521" applyFont="1" applyAlignment="1">
      <alignment horizontal="center"/>
    </xf>
    <xf numFmtId="49" fontId="9" fillId="0" borderId="26" xfId="521" applyNumberFormat="1" applyFont="1" applyBorder="1" applyAlignment="1">
      <alignment horizontal="center"/>
    </xf>
    <xf numFmtId="2" fontId="9" fillId="0" borderId="26" xfId="521" applyNumberFormat="1" applyFont="1" applyBorder="1" applyAlignment="1">
      <alignment horizontal="center"/>
    </xf>
    <xf numFmtId="2" fontId="9" fillId="0" borderId="42" xfId="521" applyNumberFormat="1" applyFont="1" applyBorder="1" applyAlignment="1">
      <alignment horizontal="center"/>
    </xf>
    <xf numFmtId="0" fontId="9" fillId="0" borderId="26" xfId="521" applyNumberFormat="1" applyFont="1" applyBorder="1" applyAlignment="1">
      <alignment horizontal="center"/>
    </xf>
    <xf numFmtId="0" fontId="16" fillId="0" borderId="43" xfId="0" applyFont="1" applyBorder="1"/>
    <xf numFmtId="0" fontId="16" fillId="0" borderId="44" xfId="0" applyFont="1" applyBorder="1"/>
    <xf numFmtId="0" fontId="16" fillId="0" borderId="9" xfId="0" applyFont="1" applyBorder="1"/>
    <xf numFmtId="0" fontId="16" fillId="0" borderId="10" xfId="0" applyFont="1" applyBorder="1"/>
    <xf numFmtId="0" fontId="26" fillId="0" borderId="0" xfId="0" applyFont="1" applyFill="1" applyBorder="1"/>
    <xf numFmtId="0" fontId="44" fillId="0" borderId="28" xfId="0" applyFont="1" applyBorder="1" applyAlignment="1">
      <alignment horizontal="center" wrapText="1"/>
    </xf>
    <xf numFmtId="0" fontId="16" fillId="0" borderId="39" xfId="0" applyFont="1" applyBorder="1" applyAlignment="1">
      <alignment horizontal="center"/>
    </xf>
    <xf numFmtId="43" fontId="9" fillId="0" borderId="1" xfId="379" applyFont="1" applyFill="1" applyBorder="1"/>
    <xf numFmtId="1" fontId="42" fillId="33" borderId="8" xfId="0" applyNumberFormat="1" applyFont="1" applyFill="1" applyBorder="1" applyAlignment="1">
      <alignment horizontal="center"/>
    </xf>
    <xf numFmtId="167" fontId="9" fillId="0" borderId="26" xfId="0" applyNumberFormat="1" applyFont="1" applyBorder="1"/>
    <xf numFmtId="1" fontId="9" fillId="33" borderId="21" xfId="0" applyNumberFormat="1" applyFont="1" applyFill="1" applyBorder="1" applyAlignment="1">
      <alignment horizontal="center"/>
    </xf>
    <xf numFmtId="3" fontId="44" fillId="0" borderId="1" xfId="0" applyNumberFormat="1" applyFont="1" applyBorder="1" applyAlignment="1">
      <alignment horizontal="center" vertical="center" wrapText="1"/>
    </xf>
    <xf numFmtId="174" fontId="25" fillId="0" borderId="0" xfId="524" applyNumberFormat="1" applyFont="1"/>
    <xf numFmtId="175" fontId="25" fillId="0" borderId="0" xfId="524" applyNumberFormat="1" applyFont="1"/>
    <xf numFmtId="0" fontId="9" fillId="0" borderId="66" xfId="521" applyFont="1" applyBorder="1"/>
    <xf numFmtId="0" fontId="9" fillId="0" borderId="55" xfId="521" applyFont="1" applyBorder="1"/>
    <xf numFmtId="0" fontId="9" fillId="0" borderId="21" xfId="521" applyFont="1" applyBorder="1"/>
    <xf numFmtId="49" fontId="9" fillId="0" borderId="21" xfId="521" applyNumberFormat="1" applyFont="1" applyBorder="1"/>
    <xf numFmtId="0" fontId="9" fillId="0" borderId="17" xfId="521" applyFont="1" applyBorder="1"/>
    <xf numFmtId="0" fontId="9" fillId="0" borderId="22" xfId="521" applyFont="1" applyBorder="1"/>
    <xf numFmtId="176" fontId="25" fillId="0" borderId="0" xfId="379" applyNumberFormat="1" applyFont="1"/>
    <xf numFmtId="0" fontId="15" fillId="0" borderId="2" xfId="0" quotePrefix="1" applyFont="1" applyBorder="1" applyAlignment="1">
      <alignment horizontal="center" vertical="center" wrapText="1"/>
    </xf>
    <xf numFmtId="171" fontId="9" fillId="0" borderId="0" xfId="379" applyNumberFormat="1" applyFont="1" applyFill="1" applyBorder="1" applyAlignment="1">
      <alignment horizontal="center"/>
    </xf>
    <xf numFmtId="171" fontId="42" fillId="0" borderId="0" xfId="379" applyNumberFormat="1" applyFont="1" applyFill="1" applyBorder="1" applyAlignment="1">
      <alignment horizontal="center"/>
    </xf>
    <xf numFmtId="170" fontId="9" fillId="0" borderId="0" xfId="379" applyNumberFormat="1" applyFont="1" applyAlignment="1">
      <alignment horizontal="center"/>
    </xf>
    <xf numFmtId="170" fontId="9" fillId="0" borderId="0" xfId="379" applyNumberFormat="1" applyFont="1"/>
    <xf numFmtId="167" fontId="9" fillId="0" borderId="52" xfId="0" applyNumberFormat="1" applyFont="1" applyFill="1" applyBorder="1" applyAlignment="1">
      <alignment horizontal="center"/>
    </xf>
    <xf numFmtId="170" fontId="9" fillId="0" borderId="2" xfId="379" applyNumberFormat="1" applyFont="1" applyBorder="1"/>
    <xf numFmtId="0" fontId="9" fillId="0" borderId="8" xfId="0" applyFont="1" applyBorder="1"/>
    <xf numFmtId="167" fontId="9" fillId="0" borderId="11" xfId="0" applyNumberFormat="1" applyFont="1" applyFill="1" applyBorder="1" applyAlignment="1">
      <alignment horizontal="center"/>
    </xf>
    <xf numFmtId="0" fontId="16" fillId="0" borderId="1" xfId="0" applyFont="1" applyFill="1" applyBorder="1" applyAlignment="1" applyProtection="1">
      <alignment horizontal="center" wrapText="1"/>
      <protection locked="0"/>
    </xf>
    <xf numFmtId="0" fontId="9" fillId="0" borderId="0" xfId="0" applyFont="1" applyProtection="1">
      <protection locked="0"/>
    </xf>
    <xf numFmtId="0" fontId="9" fillId="0" borderId="0" xfId="0" applyFont="1" applyAlignment="1" applyProtection="1">
      <alignment horizontal="center"/>
      <protection locked="0"/>
    </xf>
    <xf numFmtId="0" fontId="24" fillId="0" borderId="0" xfId="0" applyFont="1" applyAlignment="1" applyProtection="1">
      <alignment horizontal="left"/>
      <protection locked="0"/>
    </xf>
    <xf numFmtId="0" fontId="9" fillId="0" borderId="0" xfId="0" applyFont="1" applyBorder="1" applyProtection="1">
      <protection locked="0"/>
    </xf>
    <xf numFmtId="0" fontId="9" fillId="0" borderId="1" xfId="0" applyFont="1" applyBorder="1" applyAlignment="1" applyProtection="1">
      <alignment horizontal="center"/>
      <protection locked="0"/>
    </xf>
    <xf numFmtId="49" fontId="9" fillId="0" borderId="1" xfId="0" applyNumberFormat="1" applyFont="1" applyBorder="1" applyAlignment="1" applyProtection="1">
      <alignment horizontal="center"/>
      <protection locked="0"/>
    </xf>
    <xf numFmtId="17" fontId="9" fillId="0" borderId="0"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wrapText="1"/>
      <protection locked="0"/>
    </xf>
    <xf numFmtId="0" fontId="16" fillId="33" borderId="1" xfId="0" applyFont="1" applyFill="1" applyBorder="1" applyAlignment="1" applyProtection="1">
      <alignment horizontal="center" wrapText="1"/>
      <protection locked="0"/>
    </xf>
    <xf numFmtId="0" fontId="56" fillId="0" borderId="0" xfId="0" applyFont="1" applyAlignment="1" applyProtection="1">
      <alignment horizontal="center"/>
      <protection locked="0"/>
    </xf>
    <xf numFmtId="0" fontId="55" fillId="0" borderId="0" xfId="0" applyFont="1" applyAlignment="1" applyProtection="1">
      <alignment horizontal="center"/>
      <protection locked="0"/>
    </xf>
    <xf numFmtId="0" fontId="55" fillId="0" borderId="1" xfId="0" applyFont="1" applyBorder="1" applyAlignment="1" applyProtection="1">
      <alignment horizontal="center"/>
      <protection locked="0"/>
    </xf>
    <xf numFmtId="167" fontId="9" fillId="0" borderId="30" xfId="0" applyNumberFormat="1" applyFont="1" applyBorder="1" applyAlignment="1">
      <alignment horizontal="center"/>
    </xf>
    <xf numFmtId="167" fontId="9" fillId="0" borderId="29" xfId="0" applyNumberFormat="1" applyFont="1" applyBorder="1" applyAlignment="1">
      <alignment horizontal="center"/>
    </xf>
    <xf numFmtId="0" fontId="0" fillId="0" borderId="0" xfId="0" applyProtection="1">
      <protection locked="0"/>
    </xf>
    <xf numFmtId="0" fontId="52" fillId="0" borderId="0" xfId="0" applyFont="1" applyBorder="1" applyAlignment="1" applyProtection="1">
      <alignment horizontal="left" vertical="center"/>
      <protection locked="0"/>
    </xf>
    <xf numFmtId="0" fontId="9" fillId="0" borderId="0" xfId="0" applyFont="1" applyFill="1" applyProtection="1">
      <protection locked="0"/>
    </xf>
    <xf numFmtId="17" fontId="9" fillId="0" borderId="23" xfId="0" applyNumberFormat="1" applyFont="1" applyBorder="1" applyAlignment="1" applyProtection="1">
      <alignment horizontal="center"/>
      <protection locked="0"/>
    </xf>
    <xf numFmtId="170" fontId="9" fillId="0" borderId="23" xfId="379" applyNumberFormat="1" applyFont="1" applyFill="1" applyBorder="1" applyAlignment="1" applyProtection="1">
      <alignment horizontal="center"/>
      <protection locked="0"/>
    </xf>
    <xf numFmtId="0" fontId="9" fillId="0" borderId="1" xfId="0" applyFont="1" applyFill="1" applyBorder="1" applyProtection="1">
      <protection locked="0"/>
    </xf>
    <xf numFmtId="43" fontId="9" fillId="0" borderId="1" xfId="379" applyFont="1" applyFill="1" applyBorder="1" applyProtection="1">
      <protection locked="0"/>
    </xf>
    <xf numFmtId="0" fontId="13" fillId="0" borderId="0" xfId="0" applyFont="1" applyProtection="1">
      <protection locked="0"/>
    </xf>
    <xf numFmtId="43" fontId="9" fillId="0" borderId="1" xfId="379" applyFont="1" applyBorder="1" applyAlignment="1" applyProtection="1">
      <alignment horizontal="center"/>
      <protection locked="0"/>
    </xf>
    <xf numFmtId="10" fontId="9" fillId="0" borderId="1" xfId="557" applyNumberFormat="1"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0" xfId="0" quotePrefix="1" applyFont="1" applyAlignment="1" applyProtection="1">
      <alignment horizontal="center"/>
      <protection locked="0"/>
    </xf>
    <xf numFmtId="9" fontId="9" fillId="0" borderId="0" xfId="557" applyFont="1" applyProtection="1">
      <protection locked="0"/>
    </xf>
    <xf numFmtId="0" fontId="16" fillId="0" borderId="0" xfId="0" applyFont="1" applyProtection="1">
      <protection locked="0"/>
    </xf>
    <xf numFmtId="10" fontId="16" fillId="0" borderId="0" xfId="0" applyNumberFormat="1" applyFont="1" applyAlignment="1" applyProtection="1">
      <alignment horizontal="center"/>
      <protection locked="0"/>
    </xf>
    <xf numFmtId="0" fontId="18" fillId="0" borderId="0" xfId="0" applyFont="1" applyAlignment="1" applyProtection="1">
      <alignment horizontal="left" indent="1"/>
      <protection locked="0"/>
    </xf>
    <xf numFmtId="17" fontId="9" fillId="0" borderId="0" xfId="0" applyNumberFormat="1" applyFont="1" applyBorder="1" applyProtection="1">
      <protection locked="0"/>
    </xf>
    <xf numFmtId="9" fontId="9" fillId="0" borderId="0" xfId="0" applyNumberFormat="1" applyFont="1" applyProtection="1">
      <protection locked="0"/>
    </xf>
    <xf numFmtId="3" fontId="9" fillId="0" borderId="0" xfId="0" applyNumberFormat="1" applyFont="1"/>
    <xf numFmtId="0" fontId="16" fillId="0" borderId="19" xfId="0" applyFont="1" applyFill="1" applyBorder="1" applyAlignment="1">
      <alignment horizontal="center"/>
    </xf>
    <xf numFmtId="3" fontId="42" fillId="0" borderId="10"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50" xfId="0" applyNumberFormat="1" applyFont="1" applyBorder="1" applyAlignment="1">
      <alignment horizontal="center" vertical="center" wrapText="1"/>
    </xf>
    <xf numFmtId="0" fontId="44" fillId="0" borderId="23" xfId="0" applyFont="1" applyBorder="1" applyAlignment="1">
      <alignment horizontal="center" vertical="center" wrapText="1"/>
    </xf>
    <xf numFmtId="3" fontId="42" fillId="0" borderId="1" xfId="0" applyNumberFormat="1" applyFont="1" applyBorder="1" applyAlignment="1">
      <alignment horizontal="center" vertical="center" wrapText="1"/>
    </xf>
    <xf numFmtId="1" fontId="42" fillId="33" borderId="51" xfId="0" applyNumberFormat="1" applyFont="1" applyFill="1" applyBorder="1" applyAlignment="1">
      <alignment horizontal="center"/>
    </xf>
    <xf numFmtId="1" fontId="42" fillId="33" borderId="67" xfId="0" applyNumberFormat="1" applyFont="1" applyFill="1" applyBorder="1" applyAlignment="1">
      <alignment horizontal="center"/>
    </xf>
    <xf numFmtId="0" fontId="9" fillId="0" borderId="39" xfId="0" applyFont="1" applyFill="1" applyBorder="1" applyAlignment="1">
      <alignment horizontal="left"/>
    </xf>
    <xf numFmtId="2" fontId="42" fillId="0" borderId="42" xfId="0" applyNumberFormat="1" applyFont="1" applyFill="1" applyBorder="1" applyAlignment="1">
      <alignment horizontal="center"/>
    </xf>
    <xf numFmtId="0" fontId="9" fillId="0" borderId="66" xfId="0" applyFont="1" applyFill="1" applyBorder="1" applyAlignment="1">
      <alignment horizontal="left"/>
    </xf>
    <xf numFmtId="0" fontId="9" fillId="0" borderId="26" xfId="0" applyFont="1" applyFill="1" applyBorder="1" applyAlignment="1">
      <alignment horizontal="center"/>
    </xf>
    <xf numFmtId="0" fontId="16" fillId="36" borderId="72" xfId="0" applyFont="1" applyFill="1" applyBorder="1" applyAlignment="1">
      <alignment horizontal="center"/>
    </xf>
    <xf numFmtId="0" fontId="16" fillId="36" borderId="73" xfId="0" applyFont="1" applyFill="1" applyBorder="1" applyAlignment="1">
      <alignment horizontal="center"/>
    </xf>
    <xf numFmtId="49" fontId="9" fillId="36" borderId="71" xfId="0" applyNumberFormat="1" applyFont="1" applyFill="1" applyBorder="1" applyAlignment="1">
      <alignment wrapText="1"/>
    </xf>
    <xf numFmtId="167" fontId="9" fillId="0" borderId="10" xfId="0" applyNumberFormat="1" applyFont="1" applyFill="1" applyBorder="1" applyAlignment="1">
      <alignment horizontal="center"/>
    </xf>
    <xf numFmtId="170" fontId="9" fillId="0" borderId="26" xfId="379" applyNumberFormat="1" applyFont="1" applyBorder="1"/>
    <xf numFmtId="170" fontId="9" fillId="0" borderId="1" xfId="379" applyNumberFormat="1" applyFont="1" applyBorder="1" applyAlignment="1">
      <alignment horizontal="center"/>
    </xf>
    <xf numFmtId="170" fontId="9" fillId="0" borderId="10" xfId="379" applyNumberFormat="1" applyFont="1" applyFill="1" applyBorder="1" applyAlignment="1">
      <alignment horizontal="center"/>
    </xf>
    <xf numFmtId="170" fontId="15" fillId="0" borderId="1" xfId="379" applyNumberFormat="1" applyFont="1" applyBorder="1" applyAlignment="1">
      <alignment horizontal="center"/>
    </xf>
    <xf numFmtId="170" fontId="9" fillId="33" borderId="1" xfId="379" applyNumberFormat="1" applyFont="1" applyFill="1" applyBorder="1" applyAlignment="1">
      <alignment horizontal="center"/>
    </xf>
    <xf numFmtId="170" fontId="9" fillId="33" borderId="10" xfId="379" applyNumberFormat="1" applyFont="1" applyFill="1" applyBorder="1" applyAlignment="1">
      <alignment horizontal="center"/>
    </xf>
    <xf numFmtId="170" fontId="9" fillId="0" borderId="0" xfId="0" applyNumberFormat="1" applyFont="1"/>
    <xf numFmtId="0" fontId="9" fillId="0" borderId="70" xfId="0" applyFont="1" applyBorder="1" applyAlignment="1">
      <alignment horizontal="center"/>
    </xf>
    <xf numFmtId="0" fontId="0" fillId="0" borderId="68" xfId="0" applyBorder="1"/>
    <xf numFmtId="0" fontId="64" fillId="0" borderId="0" xfId="0" applyFont="1" applyBorder="1"/>
    <xf numFmtId="0" fontId="65" fillId="0" borderId="50" xfId="0" applyFont="1" applyBorder="1"/>
    <xf numFmtId="0" fontId="65" fillId="0" borderId="54" xfId="0" applyFont="1" applyFill="1" applyBorder="1"/>
    <xf numFmtId="3" fontId="42" fillId="0" borderId="1" xfId="0" applyNumberFormat="1" applyFont="1" applyBorder="1" applyAlignment="1">
      <alignment horizontal="center" vertical="center" wrapText="1"/>
    </xf>
    <xf numFmtId="0" fontId="9" fillId="0" borderId="26" xfId="0" applyFont="1" applyBorder="1" applyAlignment="1">
      <alignment horizontal="center"/>
    </xf>
    <xf numFmtId="49" fontId="42" fillId="0" borderId="9" xfId="0" applyNumberFormat="1" applyFont="1" applyBorder="1" applyAlignment="1">
      <alignment horizontal="center" vertical="center" wrapText="1"/>
    </xf>
    <xf numFmtId="3" fontId="44" fillId="0" borderId="28" xfId="0" applyNumberFormat="1" applyFont="1" applyBorder="1" applyAlignment="1">
      <alignment horizontal="center" vertical="center" wrapText="1"/>
    </xf>
    <xf numFmtId="0" fontId="9" fillId="0" borderId="74" xfId="0" applyFont="1" applyBorder="1"/>
    <xf numFmtId="2" fontId="9" fillId="0" borderId="0" xfId="379" applyNumberFormat="1" applyFont="1" applyFill="1" applyBorder="1" applyAlignment="1" applyProtection="1">
      <alignment horizontal="center"/>
      <protection locked="0"/>
    </xf>
    <xf numFmtId="0" fontId="16" fillId="0" borderId="0" xfId="0" applyFont="1" applyFill="1" applyAlignment="1" applyProtection="1">
      <alignment horizontal="center" vertical="center"/>
      <protection locked="0"/>
    </xf>
    <xf numFmtId="0" fontId="55" fillId="0" borderId="1" xfId="0" applyFont="1" applyBorder="1" applyAlignment="1">
      <alignment horizontal="center"/>
    </xf>
    <xf numFmtId="169" fontId="15" fillId="0" borderId="52" xfId="0" applyNumberFormat="1" applyFont="1" applyBorder="1" applyAlignment="1">
      <alignment horizontal="center" vertical="center" wrapText="1"/>
    </xf>
    <xf numFmtId="0" fontId="55" fillId="0" borderId="15" xfId="0" applyFont="1" applyBorder="1" applyAlignment="1"/>
    <xf numFmtId="0" fontId="55" fillId="0" borderId="16" xfId="0" applyFont="1" applyBorder="1" applyAlignment="1"/>
    <xf numFmtId="0" fontId="9" fillId="0" borderId="0" xfId="0" applyFont="1" applyAlignment="1">
      <alignment horizontal="center" wrapText="1"/>
    </xf>
    <xf numFmtId="0" fontId="81" fillId="0" borderId="0" xfId="0" applyFont="1" applyAlignment="1">
      <alignment horizontal="left"/>
    </xf>
    <xf numFmtId="172" fontId="9" fillId="0" borderId="0" xfId="383" applyNumberFormat="1" applyFont="1" applyFill="1" applyBorder="1" applyAlignment="1"/>
    <xf numFmtId="0" fontId="55" fillId="0" borderId="39" xfId="0" applyFont="1" applyBorder="1" applyAlignment="1">
      <alignment horizontal="center" wrapText="1"/>
    </xf>
    <xf numFmtId="0" fontId="55" fillId="0" borderId="42" xfId="0" applyFont="1" applyBorder="1" applyAlignment="1">
      <alignment horizontal="center" wrapText="1"/>
    </xf>
    <xf numFmtId="3" fontId="55" fillId="0" borderId="30" xfId="0" applyNumberFormat="1" applyFont="1" applyBorder="1" applyAlignment="1">
      <alignment horizontal="center" vertical="center" wrapText="1"/>
    </xf>
    <xf numFmtId="3" fontId="55" fillId="0" borderId="8" xfId="0" applyNumberFormat="1" applyFont="1" applyBorder="1" applyAlignment="1">
      <alignment horizontal="center" vertical="center" wrapText="1"/>
    </xf>
    <xf numFmtId="0" fontId="55" fillId="0" borderId="51" xfId="0" applyFont="1" applyBorder="1" applyAlignment="1"/>
    <xf numFmtId="0" fontId="55" fillId="0" borderId="67" xfId="0" applyFont="1" applyBorder="1" applyAlignment="1"/>
    <xf numFmtId="3" fontId="55" fillId="0" borderId="55" xfId="0" applyNumberFormat="1" applyFont="1" applyBorder="1" applyAlignment="1">
      <alignment horizontal="center" vertical="center" wrapText="1"/>
    </xf>
    <xf numFmtId="3" fontId="55" fillId="0" borderId="21" xfId="0" applyNumberFormat="1" applyFont="1" applyBorder="1" applyAlignment="1">
      <alignment horizontal="center" vertical="center" wrapText="1"/>
    </xf>
    <xf numFmtId="3" fontId="55" fillId="0" borderId="22" xfId="0" applyNumberFormat="1" applyFont="1" applyBorder="1" applyAlignment="1">
      <alignment horizontal="center" vertical="center" wrapText="1"/>
    </xf>
    <xf numFmtId="49" fontId="55" fillId="0" borderId="1" xfId="0" applyNumberFormat="1" applyFont="1" applyBorder="1" applyAlignment="1">
      <alignment horizontal="center"/>
    </xf>
    <xf numFmtId="0" fontId="44" fillId="0" borderId="50" xfId="0" applyFont="1" applyFill="1" applyBorder="1" applyAlignment="1">
      <alignment horizontal="center" vertical="center" wrapText="1"/>
    </xf>
    <xf numFmtId="3" fontId="15" fillId="0" borderId="50" xfId="0" applyNumberFormat="1" applyFont="1" applyBorder="1" applyAlignment="1">
      <alignment horizontal="center" vertical="center" wrapText="1"/>
    </xf>
    <xf numFmtId="0" fontId="9" fillId="0" borderId="56" xfId="0" applyFont="1" applyBorder="1" applyAlignment="1">
      <alignment horizontal="center"/>
    </xf>
    <xf numFmtId="49" fontId="55" fillId="0" borderId="55" xfId="0" applyNumberFormat="1" applyFont="1" applyBorder="1" applyAlignment="1">
      <alignment horizontal="center"/>
    </xf>
    <xf numFmtId="49" fontId="55" fillId="0" borderId="21" xfId="0" applyNumberFormat="1" applyFont="1" applyBorder="1" applyAlignment="1">
      <alignment horizontal="center"/>
    </xf>
    <xf numFmtId="49" fontId="55" fillId="0" borderId="17" xfId="0" applyNumberFormat="1" applyFont="1" applyBorder="1" applyAlignment="1">
      <alignment horizontal="center"/>
    </xf>
    <xf numFmtId="0" fontId="53" fillId="0" borderId="37" xfId="636" applyFont="1" applyFill="1" applyBorder="1" applyAlignment="1">
      <alignment horizontal="center" vertical="center" wrapText="1"/>
    </xf>
    <xf numFmtId="43" fontId="15" fillId="0" borderId="1" xfId="379" applyFont="1" applyBorder="1" applyAlignment="1">
      <alignment horizontal="center" vertical="center" wrapText="1"/>
    </xf>
    <xf numFmtId="0" fontId="44" fillId="0" borderId="13" xfId="0" applyFont="1" applyFill="1" applyBorder="1" applyAlignment="1">
      <alignment horizontal="center" vertical="center" wrapText="1"/>
    </xf>
    <xf numFmtId="1" fontId="9" fillId="0" borderId="10" xfId="0" applyNumberFormat="1" applyFont="1" applyBorder="1" applyAlignment="1">
      <alignment horizontal="center"/>
    </xf>
    <xf numFmtId="3" fontId="55" fillId="0" borderId="56" xfId="0" applyNumberFormat="1" applyFont="1" applyBorder="1" applyAlignment="1">
      <alignment horizontal="center" vertical="center" wrapText="1"/>
    </xf>
    <xf numFmtId="3" fontId="55" fillId="0" borderId="50" xfId="0" applyNumberFormat="1" applyFont="1" applyBorder="1" applyAlignment="1">
      <alignment horizontal="center" vertical="center" wrapText="1"/>
    </xf>
    <xf numFmtId="173" fontId="9" fillId="0" borderId="8" xfId="379" applyNumberFormat="1" applyFont="1" applyFill="1" applyBorder="1" applyAlignment="1"/>
    <xf numFmtId="1" fontId="9" fillId="0" borderId="1" xfId="0" applyNumberFormat="1" applyFont="1" applyBorder="1" applyAlignment="1">
      <alignment horizontal="center"/>
    </xf>
    <xf numFmtId="43" fontId="9" fillId="0" borderId="1" xfId="0" applyNumberFormat="1" applyFont="1" applyBorder="1" applyAlignment="1">
      <alignment horizontal="center"/>
    </xf>
    <xf numFmtId="170" fontId="9" fillId="0" borderId="8" xfId="379" applyNumberFormat="1" applyFont="1" applyBorder="1" applyAlignment="1">
      <alignment horizontal="center"/>
    </xf>
    <xf numFmtId="170" fontId="9" fillId="0" borderId="11" xfId="379" applyNumberFormat="1" applyFont="1" applyBorder="1" applyAlignment="1">
      <alignment horizontal="center"/>
    </xf>
    <xf numFmtId="0" fontId="9" fillId="0" borderId="19"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176" fontId="9" fillId="0" borderId="50" xfId="0" applyNumberFormat="1" applyFont="1" applyBorder="1" applyAlignment="1">
      <alignment horizontal="center"/>
    </xf>
    <xf numFmtId="176" fontId="9" fillId="0" borderId="56" xfId="0" applyNumberFormat="1" applyFont="1" applyBorder="1" applyAlignment="1">
      <alignment horizontal="center"/>
    </xf>
    <xf numFmtId="170" fontId="9" fillId="0" borderId="21" xfId="379" applyNumberFormat="1" applyFont="1" applyBorder="1" applyAlignment="1">
      <alignment horizontal="center"/>
    </xf>
    <xf numFmtId="170" fontId="9" fillId="0" borderId="22" xfId="379" applyNumberFormat="1" applyFont="1" applyBorder="1" applyAlignment="1">
      <alignment horizontal="center"/>
    </xf>
    <xf numFmtId="0" fontId="9" fillId="0" borderId="36" xfId="0" applyFont="1" applyBorder="1" applyAlignment="1">
      <alignment horizontal="center" wrapText="1"/>
    </xf>
    <xf numFmtId="3" fontId="9" fillId="0" borderId="0" xfId="0" applyNumberFormat="1" applyFont="1" applyAlignment="1">
      <alignment horizontal="center"/>
    </xf>
    <xf numFmtId="0" fontId="84" fillId="0" borderId="0" xfId="0" applyFont="1" applyAlignment="1">
      <alignment horizontal="left"/>
    </xf>
    <xf numFmtId="1" fontId="44" fillId="0" borderId="2" xfId="0" applyNumberFormat="1" applyFont="1" applyBorder="1" applyAlignment="1">
      <alignment horizontal="center" vertical="center" wrapText="1"/>
    </xf>
    <xf numFmtId="0" fontId="44" fillId="0" borderId="19" xfId="0" applyFont="1" applyBorder="1" applyAlignment="1">
      <alignment horizontal="center" vertical="center" wrapText="1"/>
    </xf>
    <xf numFmtId="0" fontId="44" fillId="0" borderId="12" xfId="0" applyFont="1" applyBorder="1" applyAlignment="1">
      <alignment horizontal="center" vertical="center" wrapText="1"/>
    </xf>
    <xf numFmtId="0" fontId="85" fillId="0" borderId="80" xfId="0" applyFont="1" applyBorder="1"/>
    <xf numFmtId="0" fontId="85" fillId="0" borderId="81" xfId="0" quotePrefix="1" applyFont="1" applyBorder="1"/>
    <xf numFmtId="0" fontId="85" fillId="0" borderId="81" xfId="0" applyFont="1" applyBorder="1"/>
    <xf numFmtId="0" fontId="65" fillId="0" borderId="81" xfId="0" applyFont="1" applyBorder="1"/>
    <xf numFmtId="0" fontId="65" fillId="0" borderId="17" xfId="0" applyFont="1" applyBorder="1"/>
    <xf numFmtId="0" fontId="85" fillId="0" borderId="82" xfId="0" applyFont="1" applyBorder="1"/>
    <xf numFmtId="0" fontId="85" fillId="0" borderId="0" xfId="0" quotePrefix="1" applyFont="1" applyBorder="1"/>
    <xf numFmtId="0" fontId="85" fillId="0" borderId="0" xfId="0" applyFont="1" applyBorder="1"/>
    <xf numFmtId="0" fontId="65" fillId="0" borderId="0" xfId="0" applyFont="1" applyBorder="1"/>
    <xf numFmtId="0" fontId="65" fillId="0" borderId="68" xfId="0" applyFont="1" applyBorder="1"/>
    <xf numFmtId="0" fontId="85" fillId="0" borderId="54" xfId="0" applyFont="1" applyBorder="1"/>
    <xf numFmtId="0" fontId="85" fillId="0" borderId="70" xfId="0" quotePrefix="1" applyFont="1" applyBorder="1"/>
    <xf numFmtId="0" fontId="85" fillId="0" borderId="70" xfId="0" applyFont="1" applyBorder="1"/>
    <xf numFmtId="0" fontId="65" fillId="0" borderId="70" xfId="0" applyFont="1" applyBorder="1"/>
    <xf numFmtId="0" fontId="65" fillId="0" borderId="55" xfId="0" applyFont="1" applyBorder="1"/>
    <xf numFmtId="0" fontId="53" fillId="0" borderId="36" xfId="636" applyFont="1" applyFill="1" applyBorder="1" applyAlignment="1">
      <alignment horizontal="center" vertical="center" wrapText="1"/>
    </xf>
    <xf numFmtId="43" fontId="44" fillId="0" borderId="50" xfId="379" applyFont="1" applyBorder="1" applyAlignment="1">
      <alignment horizontal="center" vertical="center" wrapText="1"/>
    </xf>
    <xf numFmtId="172" fontId="9" fillId="0" borderId="8" xfId="383" applyNumberFormat="1" applyFont="1" applyFill="1" applyBorder="1" applyAlignment="1"/>
    <xf numFmtId="43" fontId="9" fillId="0" borderId="10" xfId="0" applyNumberFormat="1" applyFont="1" applyBorder="1" applyAlignment="1">
      <alignment horizontal="center"/>
    </xf>
    <xf numFmtId="176" fontId="44" fillId="0" borderId="1" xfId="379" applyNumberFormat="1" applyFont="1" applyBorder="1" applyAlignment="1">
      <alignment horizontal="center" vertical="center" wrapText="1"/>
    </xf>
    <xf numFmtId="0" fontId="53" fillId="0" borderId="35" xfId="636" applyFont="1" applyBorder="1" applyAlignment="1">
      <alignment horizontal="center" vertical="center" wrapText="1"/>
    </xf>
    <xf numFmtId="172" fontId="9" fillId="0" borderId="11" xfId="383" applyNumberFormat="1" applyFont="1" applyFill="1" applyBorder="1" applyAlignment="1"/>
    <xf numFmtId="177" fontId="15" fillId="0" borderId="1" xfId="0" applyNumberFormat="1" applyFont="1" applyBorder="1" applyAlignment="1">
      <alignment horizontal="center" vertical="center" wrapText="1"/>
    </xf>
    <xf numFmtId="176" fontId="15" fillId="0" borderId="1" xfId="379" applyNumberFormat="1" applyFont="1" applyBorder="1" applyAlignment="1">
      <alignment horizontal="center" vertical="center" wrapText="1"/>
    </xf>
    <xf numFmtId="0" fontId="25" fillId="0" borderId="0" xfId="524" applyFont="1"/>
    <xf numFmtId="10" fontId="9" fillId="0" borderId="0" xfId="559" applyNumberFormat="1" applyFont="1" applyBorder="1"/>
    <xf numFmtId="0" fontId="41" fillId="0" borderId="0" xfId="524" applyFont="1" applyBorder="1" applyAlignment="1">
      <alignment vertical="top" wrapText="1"/>
    </xf>
    <xf numFmtId="0" fontId="50" fillId="0" borderId="0" xfId="524" applyFont="1" applyBorder="1" applyAlignment="1">
      <alignment vertical="top" wrapText="1"/>
    </xf>
    <xf numFmtId="170" fontId="9" fillId="0" borderId="23" xfId="379" applyNumberFormat="1" applyFont="1" applyFill="1" applyBorder="1" applyAlignment="1">
      <alignment horizontal="center"/>
    </xf>
    <xf numFmtId="170" fontId="9" fillId="0" borderId="30" xfId="379" applyNumberFormat="1" applyFont="1" applyFill="1" applyBorder="1" applyAlignment="1">
      <alignment horizontal="center"/>
    </xf>
    <xf numFmtId="170" fontId="9" fillId="0" borderId="1" xfId="379" applyNumberFormat="1" applyFont="1" applyFill="1" applyBorder="1" applyAlignment="1">
      <alignment horizontal="center"/>
    </xf>
    <xf numFmtId="170" fontId="9" fillId="0" borderId="8" xfId="379" applyNumberFormat="1" applyFont="1" applyFill="1" applyBorder="1" applyAlignment="1">
      <alignment horizontal="center"/>
    </xf>
    <xf numFmtId="170" fontId="9" fillId="0" borderId="33" xfId="379" applyNumberFormat="1" applyFont="1" applyFill="1" applyBorder="1" applyAlignment="1">
      <alignment horizontal="center"/>
    </xf>
    <xf numFmtId="170" fontId="9" fillId="0" borderId="44" xfId="379" applyNumberFormat="1" applyFont="1" applyFill="1" applyBorder="1" applyAlignment="1">
      <alignment horizontal="center"/>
    </xf>
    <xf numFmtId="170" fontId="42" fillId="0" borderId="44" xfId="379" applyNumberFormat="1" applyFont="1" applyFill="1" applyBorder="1" applyAlignment="1">
      <alignment horizontal="center"/>
    </xf>
    <xf numFmtId="170" fontId="16" fillId="0" borderId="44" xfId="379" applyNumberFormat="1" applyFont="1" applyFill="1" applyBorder="1" applyAlignment="1">
      <alignment horizontal="center"/>
    </xf>
    <xf numFmtId="170" fontId="16" fillId="0" borderId="18" xfId="379" applyNumberFormat="1" applyFont="1" applyFill="1" applyBorder="1" applyAlignment="1">
      <alignment horizontal="center"/>
    </xf>
    <xf numFmtId="170" fontId="16" fillId="0" borderId="10" xfId="379" applyNumberFormat="1" applyFont="1" applyFill="1" applyBorder="1" applyAlignment="1">
      <alignment horizontal="center"/>
    </xf>
    <xf numFmtId="170" fontId="16" fillId="0" borderId="11" xfId="379" applyNumberFormat="1" applyFont="1" applyFill="1" applyBorder="1" applyAlignment="1">
      <alignment horizontal="center"/>
    </xf>
    <xf numFmtId="170" fontId="9" fillId="0" borderId="2" xfId="379" applyNumberFormat="1" applyFont="1" applyBorder="1"/>
    <xf numFmtId="170" fontId="9" fillId="0" borderId="9" xfId="379" applyNumberFormat="1" applyFont="1" applyBorder="1"/>
    <xf numFmtId="2" fontId="9" fillId="0" borderId="23" xfId="379" applyNumberFormat="1" applyFont="1" applyFill="1" applyBorder="1" applyAlignment="1" applyProtection="1">
      <alignment horizontal="center"/>
      <protection locked="0"/>
    </xf>
    <xf numFmtId="0" fontId="53" fillId="0" borderId="12" xfId="636" applyFont="1" applyFill="1" applyBorder="1" applyAlignment="1">
      <alignment horizontal="center" vertical="center" wrapText="1"/>
    </xf>
    <xf numFmtId="0" fontId="53" fillId="0" borderId="13" xfId="636" applyFont="1" applyFill="1" applyBorder="1" applyAlignment="1">
      <alignment horizontal="center" vertical="center" wrapText="1"/>
    </xf>
    <xf numFmtId="0" fontId="53" fillId="0" borderId="19" xfId="636" applyFont="1" applyBorder="1" applyAlignment="1">
      <alignment horizontal="center" vertical="center" wrapText="1"/>
    </xf>
    <xf numFmtId="0" fontId="16" fillId="0" borderId="17" xfId="0" applyFont="1" applyBorder="1"/>
    <xf numFmtId="0" fontId="16" fillId="0" borderId="22" xfId="0" applyFont="1" applyBorder="1"/>
    <xf numFmtId="170" fontId="9" fillId="0" borderId="1" xfId="379" applyNumberFormat="1" applyFont="1" applyFill="1" applyBorder="1" applyAlignment="1">
      <alignment horizontal="right"/>
    </xf>
    <xf numFmtId="170" fontId="42" fillId="0" borderId="1" xfId="379" applyNumberFormat="1" applyFont="1" applyFill="1" applyBorder="1" applyAlignment="1">
      <alignment horizontal="right"/>
    </xf>
    <xf numFmtId="170" fontId="42" fillId="0" borderId="8" xfId="379" applyNumberFormat="1" applyFont="1" applyFill="1" applyBorder="1" applyAlignment="1">
      <alignment horizontal="right"/>
    </xf>
    <xf numFmtId="170" fontId="9" fillId="0" borderId="44" xfId="379" applyNumberFormat="1" applyFont="1" applyFill="1" applyBorder="1" applyAlignment="1">
      <alignment horizontal="right"/>
    </xf>
    <xf numFmtId="170" fontId="42" fillId="0" borderId="44" xfId="379" applyNumberFormat="1" applyFont="1" applyFill="1" applyBorder="1" applyAlignment="1">
      <alignment horizontal="right"/>
    </xf>
    <xf numFmtId="170" fontId="42" fillId="0" borderId="18" xfId="379" applyNumberFormat="1" applyFont="1" applyFill="1" applyBorder="1" applyAlignment="1">
      <alignment horizontal="right"/>
    </xf>
    <xf numFmtId="170" fontId="16" fillId="0" borderId="44" xfId="379" applyNumberFormat="1" applyFont="1" applyFill="1" applyBorder="1" applyAlignment="1">
      <alignment horizontal="right"/>
    </xf>
    <xf numFmtId="170" fontId="16" fillId="0" borderId="18" xfId="379" applyNumberFormat="1" applyFont="1" applyFill="1" applyBorder="1" applyAlignment="1">
      <alignment horizontal="right"/>
    </xf>
    <xf numFmtId="43" fontId="16" fillId="0" borderId="44" xfId="379" applyNumberFormat="1" applyFont="1" applyFill="1" applyBorder="1" applyAlignment="1">
      <alignment horizontal="right"/>
    </xf>
    <xf numFmtId="170" fontId="16" fillId="0" borderId="10" xfId="379" applyNumberFormat="1" applyFont="1" applyFill="1" applyBorder="1" applyAlignment="1">
      <alignment horizontal="right"/>
    </xf>
    <xf numFmtId="170" fontId="16" fillId="0" borderId="11" xfId="379" applyNumberFormat="1" applyFont="1" applyFill="1" applyBorder="1" applyAlignment="1">
      <alignment horizontal="right"/>
    </xf>
    <xf numFmtId="49" fontId="9" fillId="62" borderId="26" xfId="0" applyNumberFormat="1" applyFont="1" applyFill="1" applyBorder="1" applyAlignment="1">
      <alignment horizontal="center"/>
    </xf>
    <xf numFmtId="49" fontId="9" fillId="62" borderId="42" xfId="0" applyNumberFormat="1" applyFont="1" applyFill="1" applyBorder="1" applyAlignment="1">
      <alignment horizontal="center"/>
    </xf>
    <xf numFmtId="0" fontId="9" fillId="62" borderId="26" xfId="0" applyFont="1" applyFill="1" applyBorder="1" applyAlignment="1">
      <alignment horizontal="center"/>
    </xf>
    <xf numFmtId="2" fontId="9" fillId="0" borderId="7" xfId="0" applyNumberFormat="1" applyFont="1" applyBorder="1"/>
    <xf numFmtId="2" fontId="9" fillId="0" borderId="2" xfId="0" applyNumberFormat="1" applyFont="1" applyBorder="1"/>
    <xf numFmtId="0" fontId="50" fillId="0" borderId="0" xfId="524" applyFont="1" applyAlignment="1">
      <alignment horizontal="center" vertical="center"/>
    </xf>
    <xf numFmtId="2" fontId="9" fillId="0" borderId="7" xfId="521" applyNumberFormat="1" applyFont="1" applyBorder="1"/>
    <xf numFmtId="2" fontId="9" fillId="0" borderId="2" xfId="521" applyNumberFormat="1" applyFont="1" applyBorder="1"/>
    <xf numFmtId="2" fontId="9" fillId="0" borderId="43" xfId="521" applyNumberFormat="1" applyFont="1" applyBorder="1"/>
    <xf numFmtId="49" fontId="9" fillId="0" borderId="42" xfId="521" applyNumberFormat="1" applyFont="1" applyBorder="1" applyAlignment="1">
      <alignment horizontal="center"/>
    </xf>
    <xf numFmtId="2" fontId="9" fillId="0" borderId="19" xfId="521" applyNumberFormat="1" applyFont="1" applyBorder="1"/>
    <xf numFmtId="0" fontId="9" fillId="0" borderId="20" xfId="521" applyFont="1" applyBorder="1"/>
    <xf numFmtId="0" fontId="9" fillId="0" borderId="12" xfId="521" applyFont="1" applyBorder="1" applyAlignment="1">
      <alignment horizontal="center"/>
    </xf>
    <xf numFmtId="170" fontId="9" fillId="0" borderId="18" xfId="379" applyNumberFormat="1" applyFont="1" applyFill="1" applyBorder="1" applyAlignment="1">
      <alignment horizontal="center"/>
    </xf>
    <xf numFmtId="170" fontId="25" fillId="0" borderId="12" xfId="379" applyNumberFormat="1" applyFont="1" applyBorder="1"/>
    <xf numFmtId="170" fontId="25" fillId="0" borderId="13" xfId="379" applyNumberFormat="1" applyFont="1" applyBorder="1"/>
    <xf numFmtId="170" fontId="25" fillId="0" borderId="1" xfId="379" applyNumberFormat="1" applyFont="1" applyBorder="1"/>
    <xf numFmtId="170" fontId="25" fillId="0" borderId="8" xfId="379" applyNumberFormat="1" applyFont="1" applyBorder="1"/>
    <xf numFmtId="170" fontId="9" fillId="0" borderId="11" xfId="379" applyNumberFormat="1" applyFont="1" applyFill="1" applyBorder="1" applyAlignment="1">
      <alignment horizontal="center"/>
    </xf>
    <xf numFmtId="3" fontId="9" fillId="0" borderId="1" xfId="558" applyNumberFormat="1" applyFont="1" applyFill="1" applyBorder="1" applyAlignment="1">
      <alignment horizontal="center"/>
    </xf>
    <xf numFmtId="3" fontId="9" fillId="0" borderId="1" xfId="379" applyNumberFormat="1" applyFont="1" applyFill="1" applyBorder="1" applyAlignment="1">
      <alignment horizontal="center"/>
    </xf>
    <xf numFmtId="3" fontId="9" fillId="0" borderId="10" xfId="558" applyNumberFormat="1" applyFont="1" applyFill="1" applyBorder="1" applyAlignment="1">
      <alignment horizontal="center"/>
    </xf>
    <xf numFmtId="0" fontId="9" fillId="0" borderId="39" xfId="521" applyFont="1" applyBorder="1" applyAlignment="1">
      <alignment horizontal="center" wrapText="1"/>
    </xf>
    <xf numFmtId="0" fontId="9" fillId="0" borderId="26" xfId="521" applyFont="1" applyBorder="1" applyAlignment="1">
      <alignment horizontal="center" wrapText="1"/>
    </xf>
    <xf numFmtId="0" fontId="9" fillId="0" borderId="69" xfId="521" applyFont="1" applyBorder="1" applyAlignment="1">
      <alignment horizontal="center" wrapText="1"/>
    </xf>
    <xf numFmtId="3" fontId="42" fillId="0" borderId="50" xfId="379" applyNumberFormat="1" applyFont="1" applyFill="1" applyBorder="1" applyAlignment="1">
      <alignment horizontal="center"/>
    </xf>
    <xf numFmtId="3" fontId="42" fillId="0" borderId="56" xfId="379" applyNumberFormat="1" applyFont="1" applyFill="1" applyBorder="1" applyAlignment="1">
      <alignment horizontal="center"/>
    </xf>
    <xf numFmtId="0" fontId="9" fillId="0" borderId="26" xfId="521" applyFont="1" applyFill="1" applyBorder="1" applyAlignment="1">
      <alignment horizontal="center" wrapText="1"/>
    </xf>
    <xf numFmtId="0" fontId="9" fillId="0" borderId="42" xfId="521" applyFont="1" applyFill="1" applyBorder="1" applyAlignment="1">
      <alignment horizontal="center" wrapText="1"/>
    </xf>
    <xf numFmtId="0" fontId="9" fillId="0" borderId="36" xfId="521" applyFont="1" applyFill="1" applyBorder="1" applyAlignment="1">
      <alignment horizontal="center" wrapText="1"/>
    </xf>
    <xf numFmtId="10" fontId="9" fillId="0" borderId="19" xfId="558" applyNumberFormat="1" applyFont="1" applyFill="1" applyBorder="1" applyAlignment="1">
      <alignment horizontal="center"/>
    </xf>
    <xf numFmtId="3" fontId="9" fillId="0" borderId="12" xfId="379" applyNumberFormat="1" applyFont="1" applyFill="1" applyBorder="1" applyAlignment="1">
      <alignment horizontal="center"/>
    </xf>
    <xf numFmtId="3" fontId="42" fillId="0" borderId="75" xfId="379" applyNumberFormat="1" applyFont="1" applyFill="1" applyBorder="1" applyAlignment="1">
      <alignment horizontal="center"/>
    </xf>
    <xf numFmtId="3" fontId="9" fillId="0" borderId="13" xfId="0" applyNumberFormat="1" applyFont="1" applyBorder="1"/>
    <xf numFmtId="3" fontId="9" fillId="0" borderId="8" xfId="0" applyNumberFormat="1" applyFont="1" applyBorder="1"/>
    <xf numFmtId="0" fontId="9" fillId="0" borderId="37" xfId="521" applyFont="1" applyFill="1" applyBorder="1" applyAlignment="1">
      <alignment horizontal="center" wrapText="1"/>
    </xf>
    <xf numFmtId="3" fontId="42" fillId="0" borderId="19" xfId="521" applyNumberFormat="1" applyFont="1" applyFill="1" applyBorder="1" applyAlignment="1">
      <alignment horizontal="center"/>
    </xf>
    <xf numFmtId="3" fontId="42" fillId="0" borderId="2" xfId="521" applyNumberFormat="1" applyFont="1" applyFill="1" applyBorder="1" applyAlignment="1">
      <alignment horizontal="center"/>
    </xf>
    <xf numFmtId="3" fontId="42" fillId="0" borderId="9" xfId="521" applyNumberFormat="1" applyFont="1" applyFill="1" applyBorder="1" applyAlignment="1">
      <alignment horizontal="center"/>
    </xf>
    <xf numFmtId="170" fontId="9" fillId="33" borderId="12" xfId="379" applyNumberFormat="1" applyFont="1" applyFill="1" applyBorder="1"/>
    <xf numFmtId="170" fontId="9" fillId="33" borderId="1" xfId="379" applyNumberFormat="1" applyFont="1" applyFill="1" applyBorder="1"/>
    <xf numFmtId="43" fontId="104" fillId="65" borderId="4" xfId="379" applyFont="1" applyFill="1" applyBorder="1" applyAlignment="1">
      <alignment horizontal="center" vertical="center"/>
    </xf>
    <xf numFmtId="0" fontId="13" fillId="0" borderId="0" xfId="0" applyFont="1" applyAlignment="1">
      <alignment horizontal="center" vertical="center"/>
    </xf>
    <xf numFmtId="3" fontId="9" fillId="0" borderId="12" xfId="521" applyNumberFormat="1" applyFont="1" applyFill="1" applyBorder="1" applyAlignment="1">
      <alignment horizontal="center"/>
    </xf>
    <xf numFmtId="0" fontId="9" fillId="0" borderId="35" xfId="521" applyFont="1" applyBorder="1" applyAlignment="1">
      <alignment horizontal="center" wrapText="1"/>
    </xf>
    <xf numFmtId="170" fontId="9" fillId="0" borderId="12" xfId="379" applyNumberFormat="1" applyFont="1" applyFill="1" applyBorder="1" applyAlignment="1">
      <alignment horizontal="center"/>
    </xf>
    <xf numFmtId="170" fontId="9" fillId="0" borderId="13" xfId="379" applyNumberFormat="1" applyFont="1" applyFill="1" applyBorder="1" applyAlignment="1">
      <alignment horizontal="center"/>
    </xf>
    <xf numFmtId="0" fontId="9" fillId="0" borderId="27" xfId="521" applyFont="1" applyBorder="1"/>
    <xf numFmtId="170" fontId="9" fillId="0" borderId="28" xfId="379" applyNumberFormat="1" applyFont="1" applyFill="1" applyBorder="1" applyAlignment="1">
      <alignment horizontal="center"/>
    </xf>
    <xf numFmtId="170" fontId="9" fillId="0" borderId="29" xfId="379" applyNumberFormat="1" applyFont="1" applyFill="1" applyBorder="1" applyAlignment="1">
      <alignment horizontal="center"/>
    </xf>
    <xf numFmtId="0" fontId="9" fillId="0" borderId="28" xfId="521" applyFont="1" applyBorder="1"/>
    <xf numFmtId="3" fontId="9" fillId="0" borderId="28" xfId="521" applyNumberFormat="1" applyFont="1" applyFill="1" applyBorder="1" applyAlignment="1">
      <alignment horizontal="center"/>
    </xf>
    <xf numFmtId="0" fontId="9" fillId="33" borderId="10" xfId="0" applyFont="1" applyFill="1" applyBorder="1"/>
    <xf numFmtId="3" fontId="42" fillId="0" borderId="27" xfId="521" applyNumberFormat="1" applyFont="1" applyFill="1" applyBorder="1" applyAlignment="1">
      <alignment horizontal="center"/>
    </xf>
    <xf numFmtId="3" fontId="9" fillId="0" borderId="29" xfId="521" applyNumberFormat="1" applyFont="1" applyFill="1" applyBorder="1" applyAlignment="1">
      <alignment horizontal="center"/>
    </xf>
    <xf numFmtId="0" fontId="9" fillId="62" borderId="39" xfId="0" applyFont="1" applyFill="1" applyBorder="1"/>
    <xf numFmtId="0" fontId="9" fillId="62" borderId="26" xfId="0" applyFont="1" applyFill="1" applyBorder="1"/>
    <xf numFmtId="0" fontId="16" fillId="0" borderId="32" xfId="0" applyFont="1" applyBorder="1"/>
    <xf numFmtId="0" fontId="16" fillId="0" borderId="68" xfId="0" applyFont="1" applyBorder="1"/>
    <xf numFmtId="0" fontId="16" fillId="0" borderId="33" xfId="0" applyFont="1" applyBorder="1"/>
    <xf numFmtId="170" fontId="16" fillId="0" borderId="33" xfId="379" applyNumberFormat="1" applyFont="1" applyFill="1" applyBorder="1" applyAlignment="1">
      <alignment horizontal="right"/>
    </xf>
    <xf numFmtId="170" fontId="16" fillId="0" borderId="34" xfId="379" applyNumberFormat="1" applyFont="1" applyFill="1" applyBorder="1" applyAlignment="1">
      <alignment horizontal="right"/>
    </xf>
    <xf numFmtId="0" fontId="9" fillId="0" borderId="22" xfId="0" applyFont="1" applyBorder="1"/>
    <xf numFmtId="170" fontId="9" fillId="0" borderId="10" xfId="379" applyNumberFormat="1" applyFont="1" applyFill="1" applyBorder="1" applyAlignment="1">
      <alignment horizontal="right"/>
    </xf>
    <xf numFmtId="170" fontId="42" fillId="0" borderId="10" xfId="379" applyNumberFormat="1" applyFont="1" applyFill="1" applyBorder="1" applyAlignment="1">
      <alignment horizontal="right"/>
    </xf>
    <xf numFmtId="170" fontId="42" fillId="0" borderId="11" xfId="379" applyNumberFormat="1" applyFont="1" applyFill="1" applyBorder="1" applyAlignment="1">
      <alignment horizontal="right"/>
    </xf>
    <xf numFmtId="49" fontId="9" fillId="0" borderId="32" xfId="0" applyNumberFormat="1" applyFont="1" applyBorder="1"/>
    <xf numFmtId="0" fontId="9" fillId="0" borderId="33" xfId="0" applyFont="1" applyBorder="1"/>
    <xf numFmtId="43" fontId="42" fillId="0" borderId="33" xfId="379" applyNumberFormat="1" applyFont="1" applyFill="1" applyBorder="1" applyAlignment="1">
      <alignment horizontal="center"/>
    </xf>
    <xf numFmtId="170" fontId="42" fillId="0" borderId="10" xfId="379" applyNumberFormat="1" applyFont="1" applyFill="1" applyBorder="1" applyAlignment="1">
      <alignment horizontal="center"/>
    </xf>
    <xf numFmtId="2" fontId="9" fillId="0" borderId="43" xfId="0" applyNumberFormat="1" applyFont="1" applyBorder="1"/>
    <xf numFmtId="170" fontId="9" fillId="0" borderId="34" xfId="379" applyNumberFormat="1" applyFont="1" applyFill="1" applyBorder="1" applyAlignment="1">
      <alignment horizontal="center"/>
    </xf>
    <xf numFmtId="0" fontId="53" fillId="0" borderId="20" xfId="636" applyFont="1" applyBorder="1" applyAlignment="1">
      <alignment horizontal="center" vertical="center" wrapText="1"/>
    </xf>
    <xf numFmtId="0" fontId="44" fillId="0" borderId="21" xfId="0" applyFont="1" applyFill="1" applyBorder="1" applyAlignment="1">
      <alignment horizontal="center" vertical="center" wrapText="1"/>
    </xf>
    <xf numFmtId="0" fontId="42" fillId="0" borderId="21" xfId="0" applyFont="1" applyBorder="1" applyAlignment="1">
      <alignment horizontal="center" vertical="center" wrapText="1"/>
    </xf>
    <xf numFmtId="0" fontId="15" fillId="0" borderId="55" xfId="0" quotePrefix="1" applyFont="1" applyBorder="1" applyAlignment="1">
      <alignment horizontal="center" vertical="center" wrapText="1"/>
    </xf>
    <xf numFmtId="0" fontId="9" fillId="0" borderId="22" xfId="0" applyFont="1" applyBorder="1" applyAlignment="1">
      <alignment horizontal="center"/>
    </xf>
    <xf numFmtId="0" fontId="9" fillId="0" borderId="20" xfId="0" applyFont="1" applyBorder="1" applyAlignment="1">
      <alignment horizontal="center" wrapText="1"/>
    </xf>
    <xf numFmtId="49" fontId="9" fillId="0" borderId="21" xfId="0" applyNumberFormat="1" applyFont="1" applyBorder="1" applyAlignment="1">
      <alignment horizontal="center"/>
    </xf>
    <xf numFmtId="49" fontId="9" fillId="0" borderId="22" xfId="0" applyNumberFormat="1" applyFont="1" applyBorder="1" applyAlignment="1">
      <alignment horizontal="center"/>
    </xf>
    <xf numFmtId="0" fontId="15" fillId="0" borderId="21" xfId="0" quotePrefix="1" applyFont="1" applyBorder="1" applyAlignment="1">
      <alignment horizontal="center" vertical="center" wrapText="1"/>
    </xf>
    <xf numFmtId="3" fontId="42" fillId="0" borderId="23" xfId="0" applyNumberFormat="1" applyFont="1" applyBorder="1" applyAlignment="1">
      <alignment horizontal="center" vertical="center" wrapText="1"/>
    </xf>
    <xf numFmtId="0" fontId="65" fillId="0" borderId="50" xfId="0" applyFont="1" applyBorder="1" applyAlignment="1">
      <alignment horizontal="left"/>
    </xf>
    <xf numFmtId="185" fontId="106" fillId="0" borderId="1" xfId="890" applyNumberFormat="1" applyFont="1" applyBorder="1"/>
    <xf numFmtId="0" fontId="65" fillId="0" borderId="1" xfId="860" applyFont="1" applyBorder="1" applyAlignment="1">
      <alignment horizontal="center"/>
    </xf>
    <xf numFmtId="0" fontId="105" fillId="0" borderId="0" xfId="0" applyFont="1" applyProtection="1">
      <protection locked="0"/>
    </xf>
    <xf numFmtId="0" fontId="65" fillId="0" borderId="1" xfId="860" applyFont="1" applyBorder="1"/>
    <xf numFmtId="49" fontId="9" fillId="36" borderId="115" xfId="0" applyNumberFormat="1" applyFont="1" applyFill="1" applyBorder="1" applyAlignment="1">
      <alignment wrapText="1"/>
    </xf>
    <xf numFmtId="0" fontId="16" fillId="36" borderId="116" xfId="0" applyFont="1" applyFill="1" applyBorder="1" applyAlignment="1">
      <alignment horizontal="center"/>
    </xf>
    <xf numFmtId="0" fontId="16" fillId="36" borderId="117" xfId="0" applyFont="1" applyFill="1" applyBorder="1" applyAlignment="1">
      <alignment horizontal="center"/>
    </xf>
    <xf numFmtId="0" fontId="61" fillId="0" borderId="0" xfId="0" applyFont="1" applyAlignment="1">
      <alignment vertical="center" wrapText="1"/>
    </xf>
    <xf numFmtId="170" fontId="44" fillId="0" borderId="23" xfId="379" applyNumberFormat="1" applyFont="1" applyBorder="1" applyAlignment="1">
      <alignment horizontal="right" vertical="center" wrapText="1"/>
    </xf>
    <xf numFmtId="170" fontId="44" fillId="0" borderId="30" xfId="379" applyNumberFormat="1" applyFont="1" applyBorder="1" applyAlignment="1">
      <alignment horizontal="right" vertical="center" wrapText="1"/>
    </xf>
    <xf numFmtId="170" fontId="9" fillId="0" borderId="8" xfId="379" applyNumberFormat="1" applyFont="1" applyFill="1" applyBorder="1" applyAlignment="1">
      <alignment horizontal="right"/>
    </xf>
    <xf numFmtId="170" fontId="44" fillId="0" borderId="1" xfId="379" applyNumberFormat="1" applyFont="1" applyBorder="1" applyAlignment="1">
      <alignment horizontal="right" vertical="center" wrapText="1"/>
    </xf>
    <xf numFmtId="170" fontId="44" fillId="0" borderId="8" xfId="379" applyNumberFormat="1" applyFont="1" applyBorder="1" applyAlignment="1">
      <alignment horizontal="right" vertical="center" wrapText="1"/>
    </xf>
    <xf numFmtId="0" fontId="23" fillId="0" borderId="0" xfId="0" applyFont="1" applyAlignment="1">
      <alignment horizontal="center" vertical="top"/>
    </xf>
    <xf numFmtId="0" fontId="13" fillId="0" borderId="0" xfId="0" applyFont="1"/>
    <xf numFmtId="1" fontId="9" fillId="33" borderId="67" xfId="0" applyNumberFormat="1" applyFont="1" applyFill="1" applyBorder="1" applyAlignment="1">
      <alignment horizontal="center"/>
    </xf>
    <xf numFmtId="170" fontId="9" fillId="0" borderId="28" xfId="379" applyNumberFormat="1" applyFont="1" applyBorder="1"/>
    <xf numFmtId="0" fontId="9" fillId="0" borderId="51" xfId="0" applyFont="1" applyFill="1" applyBorder="1" applyAlignment="1">
      <alignment horizontal="center"/>
    </xf>
    <xf numFmtId="0" fontId="108" fillId="0" borderId="0" xfId="0" applyFont="1" applyAlignment="1" applyProtection="1">
      <alignment horizontal="right"/>
      <protection locked="0"/>
    </xf>
    <xf numFmtId="167" fontId="9" fillId="0" borderId="28" xfId="0" applyNumberFormat="1" applyFont="1" applyBorder="1"/>
    <xf numFmtId="1" fontId="9" fillId="33" borderId="51" xfId="0" applyNumberFormat="1" applyFont="1" applyFill="1" applyBorder="1" applyAlignment="1">
      <alignment horizontal="center"/>
    </xf>
    <xf numFmtId="17" fontId="9" fillId="65" borderId="23" xfId="0" applyNumberFormat="1" applyFont="1" applyFill="1" applyBorder="1" applyAlignment="1" applyProtection="1">
      <alignment horizontal="center"/>
      <protection locked="0"/>
    </xf>
    <xf numFmtId="3" fontId="9" fillId="33" borderId="2" xfId="0" applyNumberFormat="1" applyFont="1" applyFill="1" applyBorder="1" applyAlignment="1">
      <alignment horizontal="center"/>
    </xf>
    <xf numFmtId="3" fontId="9" fillId="33" borderId="1" xfId="379" applyNumberFormat="1" applyFont="1" applyFill="1" applyBorder="1" applyAlignment="1">
      <alignment horizontal="center"/>
    </xf>
    <xf numFmtId="43" fontId="9" fillId="33" borderId="1" xfId="379" applyNumberFormat="1" applyFont="1" applyFill="1" applyBorder="1" applyAlignment="1">
      <alignment horizontal="center"/>
    </xf>
    <xf numFmtId="3" fontId="9" fillId="33" borderId="23" xfId="379" applyNumberFormat="1" applyFont="1" applyFill="1" applyBorder="1" applyAlignment="1">
      <alignment horizontal="center" vertical="center"/>
    </xf>
    <xf numFmtId="170" fontId="9" fillId="33" borderId="1" xfId="379" applyNumberFormat="1" applyFont="1" applyFill="1" applyBorder="1" applyAlignment="1">
      <alignment horizontal="center"/>
    </xf>
    <xf numFmtId="170" fontId="9" fillId="33" borderId="1" xfId="379" applyNumberFormat="1" applyFont="1" applyFill="1" applyBorder="1" applyAlignment="1">
      <alignment horizontal="center"/>
    </xf>
    <xf numFmtId="2" fontId="9" fillId="33" borderId="23" xfId="379" applyNumberFormat="1" applyFont="1" applyFill="1" applyBorder="1" applyAlignment="1">
      <alignment horizontal="center"/>
    </xf>
    <xf numFmtId="2" fontId="9" fillId="33" borderId="1" xfId="379" applyNumberFormat="1" applyFont="1" applyFill="1" applyBorder="1" applyAlignment="1">
      <alignment horizontal="center"/>
    </xf>
    <xf numFmtId="43" fontId="9" fillId="0" borderId="1" xfId="379" applyFont="1" applyBorder="1" applyAlignment="1">
      <alignment horizontal="center"/>
    </xf>
    <xf numFmtId="10" fontId="9" fillId="0" borderId="1" xfId="933" applyNumberFormat="1" applyFont="1" applyBorder="1" applyAlignment="1">
      <alignment horizontal="center"/>
    </xf>
    <xf numFmtId="49" fontId="9" fillId="0" borderId="1" xfId="1413" applyNumberFormat="1" applyFont="1" applyBorder="1" applyAlignment="1">
      <alignment horizontal="center"/>
    </xf>
    <xf numFmtId="0" fontId="16" fillId="0" borderId="1" xfId="1413" applyFont="1" applyBorder="1" applyAlignment="1">
      <alignment horizontal="center"/>
    </xf>
    <xf numFmtId="0" fontId="16" fillId="0" borderId="1" xfId="521" applyFont="1" applyBorder="1" applyAlignment="1">
      <alignment horizontal="center"/>
    </xf>
    <xf numFmtId="0" fontId="9" fillId="0" borderId="0" xfId="0" applyFont="1"/>
    <xf numFmtId="0" fontId="9" fillId="0" borderId="0" xfId="0" applyFont="1" applyFill="1" applyBorder="1" applyAlignment="1">
      <alignment horizontal="center"/>
    </xf>
    <xf numFmtId="0" fontId="9" fillId="0" borderId="17" xfId="0" applyFont="1" applyFill="1" applyBorder="1" applyAlignment="1">
      <alignment horizontal="center"/>
    </xf>
    <xf numFmtId="0" fontId="9" fillId="0" borderId="20" xfId="0" applyFont="1" applyFill="1" applyBorder="1" applyAlignment="1">
      <alignment horizontal="left"/>
    </xf>
    <xf numFmtId="3" fontId="44" fillId="0" borderId="1" xfId="0" applyNumberFormat="1" applyFont="1" applyBorder="1" applyAlignment="1">
      <alignment horizontal="center" vertical="center" wrapText="1"/>
    </xf>
    <xf numFmtId="3" fontId="42" fillId="33" borderId="8" xfId="0" applyNumberFormat="1" applyFont="1" applyFill="1" applyBorder="1" applyAlignment="1">
      <alignment horizontal="center"/>
    </xf>
    <xf numFmtId="3" fontId="9" fillId="33" borderId="1" xfId="0" applyNumberFormat="1" applyFont="1" applyFill="1" applyBorder="1" applyAlignment="1">
      <alignment horizontal="center"/>
    </xf>
    <xf numFmtId="3" fontId="9" fillId="33" borderId="2" xfId="379" applyNumberFormat="1" applyFont="1" applyFill="1" applyBorder="1" applyAlignment="1">
      <alignment horizontal="center"/>
    </xf>
    <xf numFmtId="3" fontId="9" fillId="33" borderId="21" xfId="0" applyNumberFormat="1" applyFont="1" applyFill="1" applyBorder="1" applyAlignment="1">
      <alignment horizontal="center"/>
    </xf>
    <xf numFmtId="3" fontId="9" fillId="33" borderId="21" xfId="379" applyNumberFormat="1" applyFont="1" applyFill="1" applyBorder="1" applyAlignment="1">
      <alignment horizontal="center"/>
    </xf>
    <xf numFmtId="0" fontId="0" fillId="0" borderId="0" xfId="0" applyFill="1" applyBorder="1" applyAlignment="1"/>
    <xf numFmtId="0" fontId="0" fillId="0" borderId="25" xfId="0" applyFill="1" applyBorder="1" applyAlignment="1"/>
    <xf numFmtId="0" fontId="58" fillId="0" borderId="24" xfId="0" applyFont="1" applyFill="1" applyBorder="1" applyAlignment="1">
      <alignment horizontal="center"/>
    </xf>
    <xf numFmtId="0" fontId="58" fillId="0" borderId="24" xfId="0" applyFont="1" applyFill="1" applyBorder="1" applyAlignment="1">
      <alignment horizontal="centerContinuous"/>
    </xf>
    <xf numFmtId="0" fontId="16" fillId="0" borderId="27" xfId="0" applyFont="1" applyBorder="1" applyAlignment="1">
      <alignment horizontal="center"/>
    </xf>
    <xf numFmtId="0" fontId="16" fillId="0" borderId="81" xfId="0" applyFont="1" applyBorder="1" applyAlignment="1" applyProtection="1">
      <alignment horizontal="center" wrapText="1"/>
      <protection locked="0"/>
    </xf>
    <xf numFmtId="0" fontId="16" fillId="0" borderId="81" xfId="0" applyFont="1" applyFill="1" applyBorder="1" applyAlignment="1" applyProtection="1">
      <alignment horizontal="center" wrapText="1"/>
      <protection locked="0"/>
    </xf>
    <xf numFmtId="0" fontId="60" fillId="0" borderId="81" xfId="0" applyFont="1" applyFill="1" applyBorder="1" applyAlignment="1" applyProtection="1">
      <alignment vertical="center" wrapText="1"/>
      <protection locked="0"/>
    </xf>
    <xf numFmtId="17" fontId="9"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wrapText="1"/>
      <protection locked="0"/>
    </xf>
    <xf numFmtId="0" fontId="9" fillId="0" borderId="81" xfId="0" applyFont="1" applyBorder="1" applyAlignment="1" applyProtection="1">
      <alignment horizontal="center"/>
      <protection locked="0"/>
    </xf>
    <xf numFmtId="0" fontId="0" fillId="0" borderId="0" xfId="0" applyBorder="1" applyProtection="1">
      <protection locked="0"/>
    </xf>
    <xf numFmtId="170" fontId="9" fillId="0" borderId="1" xfId="379" applyNumberFormat="1" applyFont="1" applyFill="1" applyBorder="1" applyAlignment="1" applyProtection="1">
      <alignment horizontal="center"/>
      <protection locked="0"/>
    </xf>
    <xf numFmtId="0" fontId="110" fillId="0" borderId="0" xfId="0" applyFont="1" applyProtection="1">
      <protection locked="0"/>
    </xf>
    <xf numFmtId="0" fontId="16" fillId="0" borderId="44" xfId="0" applyFont="1" applyBorder="1" applyAlignment="1" applyProtection="1">
      <alignment horizontal="center"/>
      <protection locked="0"/>
    </xf>
    <xf numFmtId="2" fontId="16" fillId="33" borderId="23" xfId="379" applyNumberFormat="1" applyFont="1" applyFill="1" applyBorder="1" applyAlignment="1" applyProtection="1">
      <alignment horizontal="center" wrapText="1"/>
      <protection locked="0"/>
    </xf>
    <xf numFmtId="2" fontId="16" fillId="33" borderId="1" xfId="379" applyNumberFormat="1" applyFont="1" applyFill="1" applyBorder="1" applyAlignment="1" applyProtection="1">
      <alignment horizontal="center" wrapText="1"/>
      <protection locked="0"/>
    </xf>
    <xf numFmtId="0" fontId="16" fillId="0" borderId="68" xfId="0" applyFont="1" applyBorder="1" applyProtection="1">
      <protection locked="0"/>
    </xf>
    <xf numFmtId="0" fontId="16" fillId="0" borderId="0" xfId="0" applyFont="1" applyFill="1" applyProtection="1">
      <protection locked="0"/>
    </xf>
    <xf numFmtId="0" fontId="16" fillId="0" borderId="0" xfId="0" applyFont="1" applyAlignment="1" applyProtection="1">
      <alignment horizontal="center"/>
      <protection locked="0"/>
    </xf>
    <xf numFmtId="2" fontId="20" fillId="33" borderId="4" xfId="379" applyNumberFormat="1" applyFont="1" applyFill="1" applyBorder="1" applyAlignment="1" applyProtection="1">
      <alignment horizontal="center"/>
      <protection locked="0"/>
    </xf>
    <xf numFmtId="0" fontId="55" fillId="0" borderId="0" xfId="0" applyFont="1" applyBorder="1" applyAlignment="1">
      <alignment horizontal="center"/>
    </xf>
    <xf numFmtId="0" fontId="55" fillId="0" borderId="0" xfId="0" applyFont="1" applyBorder="1" applyAlignment="1"/>
    <xf numFmtId="0" fontId="48" fillId="0" borderId="0" xfId="767" applyFont="1"/>
    <xf numFmtId="49" fontId="9" fillId="0" borderId="0" xfId="768" applyNumberFormat="1" applyFont="1" applyBorder="1" applyAlignment="1">
      <alignment vertical="top" wrapText="1"/>
    </xf>
    <xf numFmtId="49" fontId="48" fillId="0" borderId="0" xfId="767" applyNumberFormat="1" applyFont="1" applyAlignment="1">
      <alignment vertical="top" wrapText="1"/>
    </xf>
    <xf numFmtId="0" fontId="49" fillId="34" borderId="45" xfId="767" applyFont="1" applyFill="1" applyBorder="1" applyAlignment="1">
      <alignment horizontal="right"/>
    </xf>
    <xf numFmtId="0" fontId="49" fillId="34" borderId="0" xfId="767" applyFont="1" applyFill="1" applyBorder="1" applyAlignment="1">
      <alignment horizontal="right"/>
    </xf>
    <xf numFmtId="0" fontId="49" fillId="34" borderId="41" xfId="767" applyFont="1" applyFill="1" applyBorder="1" applyAlignment="1">
      <alignment horizontal="right"/>
    </xf>
    <xf numFmtId="0" fontId="48" fillId="0" borderId="45" xfId="767" applyFont="1" applyBorder="1"/>
    <xf numFmtId="10" fontId="19" fillId="0" borderId="0" xfId="769" applyNumberFormat="1" applyFont="1" applyBorder="1"/>
    <xf numFmtId="10" fontId="19" fillId="0" borderId="101" xfId="769" applyNumberFormat="1" applyFont="1" applyBorder="1"/>
    <xf numFmtId="10" fontId="19" fillId="0" borderId="41" xfId="769" applyNumberFormat="1" applyFont="1" applyBorder="1"/>
    <xf numFmtId="0" fontId="48" fillId="0" borderId="0" xfId="767" applyFont="1" applyBorder="1"/>
    <xf numFmtId="0" fontId="48" fillId="0" borderId="94" xfId="767" applyFont="1" applyBorder="1"/>
    <xf numFmtId="0" fontId="48" fillId="0" borderId="100" xfId="767" applyFont="1" applyBorder="1"/>
    <xf numFmtId="10" fontId="19" fillId="0" borderId="102" xfId="769" applyNumberFormat="1" applyFont="1" applyBorder="1"/>
    <xf numFmtId="10" fontId="19" fillId="0" borderId="95" xfId="769" applyNumberFormat="1" applyFont="1" applyBorder="1"/>
    <xf numFmtId="0" fontId="49" fillId="0" borderId="45" xfId="767" applyFont="1" applyBorder="1"/>
    <xf numFmtId="10" fontId="49" fillId="0" borderId="0" xfId="767" applyNumberFormat="1" applyFont="1" applyBorder="1"/>
    <xf numFmtId="10" fontId="49" fillId="0" borderId="101" xfId="767" applyNumberFormat="1" applyFont="1" applyBorder="1"/>
    <xf numFmtId="10" fontId="49" fillId="0" borderId="41" xfId="767" applyNumberFormat="1" applyFont="1" applyBorder="1"/>
    <xf numFmtId="43" fontId="19" fillId="33" borderId="0" xfId="768" applyNumberFormat="1" applyFont="1" applyFill="1" applyBorder="1"/>
    <xf numFmtId="43" fontId="19" fillId="33" borderId="17" xfId="768" applyNumberFormat="1" applyFont="1" applyFill="1" applyBorder="1"/>
    <xf numFmtId="43" fontId="19" fillId="0" borderId="41" xfId="768" applyNumberFormat="1" applyFont="1" applyBorder="1"/>
    <xf numFmtId="43" fontId="19" fillId="0" borderId="0" xfId="768" applyNumberFormat="1" applyFont="1" applyBorder="1"/>
    <xf numFmtId="43" fontId="19" fillId="33" borderId="105" xfId="768" applyNumberFormat="1" applyFont="1" applyFill="1" applyBorder="1"/>
    <xf numFmtId="43" fontId="19" fillId="33" borderId="113" xfId="768" applyNumberFormat="1" applyFont="1" applyFill="1" applyBorder="1"/>
    <xf numFmtId="43" fontId="19" fillId="0" borderId="100" xfId="768" applyNumberFormat="1" applyFont="1" applyBorder="1"/>
    <xf numFmtId="43" fontId="19" fillId="0" borderId="114" xfId="768" applyNumberFormat="1" applyFont="1" applyBorder="1"/>
    <xf numFmtId="43" fontId="19" fillId="0" borderId="95" xfId="768" applyNumberFormat="1" applyFont="1" applyBorder="1"/>
    <xf numFmtId="0" fontId="49" fillId="0" borderId="46" xfId="767" applyFont="1" applyBorder="1"/>
    <xf numFmtId="43" fontId="49" fillId="0" borderId="25" xfId="768" applyNumberFormat="1" applyFont="1" applyBorder="1"/>
    <xf numFmtId="43" fontId="49" fillId="0" borderId="103" xfId="768" applyNumberFormat="1" applyFont="1" applyBorder="1"/>
    <xf numFmtId="43" fontId="49" fillId="0" borderId="40" xfId="768" applyNumberFormat="1" applyFont="1" applyBorder="1"/>
    <xf numFmtId="0" fontId="49" fillId="0" borderId="0" xfId="767" applyFont="1" applyBorder="1"/>
    <xf numFmtId="43" fontId="49" fillId="0" borderId="0" xfId="768" applyNumberFormat="1" applyFont="1" applyBorder="1"/>
    <xf numFmtId="0" fontId="49" fillId="62" borderId="45" xfId="767" applyFont="1" applyFill="1" applyBorder="1" applyAlignment="1">
      <alignment horizontal="right"/>
    </xf>
    <xf numFmtId="0" fontId="49" fillId="62" borderId="0" xfId="767" applyFont="1" applyFill="1" applyBorder="1" applyAlignment="1">
      <alignment horizontal="right"/>
    </xf>
    <xf numFmtId="0" fontId="49" fillId="62" borderId="41" xfId="767" applyFont="1" applyFill="1" applyBorder="1" applyAlignment="1">
      <alignment horizontal="right"/>
    </xf>
    <xf numFmtId="10" fontId="19" fillId="61" borderId="0" xfId="769" applyNumberFormat="1" applyFont="1" applyFill="1" applyBorder="1"/>
    <xf numFmtId="10" fontId="19" fillId="61" borderId="101" xfId="769" applyNumberFormat="1" applyFont="1" applyFill="1" applyBorder="1"/>
    <xf numFmtId="0" fontId="49" fillId="0" borderId="106" xfId="767" applyFont="1" applyBorder="1"/>
    <xf numFmtId="10" fontId="49" fillId="0" borderId="107" xfId="767" applyNumberFormat="1" applyFont="1" applyBorder="1"/>
    <xf numFmtId="10" fontId="49" fillId="0" borderId="108" xfId="767" applyNumberFormat="1" applyFont="1" applyBorder="1"/>
    <xf numFmtId="10" fontId="49" fillId="0" borderId="109" xfId="767" applyNumberFormat="1" applyFont="1" applyBorder="1"/>
    <xf numFmtId="43" fontId="19" fillId="61" borderId="0" xfId="768" applyNumberFormat="1" applyFont="1" applyFill="1" applyBorder="1"/>
    <xf numFmtId="43" fontId="19" fillId="61" borderId="101" xfId="768" applyNumberFormat="1" applyFont="1" applyFill="1" applyBorder="1"/>
    <xf numFmtId="43" fontId="19" fillId="61" borderId="105" xfId="768" applyNumberFormat="1" applyFont="1" applyFill="1" applyBorder="1"/>
    <xf numFmtId="43" fontId="19" fillId="61" borderId="104" xfId="768" applyNumberFormat="1" applyFont="1" applyFill="1" applyBorder="1"/>
    <xf numFmtId="43" fontId="19" fillId="0" borderId="0" xfId="768" applyNumberFormat="1" applyFont="1" applyFill="1" applyBorder="1"/>
    <xf numFmtId="43" fontId="19" fillId="33" borderId="102" xfId="768" applyNumberFormat="1" applyFont="1" applyFill="1" applyBorder="1"/>
    <xf numFmtId="0" fontId="48" fillId="0" borderId="0" xfId="767" applyFont="1" applyBorder="1" applyAlignment="1">
      <alignment vertical="top" wrapText="1"/>
    </xf>
    <xf numFmtId="0" fontId="48" fillId="0" borderId="0" xfId="767" applyFont="1" applyAlignment="1">
      <alignment vertical="top" wrapText="1"/>
    </xf>
    <xf numFmtId="0" fontId="49" fillId="34" borderId="45" xfId="767" applyFont="1" applyFill="1" applyBorder="1" applyAlignment="1">
      <alignment horizontal="center"/>
    </xf>
    <xf numFmtId="0" fontId="49" fillId="34" borderId="0" xfId="767" applyFont="1" applyFill="1" applyBorder="1" applyAlignment="1">
      <alignment horizontal="center"/>
    </xf>
    <xf numFmtId="0" fontId="49" fillId="34" borderId="41" xfId="767" applyFont="1" applyFill="1" applyBorder="1" applyAlignment="1">
      <alignment horizontal="center"/>
    </xf>
    <xf numFmtId="0" fontId="49" fillId="35" borderId="41" xfId="767" applyFont="1" applyFill="1" applyBorder="1" applyAlignment="1">
      <alignment horizontal="center"/>
    </xf>
    <xf numFmtId="0" fontId="49" fillId="34" borderId="38" xfId="767" applyFont="1" applyFill="1" applyBorder="1" applyAlignment="1">
      <alignment horizontal="center"/>
    </xf>
    <xf numFmtId="0" fontId="49" fillId="34" borderId="70" xfId="767" applyFont="1" applyFill="1" applyBorder="1" applyAlignment="1">
      <alignment horizontal="center"/>
    </xf>
    <xf numFmtId="0" fontId="49" fillId="34" borderId="78" xfId="767" applyFont="1" applyFill="1" applyBorder="1" applyAlignment="1">
      <alignment horizontal="center"/>
    </xf>
    <xf numFmtId="0" fontId="48" fillId="34" borderId="45" xfId="767" applyFont="1" applyFill="1" applyBorder="1" applyAlignment="1">
      <alignment vertical="top"/>
    </xf>
    <xf numFmtId="0" fontId="48" fillId="34" borderId="0" xfId="767" applyFont="1" applyFill="1" applyBorder="1" applyAlignment="1">
      <alignment vertical="top"/>
    </xf>
    <xf numFmtId="0" fontId="49" fillId="34" borderId="41" xfId="767" applyFont="1" applyFill="1" applyBorder="1" applyAlignment="1">
      <alignment horizontal="center" wrapText="1"/>
    </xf>
    <xf numFmtId="0" fontId="49" fillId="34" borderId="70" xfId="767" applyFont="1" applyFill="1" applyBorder="1" applyAlignment="1">
      <alignment horizontal="center" vertical="center"/>
    </xf>
    <xf numFmtId="0" fontId="49" fillId="34" borderId="78" xfId="767" applyFont="1" applyFill="1" applyBorder="1" applyAlignment="1">
      <alignment horizontal="center" vertical="center" wrapText="1"/>
    </xf>
    <xf numFmtId="0" fontId="48" fillId="0" borderId="45" xfId="767" applyFont="1" applyFill="1" applyBorder="1" applyAlignment="1">
      <alignment vertical="top"/>
    </xf>
    <xf numFmtId="0" fontId="48" fillId="0" borderId="0" xfId="767" applyFont="1" applyFill="1" applyBorder="1" applyAlignment="1">
      <alignment vertical="top"/>
    </xf>
    <xf numFmtId="0" fontId="49" fillId="33" borderId="0" xfId="767" applyFont="1" applyFill="1" applyBorder="1" applyAlignment="1">
      <alignment vertical="top"/>
    </xf>
    <xf numFmtId="0" fontId="49" fillId="0" borderId="0" xfId="767" applyFont="1" applyFill="1" applyBorder="1" applyAlignment="1">
      <alignment vertical="top"/>
    </xf>
    <xf numFmtId="0" fontId="49" fillId="0" borderId="41" xfId="767" applyFont="1" applyFill="1" applyBorder="1" applyAlignment="1">
      <alignment horizontal="center" vertical="top" wrapText="1"/>
    </xf>
    <xf numFmtId="0" fontId="48" fillId="0" borderId="94" xfId="767" applyFont="1" applyFill="1" applyBorder="1" applyAlignment="1">
      <alignment vertical="top"/>
    </xf>
    <xf numFmtId="0" fontId="48" fillId="0" borderId="100" xfId="767" applyFont="1" applyFill="1" applyBorder="1" applyAlignment="1">
      <alignment vertical="top"/>
    </xf>
    <xf numFmtId="0" fontId="49" fillId="33" borderId="100" xfId="767" applyFont="1" applyFill="1" applyBorder="1" applyAlignment="1">
      <alignment vertical="top"/>
    </xf>
    <xf numFmtId="0" fontId="48" fillId="0" borderId="25" xfId="767" applyFont="1" applyFill="1" applyBorder="1"/>
    <xf numFmtId="0" fontId="48" fillId="0" borderId="25" xfId="767" applyFont="1" applyBorder="1"/>
    <xf numFmtId="10" fontId="9" fillId="0" borderId="40" xfId="769" applyNumberFormat="1" applyFont="1" applyBorder="1"/>
    <xf numFmtId="0" fontId="49" fillId="0" borderId="0" xfId="767" applyFont="1" applyBorder="1" applyAlignment="1">
      <alignment vertical="top" wrapText="1"/>
    </xf>
    <xf numFmtId="0" fontId="48" fillId="0" borderId="0" xfId="767" applyFont="1" applyFill="1" applyBorder="1"/>
    <xf numFmtId="10" fontId="9" fillId="0" borderId="0" xfId="769" applyNumberFormat="1" applyFont="1" applyBorder="1"/>
    <xf numFmtId="0" fontId="49" fillId="0" borderId="0" xfId="767" applyFont="1" applyFill="1" applyBorder="1" applyAlignment="1">
      <alignment vertical="top" wrapText="1"/>
    </xf>
    <xf numFmtId="0" fontId="49" fillId="0" borderId="47" xfId="767" applyFont="1" applyBorder="1" applyAlignment="1">
      <alignment vertical="top" wrapText="1"/>
    </xf>
    <xf numFmtId="0" fontId="49" fillId="0" borderId="48" xfId="767" applyFont="1" applyFill="1" applyBorder="1" applyAlignment="1">
      <alignment horizontal="center" vertical="center" wrapText="1"/>
    </xf>
    <xf numFmtId="0" fontId="20" fillId="0" borderId="48" xfId="796" applyNumberFormat="1" applyFont="1" applyBorder="1" applyAlignment="1">
      <alignment horizontal="center" vertical="center"/>
    </xf>
    <xf numFmtId="0" fontId="48" fillId="0" borderId="49" xfId="767" applyFont="1" applyBorder="1"/>
    <xf numFmtId="0" fontId="49" fillId="0" borderId="45" xfId="767" applyFont="1" applyBorder="1" applyAlignment="1">
      <alignment horizontal="left" vertical="center" wrapText="1"/>
    </xf>
    <xf numFmtId="0" fontId="49" fillId="35" borderId="1" xfId="767" applyFont="1" applyFill="1" applyBorder="1" applyAlignment="1">
      <alignment horizontal="center" vertical="center" wrapText="1"/>
    </xf>
    <xf numFmtId="10" fontId="9" fillId="0" borderId="41" xfId="769" applyNumberFormat="1" applyFont="1" applyBorder="1" applyAlignment="1">
      <alignment horizontal="center" vertical="center" wrapText="1"/>
    </xf>
    <xf numFmtId="0" fontId="113" fillId="0" borderId="46" xfId="767" applyFont="1" applyBorder="1" applyAlignment="1">
      <alignment horizontal="left" vertical="top" wrapText="1"/>
    </xf>
    <xf numFmtId="0" fontId="114" fillId="0" borderId="25" xfId="767" applyFont="1" applyBorder="1" applyAlignment="1">
      <alignment vertical="top" wrapText="1"/>
    </xf>
    <xf numFmtId="0" fontId="113" fillId="0" borderId="0" xfId="767" applyFont="1" applyBorder="1" applyAlignment="1">
      <alignment horizontal="left" vertical="top" wrapText="1"/>
    </xf>
    <xf numFmtId="0" fontId="114" fillId="0" borderId="0" xfId="767" applyFont="1" applyBorder="1" applyAlignment="1">
      <alignment vertical="top" wrapText="1"/>
    </xf>
    <xf numFmtId="0" fontId="111" fillId="0" borderId="0" xfId="767" applyFont="1" applyBorder="1" applyAlignment="1">
      <alignment horizontal="center" vertical="top" wrapText="1"/>
    </xf>
    <xf numFmtId="0" fontId="48" fillId="0" borderId="35" xfId="767" applyFont="1" applyBorder="1"/>
    <xf numFmtId="0" fontId="49" fillId="34" borderId="48" xfId="767" applyFont="1" applyFill="1" applyBorder="1" applyAlignment="1">
      <alignment horizontal="center"/>
    </xf>
    <xf numFmtId="0" fontId="49" fillId="34" borderId="48" xfId="767" applyFont="1" applyFill="1" applyBorder="1" applyAlignment="1">
      <alignment horizontal="center" vertical="center"/>
    </xf>
    <xf numFmtId="0" fontId="49" fillId="34" borderId="49" xfId="767" applyFont="1" applyFill="1" applyBorder="1" applyAlignment="1">
      <alignment horizontal="center" vertical="center"/>
    </xf>
    <xf numFmtId="0" fontId="48" fillId="0" borderId="7" xfId="767" applyFont="1" applyBorder="1"/>
    <xf numFmtId="0" fontId="48" fillId="0" borderId="32" xfId="767" applyFont="1" applyBorder="1" applyAlignment="1">
      <alignment wrapText="1"/>
    </xf>
    <xf numFmtId="43" fontId="48" fillId="0" borderId="0" xfId="767" applyNumberFormat="1" applyFont="1" applyBorder="1" applyAlignment="1">
      <alignment horizontal="center" vertical="center"/>
    </xf>
    <xf numFmtId="43" fontId="48" fillId="0" borderId="17" xfId="767" applyNumberFormat="1" applyFont="1" applyBorder="1" applyAlignment="1">
      <alignment horizontal="center" vertical="center"/>
    </xf>
    <xf numFmtId="43" fontId="48" fillId="0" borderId="44" xfId="767" applyNumberFormat="1" applyFont="1" applyBorder="1" applyAlignment="1">
      <alignment horizontal="center" vertical="center"/>
    </xf>
    <xf numFmtId="43" fontId="48" fillId="0" borderId="41" xfId="767" applyNumberFormat="1" applyFont="1" applyBorder="1" applyAlignment="1">
      <alignment horizontal="center" vertical="center"/>
    </xf>
    <xf numFmtId="43" fontId="48" fillId="0" borderId="68" xfId="767" applyNumberFormat="1" applyFont="1" applyBorder="1" applyAlignment="1">
      <alignment horizontal="center" vertical="center"/>
    </xf>
    <xf numFmtId="43" fontId="48" fillId="0" borderId="33" xfId="767" applyNumberFormat="1" applyFont="1" applyBorder="1" applyAlignment="1">
      <alignment horizontal="center" vertical="center"/>
    </xf>
    <xf numFmtId="0" fontId="48" fillId="0" borderId="7" xfId="767" applyFont="1" applyBorder="1" applyAlignment="1">
      <alignment wrapText="1"/>
    </xf>
    <xf numFmtId="43" fontId="9" fillId="33" borderId="70" xfId="796" applyFont="1" applyFill="1" applyBorder="1" applyAlignment="1">
      <alignment horizontal="center" vertical="center"/>
    </xf>
    <xf numFmtId="43" fontId="48" fillId="0" borderId="70" xfId="767" applyNumberFormat="1" applyFont="1" applyBorder="1" applyAlignment="1">
      <alignment horizontal="center" vertical="center"/>
    </xf>
    <xf numFmtId="43" fontId="48" fillId="0" borderId="55" xfId="767" applyNumberFormat="1" applyFont="1" applyBorder="1" applyAlignment="1">
      <alignment horizontal="center" vertical="center"/>
    </xf>
    <xf numFmtId="43" fontId="48" fillId="0" borderId="23" xfId="767" applyNumberFormat="1" applyFont="1" applyBorder="1" applyAlignment="1">
      <alignment horizontal="center" vertical="center"/>
    </xf>
    <xf numFmtId="43" fontId="48" fillId="0" borderId="78" xfId="767" applyNumberFormat="1" applyFont="1" applyBorder="1" applyAlignment="1">
      <alignment horizontal="center" vertical="center"/>
    </xf>
    <xf numFmtId="0" fontId="48" fillId="62" borderId="15" xfId="767" applyFont="1" applyFill="1" applyBorder="1" applyAlignment="1">
      <alignment wrapText="1"/>
    </xf>
    <xf numFmtId="43" fontId="48" fillId="62" borderId="51" xfId="767" applyNumberFormat="1" applyFont="1" applyFill="1" applyBorder="1" applyAlignment="1">
      <alignment horizontal="center" vertical="center"/>
    </xf>
    <xf numFmtId="43" fontId="48" fillId="62" borderId="52" xfId="767" applyNumberFormat="1" applyFont="1" applyFill="1" applyBorder="1" applyAlignment="1">
      <alignment horizontal="center" vertical="center"/>
    </xf>
    <xf numFmtId="0" fontId="48" fillId="0" borderId="97" xfId="767" applyFont="1" applyBorder="1" applyAlignment="1">
      <alignment wrapText="1"/>
    </xf>
    <xf numFmtId="43" fontId="48" fillId="0" borderId="81" xfId="767" applyNumberFormat="1" applyFont="1" applyBorder="1" applyAlignment="1">
      <alignment horizontal="center" vertical="center"/>
    </xf>
    <xf numFmtId="43" fontId="48" fillId="0" borderId="92" xfId="767" applyNumberFormat="1" applyFont="1" applyBorder="1" applyAlignment="1">
      <alignment horizontal="center" vertical="center"/>
    </xf>
    <xf numFmtId="43" fontId="48" fillId="0" borderId="93" xfId="767" applyNumberFormat="1" applyFont="1" applyBorder="1" applyAlignment="1">
      <alignment horizontal="center" vertical="center"/>
    </xf>
    <xf numFmtId="43" fontId="48" fillId="0" borderId="96" xfId="767" applyNumberFormat="1" applyFont="1" applyBorder="1" applyAlignment="1">
      <alignment horizontal="center" vertical="center"/>
    </xf>
    <xf numFmtId="0" fontId="48" fillId="62" borderId="94" xfId="767" applyFont="1" applyFill="1" applyBorder="1" applyAlignment="1">
      <alignment wrapText="1"/>
    </xf>
    <xf numFmtId="43" fontId="48" fillId="62" borderId="110" xfId="767" applyNumberFormat="1" applyFont="1" applyFill="1" applyBorder="1" applyAlignment="1">
      <alignment horizontal="center" vertical="center"/>
    </xf>
    <xf numFmtId="43" fontId="48" fillId="62" borderId="0" xfId="767" applyNumberFormat="1" applyFont="1" applyFill="1" applyBorder="1" applyAlignment="1">
      <alignment horizontal="center" vertical="center"/>
    </xf>
    <xf numFmtId="43" fontId="48" fillId="62" borderId="111" xfId="767" applyNumberFormat="1" applyFont="1" applyFill="1" applyBorder="1" applyAlignment="1">
      <alignment horizontal="center" vertical="center"/>
    </xf>
    <xf numFmtId="43" fontId="9" fillId="0" borderId="112" xfId="768" applyNumberFormat="1" applyFont="1" applyBorder="1" applyAlignment="1">
      <alignment horizontal="center" vertical="center"/>
    </xf>
    <xf numFmtId="43" fontId="9" fillId="0" borderId="107" xfId="768" applyNumberFormat="1" applyFont="1" applyBorder="1" applyAlignment="1">
      <alignment horizontal="center" vertical="center"/>
    </xf>
    <xf numFmtId="43" fontId="9" fillId="0" borderId="55" xfId="768" applyNumberFormat="1" applyFont="1" applyBorder="1" applyAlignment="1">
      <alignment horizontal="center" vertical="center"/>
    </xf>
    <xf numFmtId="43" fontId="9" fillId="0" borderId="98" xfId="768" applyNumberFormat="1" applyFont="1" applyBorder="1" applyAlignment="1">
      <alignment horizontal="center" vertical="center"/>
    </xf>
    <xf numFmtId="43" fontId="9" fillId="62" borderId="51" xfId="768" applyNumberFormat="1" applyFont="1" applyFill="1" applyBorder="1" applyAlignment="1">
      <alignment horizontal="center" vertical="center"/>
    </xf>
    <xf numFmtId="43" fontId="9" fillId="62" borderId="52" xfId="768" applyNumberFormat="1" applyFont="1" applyFill="1" applyBorder="1" applyAlignment="1">
      <alignment horizontal="center" vertical="center"/>
    </xf>
    <xf numFmtId="43" fontId="115" fillId="64" borderId="99" xfId="768" applyNumberFormat="1" applyFont="1" applyFill="1" applyBorder="1" applyAlignment="1">
      <alignment horizontal="center" vertical="center"/>
    </xf>
    <xf numFmtId="1" fontId="9" fillId="33" borderId="23" xfId="634" applyNumberFormat="1" applyFont="1" applyFill="1" applyBorder="1" applyAlignment="1">
      <alignment horizontal="center"/>
    </xf>
    <xf numFmtId="43" fontId="9" fillId="33" borderId="23" xfId="379" applyFont="1" applyFill="1" applyBorder="1" applyAlignment="1">
      <alignment horizontal="center"/>
    </xf>
    <xf numFmtId="43" fontId="9" fillId="65" borderId="23" xfId="379" applyFont="1" applyFill="1" applyBorder="1" applyAlignment="1">
      <alignment horizontal="center"/>
    </xf>
    <xf numFmtId="43" fontId="9" fillId="33" borderId="23" xfId="379" applyFont="1" applyFill="1" applyBorder="1" applyAlignment="1" applyProtection="1">
      <alignment horizontal="center"/>
      <protection locked="0"/>
    </xf>
    <xf numFmtId="1" fontId="9" fillId="33" borderId="1" xfId="379" applyNumberFormat="1" applyFont="1" applyFill="1" applyBorder="1" applyAlignment="1" applyProtection="1">
      <alignment horizontal="center"/>
      <protection locked="0"/>
    </xf>
    <xf numFmtId="1" fontId="9" fillId="33" borderId="1" xfId="0" applyNumberFormat="1" applyFont="1" applyFill="1" applyBorder="1" applyProtection="1">
      <protection locked="0"/>
    </xf>
    <xf numFmtId="1" fontId="9" fillId="33" borderId="23" xfId="379" applyNumberFormat="1" applyFont="1" applyFill="1" applyBorder="1" applyAlignment="1">
      <alignment horizontal="center"/>
    </xf>
    <xf numFmtId="1" fontId="9" fillId="33" borderId="23" xfId="379" applyNumberFormat="1" applyFont="1" applyFill="1" applyBorder="1" applyAlignment="1" applyProtection="1">
      <alignment horizontal="center"/>
      <protection locked="0"/>
    </xf>
    <xf numFmtId="1" fontId="9" fillId="33" borderId="23" xfId="0" applyNumberFormat="1" applyFont="1" applyFill="1" applyBorder="1" applyProtection="1">
      <protection locked="0"/>
    </xf>
    <xf numFmtId="1" fontId="9" fillId="65" borderId="23" xfId="379" applyNumberFormat="1" applyFont="1" applyFill="1" applyBorder="1" applyAlignment="1" applyProtection="1">
      <alignment horizontal="center"/>
      <protection locked="0"/>
    </xf>
    <xf numFmtId="1" fontId="9" fillId="65" borderId="23" xfId="0" applyNumberFormat="1" applyFont="1" applyFill="1" applyBorder="1" applyProtection="1">
      <protection locked="0"/>
    </xf>
    <xf numFmtId="1" fontId="9" fillId="33" borderId="23" xfId="379" applyNumberFormat="1" applyFont="1" applyFill="1" applyBorder="1" applyProtection="1">
      <protection locked="0"/>
    </xf>
    <xf numFmtId="0" fontId="109" fillId="0" borderId="0" xfId="0" applyFont="1" applyFill="1" applyBorder="1" applyAlignment="1" applyProtection="1">
      <alignment horizontal="left" vertical="center" wrapText="1"/>
      <protection locked="0"/>
    </xf>
    <xf numFmtId="43" fontId="9" fillId="0" borderId="0" xfId="379" applyFont="1" applyAlignment="1">
      <alignment horizontal="center"/>
    </xf>
    <xf numFmtId="43" fontId="9" fillId="0" borderId="0" xfId="379" applyFont="1" applyAlignment="1" applyProtection="1">
      <alignment horizontal="center"/>
      <protection locked="0"/>
    </xf>
    <xf numFmtId="43" fontId="52" fillId="0" borderId="0" xfId="379" applyFont="1" applyBorder="1" applyAlignment="1" applyProtection="1">
      <alignment horizontal="left" vertical="center"/>
      <protection locked="0"/>
    </xf>
    <xf numFmtId="43" fontId="16" fillId="0" borderId="0" xfId="379" applyFont="1" applyAlignment="1" applyProtection="1">
      <alignment horizontal="center"/>
      <protection locked="0"/>
    </xf>
    <xf numFmtId="43" fontId="16" fillId="0" borderId="44" xfId="379" applyFont="1" applyBorder="1" applyAlignment="1" applyProtection="1">
      <alignment horizontal="center" wrapText="1"/>
      <protection locked="0"/>
    </xf>
    <xf numFmtId="43" fontId="16" fillId="0" borderId="81" xfId="379" applyFont="1" applyBorder="1" applyAlignment="1" applyProtection="1">
      <alignment horizontal="center" wrapText="1"/>
      <protection locked="0"/>
    </xf>
    <xf numFmtId="43" fontId="9" fillId="0" borderId="0" xfId="379" applyFont="1" applyBorder="1" applyProtection="1">
      <protection locked="0"/>
    </xf>
    <xf numFmtId="43" fontId="9" fillId="0" borderId="0" xfId="379" applyFont="1" applyBorder="1"/>
    <xf numFmtId="43" fontId="9" fillId="0" borderId="70" xfId="379" applyFont="1" applyBorder="1" applyAlignment="1">
      <alignment horizontal="center"/>
    </xf>
    <xf numFmtId="43" fontId="65" fillId="0" borderId="17" xfId="379" applyFont="1" applyBorder="1" applyAlignment="1">
      <alignment horizontal="center"/>
    </xf>
    <xf numFmtId="43" fontId="65" fillId="0" borderId="21" xfId="379" applyFont="1" applyBorder="1" applyAlignment="1">
      <alignment horizontal="center"/>
    </xf>
    <xf numFmtId="43" fontId="65" fillId="0" borderId="55" xfId="379" applyFont="1" applyBorder="1" applyAlignment="1">
      <alignment horizontal="center"/>
    </xf>
    <xf numFmtId="43" fontId="65" fillId="0" borderId="1" xfId="379" applyFont="1" applyBorder="1" applyAlignment="1">
      <alignment horizontal="center"/>
    </xf>
    <xf numFmtId="43" fontId="106" fillId="0" borderId="1" xfId="379" applyFont="1" applyBorder="1"/>
    <xf numFmtId="0" fontId="9" fillId="0" borderId="0" xfId="0" applyFont="1" applyAlignment="1"/>
    <xf numFmtId="0" fontId="9" fillId="0" borderId="0" xfId="0" applyFont="1" applyAlignment="1" applyProtection="1">
      <protection locked="0"/>
    </xf>
    <xf numFmtId="2" fontId="9" fillId="0" borderId="23" xfId="379" applyNumberFormat="1" applyFont="1" applyFill="1" applyBorder="1" applyAlignment="1" applyProtection="1">
      <protection locked="0"/>
    </xf>
    <xf numFmtId="43" fontId="9" fillId="0" borderId="0" xfId="0" applyNumberFormat="1" applyFont="1" applyAlignment="1"/>
    <xf numFmtId="0" fontId="9" fillId="0" borderId="68" xfId="0" applyFont="1" applyBorder="1" applyAlignment="1">
      <alignment horizontal="center"/>
    </xf>
    <xf numFmtId="0" fontId="65" fillId="0" borderId="0" xfId="0" applyFont="1" applyBorder="1" applyAlignment="1">
      <alignment horizontal="center"/>
    </xf>
    <xf numFmtId="43" fontId="65" fillId="0" borderId="0" xfId="379" applyFont="1" applyBorder="1" applyAlignment="1">
      <alignment horizontal="center"/>
    </xf>
    <xf numFmtId="0" fontId="65" fillId="0" borderId="68" xfId="0" applyFont="1" applyBorder="1" applyAlignment="1">
      <alignment horizontal="center"/>
    </xf>
    <xf numFmtId="49" fontId="9" fillId="0" borderId="0" xfId="0" applyNumberFormat="1" applyFont="1" applyBorder="1" applyAlignment="1" applyProtection="1">
      <alignment horizontal="center"/>
      <protection locked="0"/>
    </xf>
    <xf numFmtId="43" fontId="9" fillId="0" borderId="0" xfId="379" applyFont="1" applyBorder="1" applyAlignment="1" applyProtection="1">
      <alignment horizontal="center"/>
      <protection locked="0"/>
    </xf>
    <xf numFmtId="10" fontId="9" fillId="0" borderId="0" xfId="557" applyNumberFormat="1" applyFont="1" applyBorder="1" applyAlignment="1" applyProtection="1">
      <alignment horizontal="center"/>
      <protection locked="0"/>
    </xf>
    <xf numFmtId="0" fontId="0" fillId="0" borderId="0" xfId="0" applyBorder="1" applyAlignment="1">
      <alignment vertical="center"/>
    </xf>
    <xf numFmtId="0" fontId="9" fillId="36" borderId="2" xfId="0" applyFont="1" applyFill="1" applyBorder="1" applyAlignment="1">
      <alignment wrapText="1"/>
    </xf>
    <xf numFmtId="0" fontId="9" fillId="36" borderId="9" xfId="0" applyFont="1" applyFill="1" applyBorder="1" applyAlignment="1">
      <alignment wrapText="1"/>
    </xf>
    <xf numFmtId="0" fontId="9" fillId="36" borderId="19" xfId="0" applyFont="1" applyFill="1" applyBorder="1" applyAlignment="1">
      <alignment wrapText="1"/>
    </xf>
    <xf numFmtId="49" fontId="9" fillId="36" borderId="2" xfId="0" applyNumberFormat="1" applyFont="1" applyFill="1" applyBorder="1" applyAlignment="1">
      <alignment wrapText="1"/>
    </xf>
    <xf numFmtId="0" fontId="16" fillId="0" borderId="118" xfId="0" applyFont="1" applyBorder="1" applyAlignment="1">
      <alignment wrapText="1"/>
    </xf>
    <xf numFmtId="0" fontId="16" fillId="0" borderId="119" xfId="0" applyFont="1" applyBorder="1" applyAlignment="1">
      <alignment horizontal="center" wrapText="1"/>
    </xf>
    <xf numFmtId="0" fontId="16" fillId="0" borderId="120" xfId="0" applyFont="1" applyBorder="1" applyAlignment="1">
      <alignment horizontal="center" wrapText="1"/>
    </xf>
    <xf numFmtId="49" fontId="9" fillId="36" borderId="43" xfId="0" applyNumberFormat="1" applyFont="1" applyFill="1" applyBorder="1" applyAlignment="1">
      <alignment wrapText="1"/>
    </xf>
    <xf numFmtId="0" fontId="9" fillId="36" borderId="39" xfId="0" applyFont="1" applyFill="1" applyBorder="1" applyAlignment="1">
      <alignment wrapText="1"/>
    </xf>
    <xf numFmtId="2" fontId="9" fillId="0" borderId="1" xfId="379" applyNumberFormat="1" applyFont="1" applyBorder="1" applyAlignment="1" applyProtection="1">
      <protection locked="0"/>
    </xf>
    <xf numFmtId="0" fontId="116" fillId="0" borderId="0" xfId="0" applyFont="1" applyFill="1" applyBorder="1" applyAlignment="1" applyProtection="1">
      <alignment horizontal="center" vertical="center" wrapText="1"/>
      <protection locked="0"/>
    </xf>
    <xf numFmtId="0" fontId="19" fillId="0" borderId="0" xfId="0" applyFont="1" applyAlignment="1" applyProtection="1">
      <alignment horizontal="left"/>
      <protection locked="0"/>
    </xf>
    <xf numFmtId="10" fontId="19" fillId="0" borderId="0" xfId="557" applyNumberFormat="1" applyFont="1" applyBorder="1"/>
    <xf numFmtId="170" fontId="9" fillId="65" borderId="1" xfId="379" applyNumberFormat="1" applyFont="1" applyFill="1" applyBorder="1" applyAlignment="1">
      <alignment horizontal="center"/>
    </xf>
    <xf numFmtId="170" fontId="9" fillId="65" borderId="10" xfId="379" applyNumberFormat="1" applyFont="1" applyFill="1" applyBorder="1" applyAlignment="1">
      <alignment horizontal="center"/>
    </xf>
    <xf numFmtId="1" fontId="9" fillId="65" borderId="1" xfId="0" applyNumberFormat="1" applyFont="1" applyFill="1" applyBorder="1" applyAlignment="1">
      <alignment horizontal="center"/>
    </xf>
    <xf numFmtId="1" fontId="9" fillId="65" borderId="10" xfId="0" applyNumberFormat="1" applyFont="1" applyFill="1" applyBorder="1" applyAlignment="1">
      <alignment horizontal="center"/>
    </xf>
    <xf numFmtId="170" fontId="9" fillId="65" borderId="28" xfId="379" applyNumberFormat="1" applyFont="1" applyFill="1" applyBorder="1"/>
    <xf numFmtId="170" fontId="9" fillId="65" borderId="26" xfId="379" applyNumberFormat="1" applyFont="1" applyFill="1" applyBorder="1"/>
    <xf numFmtId="167" fontId="9" fillId="65" borderId="28" xfId="0" applyNumberFormat="1" applyFont="1" applyFill="1" applyBorder="1"/>
    <xf numFmtId="167" fontId="9" fillId="65" borderId="26" xfId="0" applyNumberFormat="1" applyFont="1" applyFill="1" applyBorder="1"/>
    <xf numFmtId="0" fontId="9" fillId="65" borderId="1" xfId="0" applyFont="1" applyFill="1" applyBorder="1" applyAlignment="1">
      <alignment horizontal="center"/>
    </xf>
    <xf numFmtId="0" fontId="9" fillId="65" borderId="10" xfId="0" applyFont="1" applyFill="1" applyBorder="1" applyAlignment="1">
      <alignment horizontal="center"/>
    </xf>
    <xf numFmtId="0" fontId="117" fillId="0" borderId="0" xfId="0" applyFont="1" applyBorder="1" applyAlignment="1"/>
    <xf numFmtId="0" fontId="9" fillId="33" borderId="0" xfId="0" applyFont="1" applyFill="1"/>
    <xf numFmtId="2" fontId="9" fillId="66" borderId="7" xfId="379" applyNumberFormat="1" applyFont="1" applyFill="1" applyBorder="1" applyAlignment="1" applyProtection="1">
      <alignment horizontal="center"/>
      <protection locked="0"/>
    </xf>
    <xf numFmtId="2" fontId="9" fillId="66" borderId="23" xfId="379" applyNumberFormat="1" applyFont="1" applyFill="1" applyBorder="1" applyAlignment="1" applyProtection="1">
      <alignment horizontal="center"/>
      <protection locked="0"/>
    </xf>
    <xf numFmtId="2" fontId="9" fillId="66" borderId="2" xfId="379" applyNumberFormat="1" applyFont="1" applyFill="1" applyBorder="1" applyAlignment="1" applyProtection="1">
      <alignment horizontal="center"/>
      <protection locked="0"/>
    </xf>
    <xf numFmtId="0" fontId="9" fillId="66" borderId="0" xfId="0" applyFont="1" applyFill="1"/>
    <xf numFmtId="0" fontId="16" fillId="67" borderId="1" xfId="0" applyFont="1" applyFill="1" applyBorder="1" applyAlignment="1">
      <alignment horizontal="center"/>
    </xf>
    <xf numFmtId="0" fontId="16" fillId="67" borderId="8" xfId="0" applyFont="1" applyFill="1" applyBorder="1" applyAlignment="1">
      <alignment horizontal="center"/>
    </xf>
    <xf numFmtId="0" fontId="16" fillId="67" borderId="10" xfId="0" applyFont="1" applyFill="1" applyBorder="1" applyAlignment="1">
      <alignment horizontal="center"/>
    </xf>
    <xf numFmtId="0" fontId="16" fillId="67" borderId="11" xfId="0" applyFont="1" applyFill="1" applyBorder="1" applyAlignment="1">
      <alignment horizontal="center"/>
    </xf>
    <xf numFmtId="0" fontId="16" fillId="67" borderId="12" xfId="0" applyFont="1" applyFill="1" applyBorder="1" applyAlignment="1">
      <alignment horizontal="center"/>
    </xf>
    <xf numFmtId="0" fontId="16" fillId="67" borderId="13" xfId="0" applyFont="1" applyFill="1" applyBorder="1" applyAlignment="1">
      <alignment horizontal="center"/>
    </xf>
    <xf numFmtId="0" fontId="16" fillId="67" borderId="44" xfId="0" applyFont="1" applyFill="1" applyBorder="1" applyAlignment="1">
      <alignment horizontal="center"/>
    </xf>
    <xf numFmtId="0" fontId="16" fillId="67" borderId="18" xfId="0" applyFont="1" applyFill="1" applyBorder="1" applyAlignment="1">
      <alignment horizontal="center"/>
    </xf>
    <xf numFmtId="0" fontId="16" fillId="67" borderId="26" xfId="0" applyFont="1" applyFill="1" applyBorder="1" applyAlignment="1">
      <alignment horizontal="center"/>
    </xf>
    <xf numFmtId="0" fontId="16" fillId="67" borderId="42" xfId="0" applyFont="1" applyFill="1" applyBorder="1" applyAlignment="1">
      <alignment horizontal="center"/>
    </xf>
    <xf numFmtId="0" fontId="16" fillId="66" borderId="1" xfId="0" applyFont="1" applyFill="1" applyBorder="1" applyAlignment="1" applyProtection="1">
      <alignment horizontal="center" wrapText="1"/>
    </xf>
    <xf numFmtId="0" fontId="16" fillId="66" borderId="44" xfId="0" applyFont="1" applyFill="1" applyBorder="1" applyAlignment="1" applyProtection="1">
      <alignment horizontal="center" wrapText="1"/>
    </xf>
    <xf numFmtId="2" fontId="9" fillId="66" borderId="1" xfId="379" applyNumberFormat="1" applyFont="1" applyFill="1" applyBorder="1" applyAlignment="1" applyProtection="1">
      <alignment horizontal="center"/>
      <protection locked="0"/>
    </xf>
    <xf numFmtId="2" fontId="55" fillId="0" borderId="23" xfId="379" applyNumberFormat="1" applyFont="1" applyFill="1" applyBorder="1" applyAlignment="1" applyProtection="1">
      <alignment horizontal="center"/>
      <protection locked="0"/>
    </xf>
    <xf numFmtId="0" fontId="55" fillId="0" borderId="1" xfId="0" applyFont="1" applyFill="1" applyBorder="1"/>
    <xf numFmtId="0" fontId="55" fillId="0" borderId="1" xfId="0" applyFont="1" applyBorder="1"/>
    <xf numFmtId="49" fontId="55" fillId="0" borderId="17" xfId="0" applyNumberFormat="1" applyFont="1" applyBorder="1"/>
    <xf numFmtId="0" fontId="55" fillId="0" borderId="17" xfId="0" applyFont="1" applyBorder="1"/>
    <xf numFmtId="0" fontId="55" fillId="0" borderId="22" xfId="0" applyFont="1" applyBorder="1"/>
    <xf numFmtId="170" fontId="42" fillId="0" borderId="0" xfId="0" applyNumberFormat="1" applyFont="1"/>
    <xf numFmtId="0" fontId="41" fillId="0" borderId="1" xfId="0" applyFont="1" applyBorder="1" applyAlignment="1"/>
    <xf numFmtId="170" fontId="41" fillId="0" borderId="1" xfId="379" applyNumberFormat="1" applyFont="1" applyBorder="1" applyAlignment="1"/>
    <xf numFmtId="0" fontId="25" fillId="68" borderId="1" xfId="0" applyFont="1" applyFill="1" applyBorder="1" applyAlignment="1"/>
    <xf numFmtId="170" fontId="25" fillId="0" borderId="1" xfId="379" applyNumberFormat="1" applyFont="1" applyBorder="1" applyAlignment="1"/>
    <xf numFmtId="0" fontId="25" fillId="69" borderId="1" xfId="0" applyFont="1" applyFill="1" applyBorder="1" applyAlignment="1"/>
    <xf numFmtId="0" fontId="25" fillId="70" borderId="1" xfId="0" applyFont="1" applyFill="1" applyBorder="1" applyAlignment="1"/>
    <xf numFmtId="0" fontId="25" fillId="71" borderId="1" xfId="0" applyFont="1" applyFill="1" applyBorder="1" applyAlignment="1"/>
    <xf numFmtId="170" fontId="9" fillId="0" borderId="0" xfId="379" applyNumberFormat="1" applyFont="1" applyAlignment="1"/>
    <xf numFmtId="43" fontId="26" fillId="64" borderId="99" xfId="768" applyNumberFormat="1" applyFont="1" applyFill="1" applyBorder="1" applyAlignment="1">
      <alignment horizontal="center" vertical="center"/>
    </xf>
    <xf numFmtId="0" fontId="9" fillId="0" borderId="27" xfId="521" applyFont="1" applyBorder="1" applyAlignment="1">
      <alignment vertical="center"/>
    </xf>
    <xf numFmtId="0" fontId="9" fillId="0" borderId="77" xfId="521" applyFont="1" applyBorder="1" applyAlignment="1">
      <alignment vertical="center"/>
    </xf>
    <xf numFmtId="0" fontId="9" fillId="0" borderId="28" xfId="521" applyFont="1" applyBorder="1" applyAlignment="1">
      <alignment horizontal="center" vertical="center"/>
    </xf>
    <xf numFmtId="170" fontId="9" fillId="0" borderId="28" xfId="379" applyNumberFormat="1" applyFont="1" applyFill="1" applyBorder="1" applyAlignment="1">
      <alignment horizontal="center" vertical="center"/>
    </xf>
    <xf numFmtId="170" fontId="9" fillId="0" borderId="29" xfId="379" applyNumberFormat="1" applyFont="1" applyFill="1" applyBorder="1" applyAlignment="1">
      <alignment horizontal="center" vertical="center"/>
    </xf>
    <xf numFmtId="0" fontId="9" fillId="0" borderId="0" xfId="521" applyFont="1" applyAlignment="1">
      <alignment vertical="center"/>
    </xf>
    <xf numFmtId="10" fontId="9" fillId="0" borderId="27" xfId="558" applyNumberFormat="1" applyFont="1" applyFill="1" applyBorder="1" applyAlignment="1">
      <alignment horizontal="center" vertical="center"/>
    </xf>
    <xf numFmtId="3" fontId="42" fillId="0" borderId="76" xfId="379" applyNumberFormat="1" applyFont="1" applyFill="1" applyBorder="1" applyAlignment="1">
      <alignment horizontal="center" vertical="center"/>
    </xf>
    <xf numFmtId="3" fontId="9" fillId="0" borderId="76" xfId="379" applyNumberFormat="1" applyFont="1" applyFill="1" applyBorder="1" applyAlignment="1">
      <alignment horizontal="center" vertical="center"/>
    </xf>
    <xf numFmtId="3" fontId="9" fillId="0" borderId="29" xfId="379" applyNumberFormat="1" applyFont="1" applyFill="1" applyBorder="1" applyAlignment="1">
      <alignment horizontal="center" vertical="center"/>
    </xf>
    <xf numFmtId="0" fontId="13" fillId="0" borderId="0" xfId="0" applyFont="1" applyFill="1" applyBorder="1" applyAlignment="1"/>
    <xf numFmtId="0" fontId="13" fillId="0" borderId="25" xfId="0" applyFont="1" applyFill="1" applyBorder="1" applyAlignment="1"/>
    <xf numFmtId="0" fontId="44" fillId="0" borderId="1" xfId="0" applyFont="1" applyBorder="1" applyAlignment="1">
      <alignment horizontal="center" vertical="center" wrapText="1"/>
    </xf>
    <xf numFmtId="172" fontId="82" fillId="33" borderId="0" xfId="784" applyNumberFormat="1" applyFill="1" applyBorder="1" applyAlignment="1">
      <alignment horizontal="left"/>
    </xf>
    <xf numFmtId="172" fontId="9" fillId="33" borderId="0" xfId="383" applyNumberFormat="1" applyFont="1" applyFill="1" applyBorder="1" applyAlignment="1">
      <alignment horizontal="left"/>
    </xf>
    <xf numFmtId="172" fontId="9" fillId="0" borderId="0" xfId="383" applyNumberFormat="1" applyFont="1" applyFill="1" applyBorder="1" applyAlignment="1">
      <alignment horizontal="center"/>
    </xf>
    <xf numFmtId="0" fontId="23" fillId="0" borderId="0" xfId="0" applyFont="1" applyAlignment="1">
      <alignment horizontal="center" vertical="top"/>
    </xf>
    <xf numFmtId="0" fontId="24" fillId="0" borderId="0" xfId="0" applyFont="1" applyAlignment="1">
      <alignment horizontal="left" vertical="top"/>
    </xf>
    <xf numFmtId="0" fontId="9" fillId="33" borderId="0" xfId="0" applyFont="1" applyFill="1" applyBorder="1" applyAlignment="1" applyProtection="1">
      <alignment horizontal="center" vertical="center"/>
    </xf>
    <xf numFmtId="0" fontId="61" fillId="0" borderId="0" xfId="0" applyFont="1" applyBorder="1" applyAlignment="1">
      <alignment horizontal="center" vertical="center" wrapText="1"/>
    </xf>
    <xf numFmtId="0" fontId="61" fillId="0" borderId="0" xfId="0" applyFont="1" applyAlignment="1">
      <alignment horizontal="center" vertical="center" wrapText="1"/>
    </xf>
    <xf numFmtId="49" fontId="16" fillId="0" borderId="14" xfId="0" applyNumberFormat="1" applyFont="1" applyFill="1" applyBorder="1" applyAlignment="1">
      <alignment horizontal="center" wrapText="1"/>
    </xf>
    <xf numFmtId="0" fontId="16" fillId="0" borderId="24" xfId="0" applyFont="1" applyFill="1" applyBorder="1" applyAlignment="1">
      <alignment horizontal="center" wrapText="1"/>
    </xf>
    <xf numFmtId="0" fontId="16" fillId="0" borderId="53" xfId="0" applyFont="1" applyFill="1" applyBorder="1" applyAlignment="1">
      <alignment horizontal="center" wrapText="1"/>
    </xf>
    <xf numFmtId="49" fontId="16" fillId="0" borderId="20" xfId="0" applyNumberFormat="1" applyFont="1" applyFill="1" applyBorder="1" applyAlignment="1">
      <alignment horizontal="center"/>
    </xf>
    <xf numFmtId="0" fontId="16" fillId="0" borderId="13" xfId="0" applyNumberFormat="1" applyFont="1" applyFill="1" applyBorder="1" applyAlignment="1">
      <alignment horizontal="center"/>
    </xf>
    <xf numFmtId="0" fontId="16" fillId="0" borderId="15" xfId="0" applyFont="1" applyFill="1" applyBorder="1" applyAlignment="1">
      <alignment horizontal="center"/>
    </xf>
    <xf numFmtId="0" fontId="16" fillId="0" borderId="52" xfId="0" applyFont="1" applyFill="1" applyBorder="1" applyAlignment="1">
      <alignment horizontal="center"/>
    </xf>
    <xf numFmtId="49" fontId="16" fillId="0" borderId="24" xfId="0" applyNumberFormat="1" applyFont="1" applyFill="1" applyBorder="1" applyAlignment="1">
      <alignment horizontal="center"/>
    </xf>
    <xf numFmtId="0" fontId="16" fillId="0" borderId="51" xfId="0" applyFont="1" applyFill="1" applyBorder="1" applyAlignment="1">
      <alignment horizontal="center"/>
    </xf>
    <xf numFmtId="0" fontId="16" fillId="0" borderId="19" xfId="0" applyFont="1" applyFill="1" applyBorder="1" applyAlignment="1">
      <alignment horizontal="center"/>
    </xf>
    <xf numFmtId="0" fontId="16" fillId="0" borderId="13" xfId="0" applyFont="1" applyFill="1" applyBorder="1" applyAlignment="1">
      <alignment horizontal="center"/>
    </xf>
    <xf numFmtId="0" fontId="16" fillId="0" borderId="12" xfId="0" applyFont="1" applyFill="1" applyBorder="1" applyAlignment="1">
      <alignment horizontal="center"/>
    </xf>
    <xf numFmtId="2" fontId="16" fillId="0" borderId="20" xfId="0" applyNumberFormat="1" applyFont="1" applyFill="1" applyBorder="1" applyAlignment="1">
      <alignment horizontal="center"/>
    </xf>
    <xf numFmtId="2" fontId="16" fillId="0" borderId="13" xfId="0" applyNumberFormat="1" applyFont="1" applyFill="1" applyBorder="1" applyAlignment="1">
      <alignment horizontal="center"/>
    </xf>
    <xf numFmtId="0" fontId="16" fillId="0" borderId="20" xfId="0" applyNumberFormat="1" applyFont="1" applyFill="1" applyBorder="1" applyAlignment="1">
      <alignment horizontal="center"/>
    </xf>
    <xf numFmtId="170" fontId="9" fillId="0" borderId="14" xfId="379" applyNumberFormat="1" applyFont="1" applyBorder="1" applyAlignment="1">
      <alignment horizontal="center"/>
    </xf>
    <xf numFmtId="170" fontId="9" fillId="0" borderId="53" xfId="379" applyNumberFormat="1" applyFont="1" applyBorder="1" applyAlignment="1">
      <alignment horizontal="center"/>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16" fillId="0" borderId="50" xfId="0" applyFont="1" applyBorder="1" applyAlignment="1">
      <alignment horizontal="center"/>
    </xf>
    <xf numFmtId="0" fontId="16" fillId="0" borderId="51" xfId="0" applyFont="1" applyBorder="1" applyAlignment="1">
      <alignment horizontal="center"/>
    </xf>
    <xf numFmtId="0" fontId="16" fillId="0" borderId="21" xfId="0" applyFont="1" applyBorder="1" applyAlignment="1">
      <alignment horizontal="center"/>
    </xf>
    <xf numFmtId="49" fontId="9" fillId="0" borderId="47" xfId="0" applyNumberFormat="1" applyFont="1" applyBorder="1" applyAlignment="1">
      <alignment horizontal="center"/>
    </xf>
    <xf numFmtId="0" fontId="9" fillId="0" borderId="49" xfId="0" applyFont="1" applyBorder="1" applyAlignment="1">
      <alignment horizontal="center"/>
    </xf>
    <xf numFmtId="0" fontId="9" fillId="0" borderId="49" xfId="0" applyNumberFormat="1" applyFont="1" applyBorder="1" applyAlignment="1">
      <alignment horizontal="center"/>
    </xf>
    <xf numFmtId="49" fontId="9" fillId="0" borderId="47" xfId="0" applyNumberFormat="1" applyFont="1" applyBorder="1" applyAlignment="1">
      <alignment horizontal="center" vertical="center" wrapText="1"/>
    </xf>
    <xf numFmtId="0" fontId="16" fillId="0" borderId="1" xfId="0" applyFont="1" applyBorder="1" applyAlignment="1" applyProtection="1">
      <alignment horizontal="center"/>
      <protection locked="0"/>
    </xf>
    <xf numFmtId="0" fontId="60" fillId="0" borderId="0" xfId="0" applyFont="1" applyFill="1" applyBorder="1" applyAlignment="1" applyProtection="1">
      <alignment horizontal="center" vertical="center"/>
      <protection locked="0"/>
    </xf>
    <xf numFmtId="0" fontId="64" fillId="0" borderId="1" xfId="860" applyFont="1" applyBorder="1" applyAlignment="1">
      <alignment horizontal="center"/>
    </xf>
    <xf numFmtId="0" fontId="56" fillId="0" borderId="0" xfId="0" applyFont="1" applyBorder="1" applyAlignment="1">
      <alignment horizontal="center"/>
    </xf>
    <xf numFmtId="3" fontId="42" fillId="0" borderId="10" xfId="0" applyNumberFormat="1" applyFont="1" applyBorder="1" applyAlignment="1">
      <alignment horizontal="center" vertical="center" wrapText="1"/>
    </xf>
    <xf numFmtId="3" fontId="42" fillId="0" borderId="76" xfId="0" applyNumberFormat="1" applyFont="1" applyBorder="1" applyAlignment="1">
      <alignment horizontal="center" vertical="center" wrapText="1"/>
    </xf>
    <xf numFmtId="3" fontId="42" fillId="0" borderId="77" xfId="0" applyNumberFormat="1" applyFont="1" applyBorder="1" applyAlignment="1">
      <alignment horizontal="center" vertical="center" wrapText="1"/>
    </xf>
    <xf numFmtId="0" fontId="54" fillId="0" borderId="54" xfId="0" applyFont="1" applyBorder="1" applyAlignment="1">
      <alignment horizontal="center" vertical="center" wrapText="1"/>
    </xf>
    <xf numFmtId="0" fontId="54" fillId="0" borderId="55" xfId="0" applyFont="1" applyBorder="1" applyAlignment="1">
      <alignment horizontal="center" vertical="center" wrapText="1"/>
    </xf>
    <xf numFmtId="3" fontId="42" fillId="0" borderId="50" xfId="0" applyNumberFormat="1" applyFont="1" applyBorder="1" applyAlignment="1">
      <alignment horizontal="center" vertical="center" wrapText="1"/>
    </xf>
    <xf numFmtId="3" fontId="42" fillId="0" borderId="21" xfId="0" applyNumberFormat="1" applyFont="1" applyBorder="1" applyAlignment="1">
      <alignment horizontal="center" vertical="center" wrapText="1"/>
    </xf>
    <xf numFmtId="0" fontId="44" fillId="0" borderId="23" xfId="0" applyFont="1" applyBorder="1" applyAlignment="1">
      <alignment horizontal="center" vertical="center" wrapText="1"/>
    </xf>
    <xf numFmtId="3" fontId="42" fillId="0" borderId="1" xfId="0" applyNumberFormat="1" applyFont="1" applyBorder="1" applyAlignment="1">
      <alignment horizontal="center" vertical="center" wrapText="1"/>
    </xf>
    <xf numFmtId="0" fontId="54" fillId="0" borderId="54" xfId="0" applyFont="1" applyBorder="1" applyAlignment="1">
      <alignment horizontal="center" vertical="center"/>
    </xf>
    <xf numFmtId="0" fontId="54" fillId="0" borderId="55" xfId="0" applyFont="1" applyBorder="1" applyAlignment="1">
      <alignment horizontal="center" vertical="center"/>
    </xf>
    <xf numFmtId="172" fontId="9" fillId="66" borderId="31" xfId="383" applyNumberFormat="1" applyFont="1" applyFill="1" applyBorder="1" applyAlignment="1">
      <alignment horizontal="center"/>
    </xf>
    <xf numFmtId="172" fontId="9" fillId="66" borderId="5" xfId="383" applyNumberFormat="1" applyFont="1" applyFill="1" applyBorder="1" applyAlignment="1">
      <alignment horizontal="center"/>
    </xf>
    <xf numFmtId="172" fontId="9" fillId="66" borderId="6" xfId="383" applyNumberFormat="1" applyFont="1" applyFill="1" applyBorder="1" applyAlignment="1">
      <alignment horizontal="center"/>
    </xf>
    <xf numFmtId="0" fontId="9" fillId="0" borderId="39"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43" fillId="34" borderId="0" xfId="0" applyFont="1" applyFill="1" applyBorder="1" applyAlignment="1">
      <alignment horizontal="center" vertical="center"/>
    </xf>
    <xf numFmtId="0" fontId="9" fillId="34" borderId="48" xfId="0" applyFont="1" applyFill="1" applyBorder="1" applyAlignment="1">
      <alignment horizontal="left" vertical="center" wrapText="1"/>
    </xf>
    <xf numFmtId="0" fontId="44" fillId="0" borderId="12" xfId="0" applyFont="1" applyBorder="1" applyAlignment="1">
      <alignment horizontal="center" vertical="center" wrapText="1"/>
    </xf>
    <xf numFmtId="0" fontId="54" fillId="0" borderId="75" xfId="0" applyFont="1" applyBorder="1" applyAlignment="1">
      <alignment horizontal="center" vertical="center" wrapText="1"/>
    </xf>
    <xf numFmtId="0" fontId="54" fillId="0" borderId="20" xfId="0" applyFont="1" applyBorder="1" applyAlignment="1">
      <alignment horizontal="center" vertical="center" wrapText="1"/>
    </xf>
    <xf numFmtId="172" fontId="9" fillId="0" borderId="31" xfId="383" applyNumberFormat="1" applyFont="1" applyFill="1" applyBorder="1" applyAlignment="1">
      <alignment horizontal="center"/>
    </xf>
    <xf numFmtId="172" fontId="9" fillId="0" borderId="5" xfId="383" applyNumberFormat="1" applyFont="1" applyFill="1" applyBorder="1" applyAlignment="1">
      <alignment horizontal="center"/>
    </xf>
    <xf numFmtId="172" fontId="9" fillId="0" borderId="6" xfId="383" applyNumberFormat="1" applyFont="1" applyFill="1" applyBorder="1" applyAlignment="1">
      <alignment horizontal="center"/>
    </xf>
    <xf numFmtId="0" fontId="56" fillId="0" borderId="19" xfId="0" applyFont="1" applyBorder="1" applyAlignment="1">
      <alignment horizontal="center"/>
    </xf>
    <xf numFmtId="0" fontId="56" fillId="0" borderId="24" xfId="0" applyFont="1" applyBorder="1" applyAlignment="1">
      <alignment horizontal="center"/>
    </xf>
    <xf numFmtId="0" fontId="56" fillId="0" borderId="13" xfId="0" applyFont="1" applyBorder="1" applyAlignment="1">
      <alignment horizontal="center"/>
    </xf>
    <xf numFmtId="2" fontId="83" fillId="66" borderId="3" xfId="379" applyNumberFormat="1" applyFont="1" applyFill="1" applyBorder="1" applyAlignment="1" applyProtection="1">
      <alignment horizontal="center" vertical="center"/>
      <protection locked="0"/>
    </xf>
    <xf numFmtId="2" fontId="83" fillId="66" borderId="79" xfId="379" applyNumberFormat="1" applyFont="1" applyFill="1" applyBorder="1" applyAlignment="1" applyProtection="1">
      <alignment horizontal="center" vertical="center"/>
      <protection locked="0"/>
    </xf>
    <xf numFmtId="0" fontId="9" fillId="34" borderId="48" xfId="0" applyFont="1" applyFill="1" applyBorder="1" applyAlignment="1">
      <alignment horizontal="center" vertical="center" wrapText="1"/>
    </xf>
    <xf numFmtId="0" fontId="65" fillId="0" borderId="50" xfId="0" applyFont="1" applyBorder="1" applyAlignment="1">
      <alignment horizontal="center"/>
    </xf>
    <xf numFmtId="0" fontId="65" fillId="0" borderId="51" xfId="0" applyFont="1" applyBorder="1" applyAlignment="1">
      <alignment horizontal="center"/>
    </xf>
    <xf numFmtId="0" fontId="65" fillId="0" borderId="21" xfId="0" applyFont="1" applyBorder="1" applyAlignment="1">
      <alignment horizontal="center"/>
    </xf>
    <xf numFmtId="0" fontId="24" fillId="0" borderId="0" xfId="696" applyFont="1" applyAlignment="1">
      <alignment horizontal="left"/>
    </xf>
    <xf numFmtId="0" fontId="48" fillId="0" borderId="0" xfId="767" applyFont="1" applyAlignment="1">
      <alignment horizontal="left" vertical="top" wrapText="1"/>
    </xf>
    <xf numFmtId="0" fontId="49" fillId="34" borderId="70" xfId="767" applyFont="1" applyFill="1" applyBorder="1" applyAlignment="1">
      <alignment horizontal="center" vertical="top"/>
    </xf>
    <xf numFmtId="0" fontId="49" fillId="34" borderId="78" xfId="767" applyFont="1" applyFill="1" applyBorder="1" applyAlignment="1">
      <alignment horizontal="center" vertical="top"/>
    </xf>
    <xf numFmtId="0" fontId="112" fillId="0" borderId="0" xfId="767" applyFont="1" applyBorder="1" applyAlignment="1">
      <alignment horizontal="left" vertical="top" wrapText="1"/>
    </xf>
    <xf numFmtId="0" fontId="48" fillId="0" borderId="0" xfId="767" applyFont="1" applyBorder="1" applyAlignment="1">
      <alignment horizontal="left" vertical="top" wrapText="1"/>
    </xf>
    <xf numFmtId="0" fontId="49" fillId="34" borderId="45" xfId="767" applyFont="1" applyFill="1" applyBorder="1" applyAlignment="1">
      <alignment horizontal="center" vertical="top"/>
    </xf>
    <xf numFmtId="0" fontId="49" fillId="34" borderId="0" xfId="767" applyFont="1" applyFill="1" applyBorder="1" applyAlignment="1">
      <alignment horizontal="center" vertical="top"/>
    </xf>
    <xf numFmtId="0" fontId="49" fillId="34" borderId="41" xfId="767" applyFont="1" applyFill="1" applyBorder="1" applyAlignment="1">
      <alignment horizontal="center" vertical="top"/>
    </xf>
    <xf numFmtId="0" fontId="49" fillId="34" borderId="15" xfId="767" applyFont="1" applyFill="1" applyBorder="1" applyAlignment="1">
      <alignment horizontal="center" vertical="center"/>
    </xf>
    <xf numFmtId="0" fontId="49" fillId="34" borderId="51" xfId="767" applyFont="1" applyFill="1" applyBorder="1" applyAlignment="1">
      <alignment horizontal="center" vertical="center"/>
    </xf>
    <xf numFmtId="0" fontId="49" fillId="34" borderId="52" xfId="767" applyFont="1" applyFill="1" applyBorder="1" applyAlignment="1">
      <alignment horizontal="center" vertical="center"/>
    </xf>
    <xf numFmtId="0" fontId="112" fillId="0" borderId="0" xfId="767" applyFont="1" applyBorder="1" applyAlignment="1">
      <alignment horizontal="left"/>
    </xf>
    <xf numFmtId="0" fontId="49" fillId="0" borderId="0" xfId="767" applyFont="1" applyBorder="1" applyAlignment="1">
      <alignment horizontal="center" vertical="top" wrapText="1"/>
    </xf>
    <xf numFmtId="0" fontId="49" fillId="34" borderId="47" xfId="767" applyFont="1" applyFill="1" applyBorder="1" applyAlignment="1">
      <alignment horizontal="center"/>
    </xf>
    <xf numFmtId="0" fontId="49" fillId="34" borderId="48" xfId="767" applyFont="1" applyFill="1" applyBorder="1" applyAlignment="1">
      <alignment horizontal="center"/>
    </xf>
    <xf numFmtId="0" fontId="49" fillId="34" borderId="49" xfId="767" applyFont="1" applyFill="1" applyBorder="1" applyAlignment="1">
      <alignment horizontal="center"/>
    </xf>
    <xf numFmtId="0" fontId="49" fillId="34" borderId="45" xfId="767" applyFont="1" applyFill="1" applyBorder="1" applyAlignment="1">
      <alignment horizontal="left" vertical="center"/>
    </xf>
    <xf numFmtId="0" fontId="49" fillId="34" borderId="0" xfId="767" applyFont="1" applyFill="1" applyBorder="1" applyAlignment="1">
      <alignment horizontal="left" vertical="center"/>
    </xf>
    <xf numFmtId="0" fontId="48" fillId="34" borderId="38" xfId="767" applyFont="1" applyFill="1" applyBorder="1" applyAlignment="1">
      <alignment vertical="top" wrapText="1"/>
    </xf>
    <xf numFmtId="0" fontId="48" fillId="34" borderId="70" xfId="767" applyFont="1" applyFill="1" applyBorder="1" applyAlignment="1">
      <alignment vertical="top" wrapText="1"/>
    </xf>
    <xf numFmtId="0" fontId="49" fillId="0" borderId="46" xfId="767" applyFont="1" applyBorder="1" applyAlignment="1">
      <alignment vertical="top" wrapText="1"/>
    </xf>
    <xf numFmtId="0" fontId="49" fillId="0" borderId="25" xfId="767" applyFont="1" applyBorder="1" applyAlignment="1">
      <alignment vertical="top" wrapText="1"/>
    </xf>
    <xf numFmtId="171" fontId="19" fillId="33" borderId="45" xfId="768" applyNumberFormat="1" applyFont="1" applyFill="1" applyBorder="1" applyAlignment="1">
      <alignment horizontal="center" vertical="top"/>
    </xf>
    <xf numFmtId="171" fontId="19" fillId="33" borderId="0" xfId="768" applyNumberFormat="1" applyFont="1" applyFill="1" applyBorder="1" applyAlignment="1">
      <alignment horizontal="center" vertical="top"/>
    </xf>
    <xf numFmtId="171" fontId="19" fillId="33" borderId="41" xfId="768" applyNumberFormat="1" applyFont="1" applyFill="1" applyBorder="1" applyAlignment="1">
      <alignment horizontal="center" vertical="top"/>
    </xf>
    <xf numFmtId="0" fontId="112" fillId="0" borderId="0" xfId="767" applyFont="1" applyAlignment="1">
      <alignment horizontal="left" vertical="top"/>
    </xf>
    <xf numFmtId="0" fontId="49" fillId="62" borderId="47" xfId="767" applyFont="1" applyFill="1" applyBorder="1" applyAlignment="1">
      <alignment horizontal="center" vertical="top"/>
    </xf>
    <xf numFmtId="0" fontId="49" fillId="62" borderId="48" xfId="767" applyFont="1" applyFill="1" applyBorder="1" applyAlignment="1">
      <alignment horizontal="center" vertical="top"/>
    </xf>
    <xf numFmtId="0" fontId="49" fillId="62" borderId="49" xfId="767" applyFont="1" applyFill="1" applyBorder="1" applyAlignment="1">
      <alignment horizontal="center" vertical="top"/>
    </xf>
    <xf numFmtId="171" fontId="19" fillId="33" borderId="45" xfId="768" applyNumberFormat="1" applyFont="1" applyFill="1" applyBorder="1" applyAlignment="1">
      <alignment horizontal="center"/>
    </xf>
    <xf numFmtId="171" fontId="19" fillId="33" borderId="0" xfId="768" applyNumberFormat="1" applyFont="1" applyFill="1" applyBorder="1" applyAlignment="1">
      <alignment horizontal="center"/>
    </xf>
    <xf numFmtId="171" fontId="19" fillId="33" borderId="41" xfId="768" applyNumberFormat="1" applyFont="1" applyFill="1" applyBorder="1" applyAlignment="1">
      <alignment horizontal="center"/>
    </xf>
    <xf numFmtId="2" fontId="9" fillId="0" borderId="75" xfId="0" applyNumberFormat="1" applyFont="1" applyFill="1" applyBorder="1" applyAlignment="1">
      <alignment horizontal="center" wrapText="1"/>
    </xf>
    <xf numFmtId="2" fontId="9" fillId="0" borderId="20" xfId="0" applyNumberFormat="1" applyFont="1" applyFill="1" applyBorder="1" applyAlignment="1">
      <alignment horizontal="center" wrapText="1"/>
    </xf>
    <xf numFmtId="2" fontId="9" fillId="0" borderId="53" xfId="0" applyNumberFormat="1" applyFont="1" applyFill="1" applyBorder="1" applyAlignment="1">
      <alignment horizontal="center" wrapText="1"/>
    </xf>
    <xf numFmtId="2" fontId="9" fillId="0" borderId="12" xfId="0" applyNumberFormat="1" applyFont="1" applyFill="1" applyBorder="1" applyAlignment="1">
      <alignment horizontal="center" wrapText="1"/>
    </xf>
    <xf numFmtId="0" fontId="9" fillId="0" borderId="12" xfId="0" applyFont="1" applyFill="1" applyBorder="1" applyAlignment="1">
      <alignment horizontal="center" wrapText="1"/>
    </xf>
    <xf numFmtId="2" fontId="16" fillId="0" borderId="1" xfId="0" applyNumberFormat="1" applyFont="1" applyBorder="1" applyAlignment="1">
      <alignment horizontal="center"/>
    </xf>
    <xf numFmtId="0" fontId="16" fillId="0" borderId="1" xfId="0" applyFont="1" applyBorder="1" applyAlignment="1">
      <alignment horizontal="center"/>
    </xf>
  </cellXfs>
  <cellStyles count="1446">
    <cellStyle name="$" xfId="745"/>
    <cellStyle name="$.00" xfId="746"/>
    <cellStyle name="$_9. Rev2Cost_GDPIPI" xfId="747"/>
    <cellStyle name="$_lists" xfId="748"/>
    <cellStyle name="$_lists_4. Current Monthly Fixed Charge" xfId="749"/>
    <cellStyle name="$_Sheet4" xfId="750"/>
    <cellStyle name="$M" xfId="751"/>
    <cellStyle name="$M.00" xfId="752"/>
    <cellStyle name="$M_9. Rev2Cost_GDPIPI" xfId="753"/>
    <cellStyle name="20% - Accent1 10" xfId="1"/>
    <cellStyle name="20% - Accent1 11" xfId="2"/>
    <cellStyle name="20% - Accent1 12" xfId="3"/>
    <cellStyle name="20% - Accent1 13" xfId="4"/>
    <cellStyle name="20% - Accent1 14" xfId="5"/>
    <cellStyle name="20% - Accent1 15" xfId="6"/>
    <cellStyle name="20% - Accent1 16" xfId="669"/>
    <cellStyle name="20% - Accent1 2" xfId="7"/>
    <cellStyle name="20% - Accent1 2 2" xfId="716"/>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15" xfId="20"/>
    <cellStyle name="20% - Accent2 16" xfId="670"/>
    <cellStyle name="20% - Accent2 2" xfId="21"/>
    <cellStyle name="20% - Accent2 2 2" xfId="720"/>
    <cellStyle name="20% - Accent2 3" xfId="22"/>
    <cellStyle name="20% - Accent2 4" xfId="23"/>
    <cellStyle name="20% - Accent2 5" xfId="24"/>
    <cellStyle name="20% - Accent2 6" xfId="25"/>
    <cellStyle name="20% - Accent2 7" xfId="26"/>
    <cellStyle name="20% - Accent2 8" xfId="27"/>
    <cellStyle name="20% - Accent2 9" xfId="28"/>
    <cellStyle name="20% - Accent3 10" xfId="29"/>
    <cellStyle name="20% - Accent3 11" xfId="30"/>
    <cellStyle name="20% - Accent3 12" xfId="31"/>
    <cellStyle name="20% - Accent3 13" xfId="32"/>
    <cellStyle name="20% - Accent3 14" xfId="33"/>
    <cellStyle name="20% - Accent3 15" xfId="34"/>
    <cellStyle name="20% - Accent3 16" xfId="671"/>
    <cellStyle name="20% - Accent3 2" xfId="35"/>
    <cellStyle name="20% - Accent3 2 2" xfId="724"/>
    <cellStyle name="20% - Accent3 3" xfId="36"/>
    <cellStyle name="20% - Accent3 4" xfId="37"/>
    <cellStyle name="20% - Accent3 5" xfId="38"/>
    <cellStyle name="20% - Accent3 6" xfId="39"/>
    <cellStyle name="20% - Accent3 7" xfId="40"/>
    <cellStyle name="20% - Accent3 8" xfId="41"/>
    <cellStyle name="20% - Accent3 9" xfId="42"/>
    <cellStyle name="20% - Accent4 10" xfId="43"/>
    <cellStyle name="20% - Accent4 11" xfId="44"/>
    <cellStyle name="20% - Accent4 12" xfId="45"/>
    <cellStyle name="20% - Accent4 13" xfId="46"/>
    <cellStyle name="20% - Accent4 14" xfId="47"/>
    <cellStyle name="20% - Accent4 15" xfId="48"/>
    <cellStyle name="20% - Accent4 16" xfId="672"/>
    <cellStyle name="20% - Accent4 2" xfId="49"/>
    <cellStyle name="20% - Accent4 2 2" xfId="728"/>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15" xfId="62"/>
    <cellStyle name="20% - Accent5 16" xfId="673"/>
    <cellStyle name="20% - Accent5 2" xfId="63"/>
    <cellStyle name="20% - Accent5 2 2" xfId="732"/>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13" xfId="74"/>
    <cellStyle name="20% - Accent6 14" xfId="75"/>
    <cellStyle name="20% - Accent6 15" xfId="76"/>
    <cellStyle name="20% - Accent6 16" xfId="674"/>
    <cellStyle name="20% - Accent6 2" xfId="77"/>
    <cellStyle name="20% - Accent6 2 2" xfId="736"/>
    <cellStyle name="20% - Accent6 3" xfId="78"/>
    <cellStyle name="20% - Accent6 4" xfId="79"/>
    <cellStyle name="20% - Accent6 5" xfId="80"/>
    <cellStyle name="20% - Accent6 6" xfId="81"/>
    <cellStyle name="20% - Accent6 7" xfId="82"/>
    <cellStyle name="20% - Accent6 8" xfId="83"/>
    <cellStyle name="20% - Accent6 9" xfId="84"/>
    <cellStyle name="40% - Accent1 10" xfId="85"/>
    <cellStyle name="40% - Accent1 11" xfId="86"/>
    <cellStyle name="40% - Accent1 12" xfId="87"/>
    <cellStyle name="40% - Accent1 13" xfId="88"/>
    <cellStyle name="40% - Accent1 14" xfId="89"/>
    <cellStyle name="40% - Accent1 15" xfId="90"/>
    <cellStyle name="40% - Accent1 16" xfId="675"/>
    <cellStyle name="40% - Accent1 2" xfId="91"/>
    <cellStyle name="40% - Accent1 2 2" xfId="717"/>
    <cellStyle name="40% - Accent1 3" xfId="92"/>
    <cellStyle name="40% - Accent1 4" xfId="93"/>
    <cellStyle name="40% - Accent1 5" xfId="94"/>
    <cellStyle name="40% - Accent1 6" xfId="95"/>
    <cellStyle name="40% - Accent1 7" xfId="96"/>
    <cellStyle name="40% - Accent1 8" xfId="97"/>
    <cellStyle name="40% - Accent1 9" xfId="98"/>
    <cellStyle name="40% - Accent2 10" xfId="99"/>
    <cellStyle name="40% - Accent2 11" xfId="100"/>
    <cellStyle name="40% - Accent2 12" xfId="101"/>
    <cellStyle name="40% - Accent2 13" xfId="102"/>
    <cellStyle name="40% - Accent2 14" xfId="103"/>
    <cellStyle name="40% - Accent2 15" xfId="104"/>
    <cellStyle name="40% - Accent2 16" xfId="676"/>
    <cellStyle name="40% - Accent2 2" xfId="105"/>
    <cellStyle name="40% - Accent2 2 2" xfId="721"/>
    <cellStyle name="40% - Accent2 3" xfId="106"/>
    <cellStyle name="40% - Accent2 4" xfId="107"/>
    <cellStyle name="40% - Accent2 5" xfId="108"/>
    <cellStyle name="40% - Accent2 6" xfId="109"/>
    <cellStyle name="40% - Accent2 7" xfId="110"/>
    <cellStyle name="40% - Accent2 8" xfId="111"/>
    <cellStyle name="40% - Accent2 9" xfId="112"/>
    <cellStyle name="40% - Accent3 10" xfId="113"/>
    <cellStyle name="40% - Accent3 11" xfId="114"/>
    <cellStyle name="40% - Accent3 12" xfId="115"/>
    <cellStyle name="40% - Accent3 13" xfId="116"/>
    <cellStyle name="40% - Accent3 14" xfId="117"/>
    <cellStyle name="40% - Accent3 15" xfId="118"/>
    <cellStyle name="40% - Accent3 16" xfId="677"/>
    <cellStyle name="40% - Accent3 2" xfId="119"/>
    <cellStyle name="40% - Accent3 2 2" xfId="725"/>
    <cellStyle name="40% - Accent3 3" xfId="120"/>
    <cellStyle name="40% - Accent3 4" xfId="121"/>
    <cellStyle name="40% - Accent3 5" xfId="122"/>
    <cellStyle name="40% - Accent3 6" xfId="123"/>
    <cellStyle name="40% - Accent3 7" xfId="124"/>
    <cellStyle name="40% - Accent3 8" xfId="125"/>
    <cellStyle name="40% - Accent3 9" xfId="126"/>
    <cellStyle name="40% - Accent4 10" xfId="127"/>
    <cellStyle name="40% - Accent4 11" xfId="128"/>
    <cellStyle name="40% - Accent4 12" xfId="129"/>
    <cellStyle name="40% - Accent4 13" xfId="130"/>
    <cellStyle name="40% - Accent4 14" xfId="131"/>
    <cellStyle name="40% - Accent4 15" xfId="132"/>
    <cellStyle name="40% - Accent4 16" xfId="678"/>
    <cellStyle name="40% - Accent4 2" xfId="133"/>
    <cellStyle name="40% - Accent4 2 2" xfId="729"/>
    <cellStyle name="40% - Accent4 3" xfId="134"/>
    <cellStyle name="40% - Accent4 4" xfId="135"/>
    <cellStyle name="40% - Accent4 5" xfId="136"/>
    <cellStyle name="40% - Accent4 6" xfId="137"/>
    <cellStyle name="40% - Accent4 7" xfId="138"/>
    <cellStyle name="40% - Accent4 8" xfId="139"/>
    <cellStyle name="40% - Accent4 9" xfId="140"/>
    <cellStyle name="40% - Accent5 10" xfId="141"/>
    <cellStyle name="40% - Accent5 11" xfId="142"/>
    <cellStyle name="40% - Accent5 12" xfId="143"/>
    <cellStyle name="40% - Accent5 13" xfId="144"/>
    <cellStyle name="40% - Accent5 14" xfId="145"/>
    <cellStyle name="40% - Accent5 15" xfId="146"/>
    <cellStyle name="40% - Accent5 16" xfId="679"/>
    <cellStyle name="40% - Accent5 2" xfId="147"/>
    <cellStyle name="40% - Accent5 2 2" xfId="733"/>
    <cellStyle name="40% - Accent5 3" xfId="148"/>
    <cellStyle name="40% - Accent5 4" xfId="149"/>
    <cellStyle name="40% - Accent5 5" xfId="150"/>
    <cellStyle name="40% - Accent5 6" xfId="151"/>
    <cellStyle name="40% - Accent5 7" xfId="152"/>
    <cellStyle name="40% - Accent5 8" xfId="153"/>
    <cellStyle name="40% - Accent5 9" xfId="154"/>
    <cellStyle name="40% - Accent6 10" xfId="155"/>
    <cellStyle name="40% - Accent6 11" xfId="156"/>
    <cellStyle name="40% - Accent6 12" xfId="157"/>
    <cellStyle name="40% - Accent6 13" xfId="158"/>
    <cellStyle name="40% - Accent6 14" xfId="159"/>
    <cellStyle name="40% - Accent6 15" xfId="160"/>
    <cellStyle name="40% - Accent6 16" xfId="680"/>
    <cellStyle name="40% - Accent6 2" xfId="161"/>
    <cellStyle name="40% - Accent6 2 2" xfId="737"/>
    <cellStyle name="40% - Accent6 3" xfId="162"/>
    <cellStyle name="40% - Accent6 4" xfId="163"/>
    <cellStyle name="40% - Accent6 5" xfId="164"/>
    <cellStyle name="40% - Accent6 6" xfId="165"/>
    <cellStyle name="40% - Accent6 7" xfId="166"/>
    <cellStyle name="40% - Accent6 8" xfId="167"/>
    <cellStyle name="40% - Accent6 9" xfId="168"/>
    <cellStyle name="60% - Accent1 10" xfId="169"/>
    <cellStyle name="60% - Accent1 11" xfId="170"/>
    <cellStyle name="60% - Accent1 12" xfId="171"/>
    <cellStyle name="60% - Accent1 13" xfId="172"/>
    <cellStyle name="60% - Accent1 14" xfId="173"/>
    <cellStyle name="60% - Accent1 15" xfId="174"/>
    <cellStyle name="60% - Accent1 16" xfId="681"/>
    <cellStyle name="60% - Accent1 2" xfId="175"/>
    <cellStyle name="60% - Accent1 2 2" xfId="718"/>
    <cellStyle name="60% - Accent1 3" xfId="176"/>
    <cellStyle name="60% - Accent1 4" xfId="177"/>
    <cellStyle name="60% - Accent1 5" xfId="178"/>
    <cellStyle name="60% - Accent1 6" xfId="179"/>
    <cellStyle name="60% - Accent1 7" xfId="180"/>
    <cellStyle name="60% - Accent1 8" xfId="181"/>
    <cellStyle name="60% - Accent1 9" xfId="182"/>
    <cellStyle name="60% - Accent2 10" xfId="183"/>
    <cellStyle name="60% - Accent2 11" xfId="184"/>
    <cellStyle name="60% - Accent2 12" xfId="185"/>
    <cellStyle name="60% - Accent2 13" xfId="186"/>
    <cellStyle name="60% - Accent2 14" xfId="187"/>
    <cellStyle name="60% - Accent2 15" xfId="188"/>
    <cellStyle name="60% - Accent2 16" xfId="682"/>
    <cellStyle name="60% - Accent2 2" xfId="189"/>
    <cellStyle name="60% - Accent2 2 2" xfId="722"/>
    <cellStyle name="60% - Accent2 3" xfId="190"/>
    <cellStyle name="60% - Accent2 4" xfId="191"/>
    <cellStyle name="60% - Accent2 5" xfId="192"/>
    <cellStyle name="60% - Accent2 6" xfId="193"/>
    <cellStyle name="60% - Accent2 7" xfId="194"/>
    <cellStyle name="60% - Accent2 8" xfId="195"/>
    <cellStyle name="60% - Accent2 9" xfId="196"/>
    <cellStyle name="60% - Accent3 10" xfId="197"/>
    <cellStyle name="60% - Accent3 11" xfId="198"/>
    <cellStyle name="60% - Accent3 12" xfId="199"/>
    <cellStyle name="60% - Accent3 13" xfId="200"/>
    <cellStyle name="60% - Accent3 14" xfId="201"/>
    <cellStyle name="60% - Accent3 15" xfId="202"/>
    <cellStyle name="60% - Accent3 16" xfId="683"/>
    <cellStyle name="60% - Accent3 2" xfId="203"/>
    <cellStyle name="60% - Accent3 2 2" xfId="726"/>
    <cellStyle name="60% - Accent3 3" xfId="204"/>
    <cellStyle name="60% - Accent3 4" xfId="205"/>
    <cellStyle name="60% - Accent3 5" xfId="206"/>
    <cellStyle name="60% - Accent3 6" xfId="207"/>
    <cellStyle name="60% - Accent3 7" xfId="208"/>
    <cellStyle name="60% - Accent3 8" xfId="209"/>
    <cellStyle name="60% - Accent3 9" xfId="210"/>
    <cellStyle name="60% - Accent4 10" xfId="211"/>
    <cellStyle name="60% - Accent4 11" xfId="212"/>
    <cellStyle name="60% - Accent4 12" xfId="213"/>
    <cellStyle name="60% - Accent4 13" xfId="214"/>
    <cellStyle name="60% - Accent4 14" xfId="215"/>
    <cellStyle name="60% - Accent4 15" xfId="216"/>
    <cellStyle name="60% - Accent4 16" xfId="684"/>
    <cellStyle name="60% - Accent4 2" xfId="217"/>
    <cellStyle name="60% - Accent4 2 2" xfId="730"/>
    <cellStyle name="60% - Accent4 3" xfId="218"/>
    <cellStyle name="60% - Accent4 4" xfId="219"/>
    <cellStyle name="60% - Accent4 5" xfId="220"/>
    <cellStyle name="60% - Accent4 6" xfId="221"/>
    <cellStyle name="60% - Accent4 7" xfId="222"/>
    <cellStyle name="60% - Accent4 8" xfId="223"/>
    <cellStyle name="60% - Accent4 9" xfId="224"/>
    <cellStyle name="60% - Accent5 10" xfId="225"/>
    <cellStyle name="60% - Accent5 11" xfId="226"/>
    <cellStyle name="60% - Accent5 12" xfId="227"/>
    <cellStyle name="60% - Accent5 13" xfId="228"/>
    <cellStyle name="60% - Accent5 14" xfId="229"/>
    <cellStyle name="60% - Accent5 15" xfId="230"/>
    <cellStyle name="60% - Accent5 16" xfId="685"/>
    <cellStyle name="60% - Accent5 2" xfId="231"/>
    <cellStyle name="60% - Accent5 2 2" xfId="734"/>
    <cellStyle name="60% - Accent5 3" xfId="232"/>
    <cellStyle name="60% - Accent5 4" xfId="233"/>
    <cellStyle name="60% - Accent5 5" xfId="234"/>
    <cellStyle name="60% - Accent5 6" xfId="235"/>
    <cellStyle name="60% - Accent5 7" xfId="236"/>
    <cellStyle name="60% - Accent5 8" xfId="237"/>
    <cellStyle name="60% - Accent5 9" xfId="238"/>
    <cellStyle name="60% - Accent6 10" xfId="239"/>
    <cellStyle name="60% - Accent6 11" xfId="240"/>
    <cellStyle name="60% - Accent6 12" xfId="241"/>
    <cellStyle name="60% - Accent6 13" xfId="242"/>
    <cellStyle name="60% - Accent6 14" xfId="243"/>
    <cellStyle name="60% - Accent6 15" xfId="244"/>
    <cellStyle name="60% - Accent6 16" xfId="686"/>
    <cellStyle name="60% - Accent6 2" xfId="245"/>
    <cellStyle name="60% - Accent6 2 2" xfId="738"/>
    <cellStyle name="60% - Accent6 3" xfId="246"/>
    <cellStyle name="60% - Accent6 4" xfId="247"/>
    <cellStyle name="60% - Accent6 5" xfId="248"/>
    <cellStyle name="60% - Accent6 6" xfId="249"/>
    <cellStyle name="60% - Accent6 7" xfId="250"/>
    <cellStyle name="60% - Accent6 8" xfId="251"/>
    <cellStyle name="60% - Accent6 9" xfId="252"/>
    <cellStyle name="Accent1 10" xfId="253"/>
    <cellStyle name="Accent1 11" xfId="254"/>
    <cellStyle name="Accent1 12" xfId="255"/>
    <cellStyle name="Accent1 13" xfId="256"/>
    <cellStyle name="Accent1 14" xfId="257"/>
    <cellStyle name="Accent1 15" xfId="258"/>
    <cellStyle name="Accent1 16" xfId="687"/>
    <cellStyle name="Accent1 2" xfId="259"/>
    <cellStyle name="Accent1 2 2" xfId="715"/>
    <cellStyle name="Accent1 3" xfId="260"/>
    <cellStyle name="Accent1 4" xfId="261"/>
    <cellStyle name="Accent1 5" xfId="262"/>
    <cellStyle name="Accent1 6" xfId="263"/>
    <cellStyle name="Accent1 7" xfId="264"/>
    <cellStyle name="Accent1 8" xfId="265"/>
    <cellStyle name="Accent1 9" xfId="266"/>
    <cellStyle name="Accent2 10" xfId="267"/>
    <cellStyle name="Accent2 11" xfId="268"/>
    <cellStyle name="Accent2 12" xfId="269"/>
    <cellStyle name="Accent2 13" xfId="270"/>
    <cellStyle name="Accent2 14" xfId="271"/>
    <cellStyle name="Accent2 15" xfId="272"/>
    <cellStyle name="Accent2 16" xfId="688"/>
    <cellStyle name="Accent2 2" xfId="273"/>
    <cellStyle name="Accent2 2 2" xfId="719"/>
    <cellStyle name="Accent2 3" xfId="274"/>
    <cellStyle name="Accent2 4" xfId="275"/>
    <cellStyle name="Accent2 5" xfId="276"/>
    <cellStyle name="Accent2 6" xfId="277"/>
    <cellStyle name="Accent2 7" xfId="278"/>
    <cellStyle name="Accent2 8" xfId="279"/>
    <cellStyle name="Accent2 9" xfId="280"/>
    <cellStyle name="Accent3 10" xfId="281"/>
    <cellStyle name="Accent3 11" xfId="282"/>
    <cellStyle name="Accent3 12" xfId="283"/>
    <cellStyle name="Accent3 13" xfId="284"/>
    <cellStyle name="Accent3 14" xfId="285"/>
    <cellStyle name="Accent3 15" xfId="286"/>
    <cellStyle name="Accent3 16" xfId="689"/>
    <cellStyle name="Accent3 2" xfId="287"/>
    <cellStyle name="Accent3 2 2" xfId="723"/>
    <cellStyle name="Accent3 3" xfId="288"/>
    <cellStyle name="Accent3 4" xfId="289"/>
    <cellStyle name="Accent3 5" xfId="290"/>
    <cellStyle name="Accent3 6" xfId="291"/>
    <cellStyle name="Accent3 7" xfId="292"/>
    <cellStyle name="Accent3 8" xfId="293"/>
    <cellStyle name="Accent3 9" xfId="294"/>
    <cellStyle name="Accent4 10" xfId="295"/>
    <cellStyle name="Accent4 11" xfId="296"/>
    <cellStyle name="Accent4 12" xfId="297"/>
    <cellStyle name="Accent4 13" xfId="298"/>
    <cellStyle name="Accent4 14" xfId="299"/>
    <cellStyle name="Accent4 15" xfId="300"/>
    <cellStyle name="Accent4 16" xfId="795"/>
    <cellStyle name="Accent4 2" xfId="301"/>
    <cellStyle name="Accent4 2 2" xfId="727"/>
    <cellStyle name="Accent4 3" xfId="302"/>
    <cellStyle name="Accent4 4" xfId="303"/>
    <cellStyle name="Accent4 5" xfId="304"/>
    <cellStyle name="Accent4 6" xfId="305"/>
    <cellStyle name="Accent4 7" xfId="306"/>
    <cellStyle name="Accent4 8" xfId="307"/>
    <cellStyle name="Accent4 9" xfId="308"/>
    <cellStyle name="Accent5 10" xfId="309"/>
    <cellStyle name="Accent5 11" xfId="310"/>
    <cellStyle name="Accent5 12" xfId="311"/>
    <cellStyle name="Accent5 13" xfId="312"/>
    <cellStyle name="Accent5 14" xfId="313"/>
    <cellStyle name="Accent5 15" xfId="314"/>
    <cellStyle name="Accent5 16" xfId="790"/>
    <cellStyle name="Accent5 2" xfId="315"/>
    <cellStyle name="Accent5 2 2" xfId="731"/>
    <cellStyle name="Accent5 3" xfId="316"/>
    <cellStyle name="Accent5 4" xfId="317"/>
    <cellStyle name="Accent5 5" xfId="318"/>
    <cellStyle name="Accent5 6" xfId="319"/>
    <cellStyle name="Accent5 7" xfId="320"/>
    <cellStyle name="Accent5 8" xfId="321"/>
    <cellStyle name="Accent5 9" xfId="322"/>
    <cellStyle name="Accent6 10" xfId="323"/>
    <cellStyle name="Accent6 11" xfId="324"/>
    <cellStyle name="Accent6 12" xfId="325"/>
    <cellStyle name="Accent6 13" xfId="326"/>
    <cellStyle name="Accent6 14" xfId="327"/>
    <cellStyle name="Accent6 15" xfId="328"/>
    <cellStyle name="Accent6 16" xfId="794"/>
    <cellStyle name="Accent6 2" xfId="329"/>
    <cellStyle name="Accent6 2 2" xfId="735"/>
    <cellStyle name="Accent6 3" xfId="330"/>
    <cellStyle name="Accent6 4" xfId="331"/>
    <cellStyle name="Accent6 5" xfId="332"/>
    <cellStyle name="Accent6 6" xfId="333"/>
    <cellStyle name="Accent6 7" xfId="334"/>
    <cellStyle name="Accent6 8" xfId="335"/>
    <cellStyle name="Accent6 9" xfId="336"/>
    <cellStyle name="Bad 10" xfId="337"/>
    <cellStyle name="Bad 11" xfId="338"/>
    <cellStyle name="Bad 12" xfId="339"/>
    <cellStyle name="Bad 13" xfId="340"/>
    <cellStyle name="Bad 14" xfId="341"/>
    <cellStyle name="Bad 15" xfId="342"/>
    <cellStyle name="Bad 16" xfId="779"/>
    <cellStyle name="Bad 2" xfId="343"/>
    <cellStyle name="Bad 2 2" xfId="704"/>
    <cellStyle name="Bad 3" xfId="344"/>
    <cellStyle name="Bad 4" xfId="345"/>
    <cellStyle name="Bad 5" xfId="346"/>
    <cellStyle name="Bad 6" xfId="347"/>
    <cellStyle name="Bad 7" xfId="348"/>
    <cellStyle name="Bad 8" xfId="349"/>
    <cellStyle name="Bad 9" xfId="350"/>
    <cellStyle name="Calculation 10" xfId="351"/>
    <cellStyle name="Calculation 11" xfId="352"/>
    <cellStyle name="Calculation 12" xfId="353"/>
    <cellStyle name="Calculation 13" xfId="354"/>
    <cellStyle name="Calculation 14" xfId="355"/>
    <cellStyle name="Calculation 15" xfId="356"/>
    <cellStyle name="Calculation 16" xfId="690"/>
    <cellStyle name="Calculation 2" xfId="357"/>
    <cellStyle name="Calculation 2 2" xfId="708"/>
    <cellStyle name="Calculation 3" xfId="358"/>
    <cellStyle name="Calculation 4" xfId="359"/>
    <cellStyle name="Calculation 5" xfId="360"/>
    <cellStyle name="Calculation 6" xfId="361"/>
    <cellStyle name="Calculation 7" xfId="362"/>
    <cellStyle name="Calculation 8" xfId="363"/>
    <cellStyle name="Calculation 9" xfId="364"/>
    <cellStyle name="Check Cell 10" xfId="365"/>
    <cellStyle name="Check Cell 11" xfId="366"/>
    <cellStyle name="Check Cell 12" xfId="367"/>
    <cellStyle name="Check Cell 13" xfId="368"/>
    <cellStyle name="Check Cell 14" xfId="369"/>
    <cellStyle name="Check Cell 15" xfId="370"/>
    <cellStyle name="Check Cell 16" xfId="775"/>
    <cellStyle name="Check Cell 2" xfId="371"/>
    <cellStyle name="Check Cell 2 2" xfId="710"/>
    <cellStyle name="Check Cell 3" xfId="372"/>
    <cellStyle name="Check Cell 4" xfId="373"/>
    <cellStyle name="Check Cell 5" xfId="374"/>
    <cellStyle name="Check Cell 6" xfId="375"/>
    <cellStyle name="Check Cell 7" xfId="376"/>
    <cellStyle name="Check Cell 8" xfId="377"/>
    <cellStyle name="Check Cell 9" xfId="378"/>
    <cellStyle name="Comma" xfId="379" builtinId="3"/>
    <cellStyle name="Comma 2" xfId="595"/>
    <cellStyle name="Comma 2 2" xfId="596"/>
    <cellStyle name="Comma 2 2 2" xfId="594"/>
    <cellStyle name="Comma 2 3" xfId="634"/>
    <cellStyle name="Comma 2 4" xfId="740"/>
    <cellStyle name="Comma 3" xfId="380"/>
    <cellStyle name="Comma 3 2" xfId="597"/>
    <cellStyle name="Comma 3 2 2" xfId="768"/>
    <cellStyle name="Comma 3 3" xfId="742"/>
    <cellStyle name="Comma 3 4" xfId="937"/>
    <cellStyle name="Comma 4" xfId="598"/>
    <cellStyle name="Comma 4 2" xfId="618"/>
    <cellStyle name="Comma 4 2 2" xfId="655"/>
    <cellStyle name="Comma 4 2 2 2" xfId="834"/>
    <cellStyle name="Comma 4 2 2 2 2" xfId="1165"/>
    <cellStyle name="Comma 4 2 2 2 2 2" xfId="1398"/>
    <cellStyle name="Comma 4 2 2 2 3" xfId="1282"/>
    <cellStyle name="Comma 4 2 2 2 4" xfId="1046"/>
    <cellStyle name="Comma 4 2 2 3" xfId="904"/>
    <cellStyle name="Comma 4 2 2 3 2" xfId="1342"/>
    <cellStyle name="Comma 4 2 2 3 3" xfId="1109"/>
    <cellStyle name="Comma 4 2 2 4" xfId="1226"/>
    <cellStyle name="Comma 4 2 2 5" xfId="989"/>
    <cellStyle name="Comma 4 2 3" xfId="801"/>
    <cellStyle name="Comma 4 2 3 2" xfId="1135"/>
    <cellStyle name="Comma 4 2 3 2 2" xfId="1368"/>
    <cellStyle name="Comma 4 2 3 3" xfId="1252"/>
    <cellStyle name="Comma 4 2 3 4" xfId="1016"/>
    <cellStyle name="Comma 4 2 4" xfId="874"/>
    <cellStyle name="Comma 4 2 4 2" xfId="1316"/>
    <cellStyle name="Comma 4 2 4 3" xfId="1083"/>
    <cellStyle name="Comma 4 2 5" xfId="1200"/>
    <cellStyle name="Comma 4 2 6" xfId="963"/>
    <cellStyle name="Comma 4 3" xfId="626"/>
    <cellStyle name="Comma 4 3 2" xfId="663"/>
    <cellStyle name="Comma 4 3 2 2" xfId="842"/>
    <cellStyle name="Comma 4 3 2 2 2" xfId="1173"/>
    <cellStyle name="Comma 4 3 2 2 2 2" xfId="1406"/>
    <cellStyle name="Comma 4 3 2 2 3" xfId="1290"/>
    <cellStyle name="Comma 4 3 2 2 4" xfId="1054"/>
    <cellStyle name="Comma 4 3 2 3" xfId="912"/>
    <cellStyle name="Comma 4 3 2 3 2" xfId="1350"/>
    <cellStyle name="Comma 4 3 2 3 3" xfId="1117"/>
    <cellStyle name="Comma 4 3 2 4" xfId="1234"/>
    <cellStyle name="Comma 4 3 2 5" xfId="997"/>
    <cellStyle name="Comma 4 3 3" xfId="809"/>
    <cellStyle name="Comma 4 3 3 2" xfId="1143"/>
    <cellStyle name="Comma 4 3 3 2 2" xfId="1376"/>
    <cellStyle name="Comma 4 3 3 3" xfId="1260"/>
    <cellStyle name="Comma 4 3 3 4" xfId="1024"/>
    <cellStyle name="Comma 4 3 4" xfId="882"/>
    <cellStyle name="Comma 4 3 4 2" xfId="1324"/>
    <cellStyle name="Comma 4 3 4 3" xfId="1091"/>
    <cellStyle name="Comma 4 3 5" xfId="1208"/>
    <cellStyle name="Comma 4 3 6" xfId="971"/>
    <cellStyle name="Comma 4 4" xfId="647"/>
    <cellStyle name="Comma 4 4 2" xfId="826"/>
    <cellStyle name="Comma 4 4 2 2" xfId="1157"/>
    <cellStyle name="Comma 4 4 2 2 2" xfId="1390"/>
    <cellStyle name="Comma 4 4 2 3" xfId="1274"/>
    <cellStyle name="Comma 4 4 2 4" xfId="1038"/>
    <cellStyle name="Comma 4 4 3" xfId="896"/>
    <cellStyle name="Comma 4 4 3 2" xfId="1334"/>
    <cellStyle name="Comma 4 4 3 3" xfId="1101"/>
    <cellStyle name="Comma 4 4 4" xfId="1218"/>
    <cellStyle name="Comma 4 4 5" xfId="981"/>
    <cellStyle name="Comma 4 5" xfId="787"/>
    <cellStyle name="Comma 4 5 2" xfId="1127"/>
    <cellStyle name="Comma 4 5 2 2" xfId="1360"/>
    <cellStyle name="Comma 4 5 3" xfId="1244"/>
    <cellStyle name="Comma 4 5 4" xfId="1008"/>
    <cellStyle name="Comma 4 6" xfId="866"/>
    <cellStyle name="Comma 4 6 2" xfId="1308"/>
    <cellStyle name="Comma 4 6 3" xfId="1075"/>
    <cellStyle name="Comma 4 7" xfId="1192"/>
    <cellStyle name="Comma 4 8" xfId="955"/>
    <cellStyle name="Comma 5" xfId="641"/>
    <cellStyle name="Comma 6" xfId="638"/>
    <cellStyle name="Comma 6 2" xfId="819"/>
    <cellStyle name="Comma 6 2 2" xfId="1179"/>
    <cellStyle name="Comma 6 2 2 2" xfId="1412"/>
    <cellStyle name="Comma 6 2 3" xfId="1296"/>
    <cellStyle name="Comma 6 2 4" xfId="1060"/>
    <cellStyle name="Comma 6 3" xfId="890"/>
    <cellStyle name="Comma 6 3 2" xfId="1384"/>
    <cellStyle name="Comma 6 3 3" xfId="1151"/>
    <cellStyle name="Comma 6 4" xfId="1268"/>
    <cellStyle name="Comma 6 5" xfId="1032"/>
    <cellStyle name="Comma 7" xfId="796"/>
    <cellStyle name="Comma 7 2" xfId="1063"/>
    <cellStyle name="Comma 8" xfId="1067"/>
    <cellStyle name="Comma 8 2" xfId="1297"/>
    <cellStyle name="Comma 9" xfId="1181"/>
    <cellStyle name="Comma0" xfId="754"/>
    <cellStyle name="Currency 2" xfId="381"/>
    <cellStyle name="Currency 2 2" xfId="599"/>
    <cellStyle name="Currency 2 3" xfId="589"/>
    <cellStyle name="Currency 2 4" xfId="789"/>
    <cellStyle name="Currency 2 5" xfId="936"/>
    <cellStyle name="Currency 3" xfId="382"/>
    <cellStyle name="Currency 3 2" xfId="600"/>
    <cellStyle name="Currency 3 3" xfId="590"/>
    <cellStyle name="Currency 3 4" xfId="770"/>
    <cellStyle name="Currency 4" xfId="948"/>
    <cellStyle name="Currency 5" xfId="383"/>
    <cellStyle name="Currency0" xfId="755"/>
    <cellStyle name="Date" xfId="756"/>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2"/>
    <cellStyle name="Explanatory Text 2" xfId="390"/>
    <cellStyle name="Explanatory Text 2 2" xfId="713"/>
    <cellStyle name="Explanatory Text 3" xfId="391"/>
    <cellStyle name="Explanatory Text 4" xfId="392"/>
    <cellStyle name="Explanatory Text 5" xfId="393"/>
    <cellStyle name="Explanatory Text 6" xfId="394"/>
    <cellStyle name="Explanatory Text 7" xfId="395"/>
    <cellStyle name="Explanatory Text 8" xfId="396"/>
    <cellStyle name="Explanatory Text 9" xfId="397"/>
    <cellStyle name="Fixed" xfId="757"/>
    <cellStyle name="Good 10" xfId="398"/>
    <cellStyle name="Good 11" xfId="399"/>
    <cellStyle name="Good 12" xfId="400"/>
    <cellStyle name="Good 13" xfId="401"/>
    <cellStyle name="Good 14" xfId="402"/>
    <cellStyle name="Good 15" xfId="403"/>
    <cellStyle name="Good 16" xfId="778"/>
    <cellStyle name="Good 2" xfId="404"/>
    <cellStyle name="Good 2 2" xfId="703"/>
    <cellStyle name="Good 3" xfId="405"/>
    <cellStyle name="Good 4" xfId="406"/>
    <cellStyle name="Good 5" xfId="407"/>
    <cellStyle name="Good 6" xfId="408"/>
    <cellStyle name="Good 7" xfId="409"/>
    <cellStyle name="Good 8" xfId="410"/>
    <cellStyle name="Good 9" xfId="411"/>
    <cellStyle name="Grey" xfId="758"/>
    <cellStyle name="Heading 1 10" xfId="412"/>
    <cellStyle name="Heading 1 11" xfId="413"/>
    <cellStyle name="Heading 1 12" xfId="414"/>
    <cellStyle name="Heading 1 13" xfId="415"/>
    <cellStyle name="Heading 1 14" xfId="416"/>
    <cellStyle name="Heading 1 15" xfId="417"/>
    <cellStyle name="Heading 1 16" xfId="783"/>
    <cellStyle name="Heading 1 2" xfId="418"/>
    <cellStyle name="Heading 1 2 2" xfId="699"/>
    <cellStyle name="Heading 1 3" xfId="419"/>
    <cellStyle name="Heading 1 4" xfId="420"/>
    <cellStyle name="Heading 1 5" xfId="421"/>
    <cellStyle name="Heading 1 6" xfId="422"/>
    <cellStyle name="Heading 1 7" xfId="423"/>
    <cellStyle name="Heading 1 8" xfId="424"/>
    <cellStyle name="Heading 1 9" xfId="425"/>
    <cellStyle name="Heading 2 10" xfId="426"/>
    <cellStyle name="Heading 2 11" xfId="427"/>
    <cellStyle name="Heading 2 12" xfId="428"/>
    <cellStyle name="Heading 2 13" xfId="429"/>
    <cellStyle name="Heading 2 14" xfId="430"/>
    <cellStyle name="Heading 2 15" xfId="431"/>
    <cellStyle name="Heading 2 16" xfId="781"/>
    <cellStyle name="Heading 2 2" xfId="432"/>
    <cellStyle name="Heading 2 2 2" xfId="698"/>
    <cellStyle name="Heading 2 3" xfId="433"/>
    <cellStyle name="Heading 2 4" xfId="434"/>
    <cellStyle name="Heading 2 5" xfId="435"/>
    <cellStyle name="Heading 2 6" xfId="436"/>
    <cellStyle name="Heading 2 7" xfId="437"/>
    <cellStyle name="Heading 2 8" xfId="438"/>
    <cellStyle name="Heading 2 9" xfId="439"/>
    <cellStyle name="Heading 3 10" xfId="440"/>
    <cellStyle name="Heading 3 11" xfId="441"/>
    <cellStyle name="Heading 3 12" xfId="442"/>
    <cellStyle name="Heading 3 13" xfId="443"/>
    <cellStyle name="Heading 3 14" xfId="444"/>
    <cellStyle name="Heading 3 15" xfId="445"/>
    <cellStyle name="Heading 3 16" xfId="780"/>
    <cellStyle name="Heading 3 2" xfId="446"/>
    <cellStyle name="Heading 3 2 2" xfId="701"/>
    <cellStyle name="Heading 3 3" xfId="447"/>
    <cellStyle name="Heading 3 4" xfId="448"/>
    <cellStyle name="Heading 3 5" xfId="449"/>
    <cellStyle name="Heading 3 6" xfId="450"/>
    <cellStyle name="Heading 3 7" xfId="451"/>
    <cellStyle name="Heading 3 8" xfId="452"/>
    <cellStyle name="Heading 3 9" xfId="453"/>
    <cellStyle name="Heading 4 10" xfId="454"/>
    <cellStyle name="Heading 4 11" xfId="455"/>
    <cellStyle name="Heading 4 12" xfId="456"/>
    <cellStyle name="Heading 4 13" xfId="457"/>
    <cellStyle name="Heading 4 14" xfId="458"/>
    <cellStyle name="Heading 4 15" xfId="459"/>
    <cellStyle name="Heading 4 16" xfId="823"/>
    <cellStyle name="Heading 4 2" xfId="460"/>
    <cellStyle name="Heading 4 2 2" xfId="702"/>
    <cellStyle name="Heading 4 3" xfId="461"/>
    <cellStyle name="Heading 4 4" xfId="462"/>
    <cellStyle name="Heading 4 5" xfId="463"/>
    <cellStyle name="Heading 4 6" xfId="464"/>
    <cellStyle name="Heading 4 7" xfId="465"/>
    <cellStyle name="Heading 4 8" xfId="466"/>
    <cellStyle name="Heading 4 9" xfId="467"/>
    <cellStyle name="Hyperlink 2" xfId="784"/>
    <cellStyle name="Hyperlink 2 2" xfId="1003"/>
    <cellStyle name="Hyperlink 3" xfId="691"/>
    <cellStyle name="Input [yellow]" xfId="759"/>
    <cellStyle name="Input 10" xfId="468"/>
    <cellStyle name="Input 11" xfId="469"/>
    <cellStyle name="Input 12" xfId="470"/>
    <cellStyle name="Input 13" xfId="471"/>
    <cellStyle name="Input 14" xfId="472"/>
    <cellStyle name="Input 15" xfId="473"/>
    <cellStyle name="Input 16" xfId="776"/>
    <cellStyle name="Input 17" xfId="852"/>
    <cellStyle name="Input 18" xfId="851"/>
    <cellStyle name="Input 19" xfId="850"/>
    <cellStyle name="Input 2" xfId="474"/>
    <cellStyle name="Input 2 2" xfId="706"/>
    <cellStyle name="Input 20" xfId="858"/>
    <cellStyle name="Input 3" xfId="475"/>
    <cellStyle name="Input 4" xfId="476"/>
    <cellStyle name="Input 5" xfId="477"/>
    <cellStyle name="Input 6" xfId="478"/>
    <cellStyle name="Input 7" xfId="479"/>
    <cellStyle name="Input 8" xfId="480"/>
    <cellStyle name="Input 9" xfId="481"/>
    <cellStyle name="Linked Cell 10" xfId="482"/>
    <cellStyle name="Linked Cell 11" xfId="483"/>
    <cellStyle name="Linked Cell 12" xfId="484"/>
    <cellStyle name="Linked Cell 13" xfId="485"/>
    <cellStyle name="Linked Cell 14" xfId="486"/>
    <cellStyle name="Linked Cell 15" xfId="487"/>
    <cellStyle name="Linked Cell 16" xfId="817"/>
    <cellStyle name="Linked Cell 2" xfId="488"/>
    <cellStyle name="Linked Cell 2 2" xfId="709"/>
    <cellStyle name="Linked Cell 3" xfId="489"/>
    <cellStyle name="Linked Cell 4" xfId="490"/>
    <cellStyle name="Linked Cell 5" xfId="491"/>
    <cellStyle name="Linked Cell 6" xfId="492"/>
    <cellStyle name="Linked Cell 7" xfId="493"/>
    <cellStyle name="Linked Cell 8" xfId="494"/>
    <cellStyle name="Linked Cell 9" xfId="495"/>
    <cellStyle name="M" xfId="760"/>
    <cellStyle name="M.00" xfId="773"/>
    <cellStyle name="M_9. Rev2Cost_GDPIPI" xfId="761"/>
    <cellStyle name="M_lists" xfId="762"/>
    <cellStyle name="M_lists_4. Current Monthly Fixed Charge" xfId="763"/>
    <cellStyle name="M_Sheet4" xfId="764"/>
    <cellStyle name="Neutral 10" xfId="496"/>
    <cellStyle name="Neutral 11" xfId="497"/>
    <cellStyle name="Neutral 12" xfId="498"/>
    <cellStyle name="Neutral 13" xfId="499"/>
    <cellStyle name="Neutral 14" xfId="500"/>
    <cellStyle name="Neutral 15" xfId="501"/>
    <cellStyle name="Neutral 16" xfId="692"/>
    <cellStyle name="Neutral 2" xfId="502"/>
    <cellStyle name="Neutral 2 2" xfId="705"/>
    <cellStyle name="Neutral 3" xfId="503"/>
    <cellStyle name="Neutral 4" xfId="504"/>
    <cellStyle name="Neutral 5" xfId="505"/>
    <cellStyle name="Neutral 6" xfId="506"/>
    <cellStyle name="Neutral 7" xfId="507"/>
    <cellStyle name="Neutral 8" xfId="508"/>
    <cellStyle name="Neutral 9" xfId="509"/>
    <cellStyle name="Normal" xfId="0" builtinId="0"/>
    <cellStyle name="Normal - Style1" xfId="765"/>
    <cellStyle name="Normal 10" xfId="510"/>
    <cellStyle name="Normal 11" xfId="511"/>
    <cellStyle name="Normal 12" xfId="512"/>
    <cellStyle name="Normal 13" xfId="513"/>
    <cellStyle name="Normal 14" xfId="514"/>
    <cellStyle name="Normal 15" xfId="515"/>
    <cellStyle name="Normal 16" xfId="516"/>
    <cellStyle name="Normal 16 10" xfId="1183"/>
    <cellStyle name="Normal 16 11" xfId="939"/>
    <cellStyle name="Normal 16 2" xfId="602"/>
    <cellStyle name="Normal 16 2 2" xfId="619"/>
    <cellStyle name="Normal 16 2 2 2" xfId="656"/>
    <cellStyle name="Normal 16 2 2 2 2" xfId="835"/>
    <cellStyle name="Normal 16 2 2 2 2 2" xfId="1166"/>
    <cellStyle name="Normal 16 2 2 2 2 2 2" xfId="1399"/>
    <cellStyle name="Normal 16 2 2 2 2 3" xfId="1283"/>
    <cellStyle name="Normal 16 2 2 2 2 4" xfId="1047"/>
    <cellStyle name="Normal 16 2 2 2 3" xfId="905"/>
    <cellStyle name="Normal 16 2 2 2 3 2" xfId="1343"/>
    <cellStyle name="Normal 16 2 2 2 3 3" xfId="1110"/>
    <cellStyle name="Normal 16 2 2 2 4" xfId="1227"/>
    <cellStyle name="Normal 16 2 2 2 5" xfId="990"/>
    <cellStyle name="Normal 16 2 2 3" xfId="802"/>
    <cellStyle name="Normal 16 2 2 3 2" xfId="1136"/>
    <cellStyle name="Normal 16 2 2 3 2 2" xfId="1369"/>
    <cellStyle name="Normal 16 2 2 3 3" xfId="1253"/>
    <cellStyle name="Normal 16 2 2 3 4" xfId="1017"/>
    <cellStyle name="Normal 16 2 2 4" xfId="875"/>
    <cellStyle name="Normal 16 2 2 4 2" xfId="1317"/>
    <cellStyle name="Normal 16 2 2 4 3" xfId="1084"/>
    <cellStyle name="Normal 16 2 2 5" xfId="1201"/>
    <cellStyle name="Normal 16 2 2 6" xfId="964"/>
    <cellStyle name="Normal 16 2 3" xfId="627"/>
    <cellStyle name="Normal 16 2 3 2" xfId="664"/>
    <cellStyle name="Normal 16 2 3 2 2" xfId="843"/>
    <cellStyle name="Normal 16 2 3 2 2 2" xfId="1174"/>
    <cellStyle name="Normal 16 2 3 2 2 2 2" xfId="1407"/>
    <cellStyle name="Normal 16 2 3 2 2 3" xfId="1291"/>
    <cellStyle name="Normal 16 2 3 2 2 4" xfId="1055"/>
    <cellStyle name="Normal 16 2 3 2 3" xfId="913"/>
    <cellStyle name="Normal 16 2 3 2 3 2" xfId="1351"/>
    <cellStyle name="Normal 16 2 3 2 3 3" xfId="1118"/>
    <cellStyle name="Normal 16 2 3 2 4" xfId="1235"/>
    <cellStyle name="Normal 16 2 3 2 5" xfId="998"/>
    <cellStyle name="Normal 16 2 3 3" xfId="810"/>
    <cellStyle name="Normal 16 2 3 3 2" xfId="1144"/>
    <cellStyle name="Normal 16 2 3 3 2 2" xfId="1377"/>
    <cellStyle name="Normal 16 2 3 3 3" xfId="1261"/>
    <cellStyle name="Normal 16 2 3 3 4" xfId="1025"/>
    <cellStyle name="Normal 16 2 3 4" xfId="883"/>
    <cellStyle name="Normal 16 2 3 4 2" xfId="1325"/>
    <cellStyle name="Normal 16 2 3 4 3" xfId="1092"/>
    <cellStyle name="Normal 16 2 3 5" xfId="1209"/>
    <cellStyle name="Normal 16 2 3 6" xfId="972"/>
    <cellStyle name="Normal 16 2 4" xfId="648"/>
    <cellStyle name="Normal 16 2 4 2" xfId="827"/>
    <cellStyle name="Normal 16 2 4 2 2" xfId="1158"/>
    <cellStyle name="Normal 16 2 4 2 2 2" xfId="1391"/>
    <cellStyle name="Normal 16 2 4 2 3" xfId="1275"/>
    <cellStyle name="Normal 16 2 4 2 4" xfId="1039"/>
    <cellStyle name="Normal 16 2 4 3" xfId="897"/>
    <cellStyle name="Normal 16 2 4 3 2" xfId="1309"/>
    <cellStyle name="Normal 16 2 4 3 3" xfId="1076"/>
    <cellStyle name="Normal 16 2 4 4" xfId="1193"/>
    <cellStyle name="Normal 16 2 4 5" xfId="956"/>
    <cellStyle name="Normal 16 2 5" xfId="791"/>
    <cellStyle name="Normal 16 2 5 2" xfId="1102"/>
    <cellStyle name="Normal 16 2 5 2 2" xfId="1335"/>
    <cellStyle name="Normal 16 2 5 3" xfId="1219"/>
    <cellStyle name="Normal 16 2 5 4" xfId="982"/>
    <cellStyle name="Normal 16 2 6" xfId="867"/>
    <cellStyle name="Normal 16 2 6 2" xfId="1128"/>
    <cellStyle name="Normal 16 2 6 2 2" xfId="1361"/>
    <cellStyle name="Normal 16 2 6 3" xfId="1245"/>
    <cellStyle name="Normal 16 2 6 4" xfId="1009"/>
    <cellStyle name="Normal 16 2 7" xfId="1069"/>
    <cellStyle name="Normal 16 2 7 2" xfId="1302"/>
    <cellStyle name="Normal 16 2 8" xfId="1186"/>
    <cellStyle name="Normal 16 2 9" xfId="949"/>
    <cellStyle name="Normal 16 3" xfId="591"/>
    <cellStyle name="Normal 16 3 2" xfId="645"/>
    <cellStyle name="Normal 16 3 2 2" xfId="824"/>
    <cellStyle name="Normal 16 3 2 2 2" xfId="1155"/>
    <cellStyle name="Normal 16 3 2 2 2 2" xfId="1388"/>
    <cellStyle name="Normal 16 3 2 2 3" xfId="1272"/>
    <cellStyle name="Normal 16 3 2 2 4" xfId="1036"/>
    <cellStyle name="Normal 16 3 2 3" xfId="894"/>
    <cellStyle name="Normal 16 3 2 3 2" xfId="1332"/>
    <cellStyle name="Normal 16 3 2 3 3" xfId="1099"/>
    <cellStyle name="Normal 16 3 2 4" xfId="1216"/>
    <cellStyle name="Normal 16 3 2 5" xfId="979"/>
    <cellStyle name="Normal 16 3 3" xfId="785"/>
    <cellStyle name="Normal 16 3 3 2" xfId="1125"/>
    <cellStyle name="Normal 16 3 3 2 2" xfId="1358"/>
    <cellStyle name="Normal 16 3 3 3" xfId="1242"/>
    <cellStyle name="Normal 16 3 3 4" xfId="1006"/>
    <cellStyle name="Normal 16 3 4" xfId="864"/>
    <cellStyle name="Normal 16 3 4 2" xfId="1306"/>
    <cellStyle name="Normal 16 3 4 3" xfId="1073"/>
    <cellStyle name="Normal 16 3 5" xfId="1190"/>
    <cellStyle name="Normal 16 3 6" xfId="953"/>
    <cellStyle name="Normal 16 4" xfId="616"/>
    <cellStyle name="Normal 16 4 2" xfId="653"/>
    <cellStyle name="Normal 16 4 2 2" xfId="832"/>
    <cellStyle name="Normal 16 4 2 2 2" xfId="1163"/>
    <cellStyle name="Normal 16 4 2 2 2 2" xfId="1396"/>
    <cellStyle name="Normal 16 4 2 2 3" xfId="1280"/>
    <cellStyle name="Normal 16 4 2 2 4" xfId="1044"/>
    <cellStyle name="Normal 16 4 2 3" xfId="902"/>
    <cellStyle name="Normal 16 4 2 3 2" xfId="1340"/>
    <cellStyle name="Normal 16 4 2 3 3" xfId="1107"/>
    <cellStyle name="Normal 16 4 2 4" xfId="1224"/>
    <cellStyle name="Normal 16 4 2 5" xfId="987"/>
    <cellStyle name="Normal 16 4 3" xfId="799"/>
    <cellStyle name="Normal 16 4 3 2" xfId="1133"/>
    <cellStyle name="Normal 16 4 3 2 2" xfId="1366"/>
    <cellStyle name="Normal 16 4 3 3" xfId="1250"/>
    <cellStyle name="Normal 16 4 3 4" xfId="1014"/>
    <cellStyle name="Normal 16 4 4" xfId="872"/>
    <cellStyle name="Normal 16 4 4 2" xfId="1314"/>
    <cellStyle name="Normal 16 4 4 3" xfId="1081"/>
    <cellStyle name="Normal 16 4 5" xfId="1198"/>
    <cellStyle name="Normal 16 4 6" xfId="961"/>
    <cellStyle name="Normal 16 5" xfId="624"/>
    <cellStyle name="Normal 16 5 2" xfId="661"/>
    <cellStyle name="Normal 16 5 2 2" xfId="840"/>
    <cellStyle name="Normal 16 5 2 2 2" xfId="1171"/>
    <cellStyle name="Normal 16 5 2 2 2 2" xfId="1404"/>
    <cellStyle name="Normal 16 5 2 2 3" xfId="1288"/>
    <cellStyle name="Normal 16 5 2 2 4" xfId="1052"/>
    <cellStyle name="Normal 16 5 2 3" xfId="910"/>
    <cellStyle name="Normal 16 5 2 3 2" xfId="1348"/>
    <cellStyle name="Normal 16 5 2 3 3" xfId="1115"/>
    <cellStyle name="Normal 16 5 2 4" xfId="1232"/>
    <cellStyle name="Normal 16 5 2 5" xfId="995"/>
    <cellStyle name="Normal 16 5 3" xfId="807"/>
    <cellStyle name="Normal 16 5 3 2" xfId="1141"/>
    <cellStyle name="Normal 16 5 3 2 2" xfId="1374"/>
    <cellStyle name="Normal 16 5 3 3" xfId="1258"/>
    <cellStyle name="Normal 16 5 3 4" xfId="1022"/>
    <cellStyle name="Normal 16 5 4" xfId="880"/>
    <cellStyle name="Normal 16 5 4 2" xfId="1322"/>
    <cellStyle name="Normal 16 5 4 3" xfId="1089"/>
    <cellStyle name="Normal 16 5 5" xfId="1206"/>
    <cellStyle name="Normal 16 5 6" xfId="969"/>
    <cellStyle name="Normal 16 6" xfId="642"/>
    <cellStyle name="Normal 16 6 2" xfId="821"/>
    <cellStyle name="Normal 16 6 2 2" xfId="1153"/>
    <cellStyle name="Normal 16 6 2 2 2" xfId="1386"/>
    <cellStyle name="Normal 16 6 2 3" xfId="1270"/>
    <cellStyle name="Normal 16 6 2 4" xfId="1034"/>
    <cellStyle name="Normal 16 6 3" xfId="892"/>
    <cellStyle name="Normal 16 6 3 2" xfId="1304"/>
    <cellStyle name="Normal 16 6 3 3" xfId="1071"/>
    <cellStyle name="Normal 16 6 4" xfId="1188"/>
    <cellStyle name="Normal 16 6 5" xfId="951"/>
    <cellStyle name="Normal 16 7" xfId="771"/>
    <cellStyle name="Normal 16 7 2" xfId="1097"/>
    <cellStyle name="Normal 16 7 2 2" xfId="1330"/>
    <cellStyle name="Normal 16 7 3" xfId="1214"/>
    <cellStyle name="Normal 16 7 4" xfId="977"/>
    <cellStyle name="Normal 16 8" xfId="861"/>
    <cellStyle name="Normal 16 8 2" xfId="1123"/>
    <cellStyle name="Normal 16 8 2 2" xfId="1356"/>
    <cellStyle name="Normal 16 8 3" xfId="1240"/>
    <cellStyle name="Normal 16 8 4" xfId="1004"/>
    <cellStyle name="Normal 16 9" xfId="1064"/>
    <cellStyle name="Normal 16 9 2" xfId="1299"/>
    <cellStyle name="Normal 17" xfId="517"/>
    <cellStyle name="Normal 17 10" xfId="1184"/>
    <cellStyle name="Normal 17 11" xfId="940"/>
    <cellStyle name="Normal 17 2" xfId="603"/>
    <cellStyle name="Normal 17 2 2" xfId="620"/>
    <cellStyle name="Normal 17 2 2 2" xfId="657"/>
    <cellStyle name="Normal 17 2 2 2 2" xfId="836"/>
    <cellStyle name="Normal 17 2 2 2 2 2" xfId="1167"/>
    <cellStyle name="Normal 17 2 2 2 2 2 2" xfId="1400"/>
    <cellStyle name="Normal 17 2 2 2 2 3" xfId="1284"/>
    <cellStyle name="Normal 17 2 2 2 2 4" xfId="1048"/>
    <cellStyle name="Normal 17 2 2 2 3" xfId="906"/>
    <cellStyle name="Normal 17 2 2 2 3 2" xfId="1344"/>
    <cellStyle name="Normal 17 2 2 2 3 3" xfId="1111"/>
    <cellStyle name="Normal 17 2 2 2 4" xfId="1228"/>
    <cellStyle name="Normal 17 2 2 2 5" xfId="991"/>
    <cellStyle name="Normal 17 2 2 3" xfId="803"/>
    <cellStyle name="Normal 17 2 2 3 2" xfId="1137"/>
    <cellStyle name="Normal 17 2 2 3 2 2" xfId="1370"/>
    <cellStyle name="Normal 17 2 2 3 3" xfId="1254"/>
    <cellStyle name="Normal 17 2 2 3 4" xfId="1018"/>
    <cellStyle name="Normal 17 2 2 4" xfId="876"/>
    <cellStyle name="Normal 17 2 2 4 2" xfId="1318"/>
    <cellStyle name="Normal 17 2 2 4 3" xfId="1085"/>
    <cellStyle name="Normal 17 2 2 5" xfId="1202"/>
    <cellStyle name="Normal 17 2 2 6" xfId="965"/>
    <cellStyle name="Normal 17 2 3" xfId="628"/>
    <cellStyle name="Normal 17 2 3 2" xfId="665"/>
    <cellStyle name="Normal 17 2 3 2 2" xfId="844"/>
    <cellStyle name="Normal 17 2 3 2 2 2" xfId="1175"/>
    <cellStyle name="Normal 17 2 3 2 2 2 2" xfId="1408"/>
    <cellStyle name="Normal 17 2 3 2 2 3" xfId="1292"/>
    <cellStyle name="Normal 17 2 3 2 2 4" xfId="1056"/>
    <cellStyle name="Normal 17 2 3 2 3" xfId="914"/>
    <cellStyle name="Normal 17 2 3 2 3 2" xfId="1352"/>
    <cellStyle name="Normal 17 2 3 2 3 3" xfId="1119"/>
    <cellStyle name="Normal 17 2 3 2 4" xfId="1236"/>
    <cellStyle name="Normal 17 2 3 2 5" xfId="999"/>
    <cellStyle name="Normal 17 2 3 3" xfId="811"/>
    <cellStyle name="Normal 17 2 3 3 2" xfId="1145"/>
    <cellStyle name="Normal 17 2 3 3 2 2" xfId="1378"/>
    <cellStyle name="Normal 17 2 3 3 3" xfId="1262"/>
    <cellStyle name="Normal 17 2 3 3 4" xfId="1026"/>
    <cellStyle name="Normal 17 2 3 4" xfId="884"/>
    <cellStyle name="Normal 17 2 3 4 2" xfId="1326"/>
    <cellStyle name="Normal 17 2 3 4 3" xfId="1093"/>
    <cellStyle name="Normal 17 2 3 5" xfId="1210"/>
    <cellStyle name="Normal 17 2 3 6" xfId="973"/>
    <cellStyle name="Normal 17 2 4" xfId="649"/>
    <cellStyle name="Normal 17 2 4 2" xfId="828"/>
    <cellStyle name="Normal 17 2 4 2 2" xfId="1159"/>
    <cellStyle name="Normal 17 2 4 2 2 2" xfId="1392"/>
    <cellStyle name="Normal 17 2 4 2 3" xfId="1276"/>
    <cellStyle name="Normal 17 2 4 2 4" xfId="1040"/>
    <cellStyle name="Normal 17 2 4 3" xfId="898"/>
    <cellStyle name="Normal 17 2 4 3 2" xfId="1310"/>
    <cellStyle name="Normal 17 2 4 3 3" xfId="1077"/>
    <cellStyle name="Normal 17 2 4 4" xfId="1194"/>
    <cellStyle name="Normal 17 2 4 5" xfId="957"/>
    <cellStyle name="Normal 17 2 5" xfId="792"/>
    <cellStyle name="Normal 17 2 5 2" xfId="1103"/>
    <cellStyle name="Normal 17 2 5 2 2" xfId="1336"/>
    <cellStyle name="Normal 17 2 5 3" xfId="1220"/>
    <cellStyle name="Normal 17 2 5 4" xfId="983"/>
    <cellStyle name="Normal 17 2 6" xfId="868"/>
    <cellStyle name="Normal 17 2 6 2" xfId="1129"/>
    <cellStyle name="Normal 17 2 6 2 2" xfId="1362"/>
    <cellStyle name="Normal 17 2 6 3" xfId="1246"/>
    <cellStyle name="Normal 17 2 6 4" xfId="1010"/>
    <cellStyle name="Normal 17 2 7" xfId="1070"/>
    <cellStyle name="Normal 17 2 7 2" xfId="1303"/>
    <cellStyle name="Normal 17 2 8" xfId="1187"/>
    <cellStyle name="Normal 17 2 9" xfId="950"/>
    <cellStyle name="Normal 17 3" xfId="592"/>
    <cellStyle name="Normal 17 3 2" xfId="646"/>
    <cellStyle name="Normal 17 3 2 2" xfId="825"/>
    <cellStyle name="Normal 17 3 2 2 2" xfId="1156"/>
    <cellStyle name="Normal 17 3 2 2 2 2" xfId="1389"/>
    <cellStyle name="Normal 17 3 2 2 3" xfId="1273"/>
    <cellStyle name="Normal 17 3 2 2 4" xfId="1037"/>
    <cellStyle name="Normal 17 3 2 3" xfId="895"/>
    <cellStyle name="Normal 17 3 2 3 2" xfId="1333"/>
    <cellStyle name="Normal 17 3 2 3 3" xfId="1100"/>
    <cellStyle name="Normal 17 3 2 4" xfId="1217"/>
    <cellStyle name="Normal 17 3 2 5" xfId="980"/>
    <cellStyle name="Normal 17 3 3" xfId="786"/>
    <cellStyle name="Normal 17 3 3 2" xfId="1126"/>
    <cellStyle name="Normal 17 3 3 2 2" xfId="1359"/>
    <cellStyle name="Normal 17 3 3 3" xfId="1243"/>
    <cellStyle name="Normal 17 3 3 4" xfId="1007"/>
    <cellStyle name="Normal 17 3 4" xfId="865"/>
    <cellStyle name="Normal 17 3 4 2" xfId="1307"/>
    <cellStyle name="Normal 17 3 4 3" xfId="1074"/>
    <cellStyle name="Normal 17 3 5" xfId="1191"/>
    <cellStyle name="Normal 17 3 6" xfId="954"/>
    <cellStyle name="Normal 17 4" xfId="617"/>
    <cellStyle name="Normal 17 4 2" xfId="654"/>
    <cellStyle name="Normal 17 4 2 2" xfId="833"/>
    <cellStyle name="Normal 17 4 2 2 2" xfId="1164"/>
    <cellStyle name="Normal 17 4 2 2 2 2" xfId="1397"/>
    <cellStyle name="Normal 17 4 2 2 3" xfId="1281"/>
    <cellStyle name="Normal 17 4 2 2 4" xfId="1045"/>
    <cellStyle name="Normal 17 4 2 3" xfId="903"/>
    <cellStyle name="Normal 17 4 2 3 2" xfId="1341"/>
    <cellStyle name="Normal 17 4 2 3 3" xfId="1108"/>
    <cellStyle name="Normal 17 4 2 4" xfId="1225"/>
    <cellStyle name="Normal 17 4 2 5" xfId="988"/>
    <cellStyle name="Normal 17 4 3" xfId="800"/>
    <cellStyle name="Normal 17 4 3 2" xfId="1134"/>
    <cellStyle name="Normal 17 4 3 2 2" xfId="1367"/>
    <cellStyle name="Normal 17 4 3 3" xfId="1251"/>
    <cellStyle name="Normal 17 4 3 4" xfId="1015"/>
    <cellStyle name="Normal 17 4 4" xfId="873"/>
    <cellStyle name="Normal 17 4 4 2" xfId="1315"/>
    <cellStyle name="Normal 17 4 4 3" xfId="1082"/>
    <cellStyle name="Normal 17 4 5" xfId="1199"/>
    <cellStyle name="Normal 17 4 6" xfId="962"/>
    <cellStyle name="Normal 17 5" xfId="625"/>
    <cellStyle name="Normal 17 5 2" xfId="662"/>
    <cellStyle name="Normal 17 5 2 2" xfId="841"/>
    <cellStyle name="Normal 17 5 2 2 2" xfId="1172"/>
    <cellStyle name="Normal 17 5 2 2 2 2" xfId="1405"/>
    <cellStyle name="Normal 17 5 2 2 3" xfId="1289"/>
    <cellStyle name="Normal 17 5 2 2 4" xfId="1053"/>
    <cellStyle name="Normal 17 5 2 3" xfId="911"/>
    <cellStyle name="Normal 17 5 2 3 2" xfId="1349"/>
    <cellStyle name="Normal 17 5 2 3 3" xfId="1116"/>
    <cellStyle name="Normal 17 5 2 4" xfId="1233"/>
    <cellStyle name="Normal 17 5 2 5" xfId="996"/>
    <cellStyle name="Normal 17 5 3" xfId="808"/>
    <cellStyle name="Normal 17 5 3 2" xfId="1142"/>
    <cellStyle name="Normal 17 5 3 2 2" xfId="1375"/>
    <cellStyle name="Normal 17 5 3 3" xfId="1259"/>
    <cellStyle name="Normal 17 5 3 4" xfId="1023"/>
    <cellStyle name="Normal 17 5 4" xfId="881"/>
    <cellStyle name="Normal 17 5 4 2" xfId="1323"/>
    <cellStyle name="Normal 17 5 4 3" xfId="1090"/>
    <cellStyle name="Normal 17 5 5" xfId="1207"/>
    <cellStyle name="Normal 17 5 6" xfId="970"/>
    <cellStyle name="Normal 17 6" xfId="643"/>
    <cellStyle name="Normal 17 6 2" xfId="822"/>
    <cellStyle name="Normal 17 6 2 2" xfId="1154"/>
    <cellStyle name="Normal 17 6 2 2 2" xfId="1387"/>
    <cellStyle name="Normal 17 6 2 3" xfId="1271"/>
    <cellStyle name="Normal 17 6 2 4" xfId="1035"/>
    <cellStyle name="Normal 17 6 3" xfId="893"/>
    <cellStyle name="Normal 17 6 3 2" xfId="1305"/>
    <cellStyle name="Normal 17 6 3 3" xfId="1072"/>
    <cellStyle name="Normal 17 6 4" xfId="1189"/>
    <cellStyle name="Normal 17 6 5" xfId="952"/>
    <cellStyle name="Normal 17 7" xfId="772"/>
    <cellStyle name="Normal 17 7 2" xfId="1098"/>
    <cellStyle name="Normal 17 7 2 2" xfId="1331"/>
    <cellStyle name="Normal 17 7 3" xfId="1215"/>
    <cellStyle name="Normal 17 7 4" xfId="978"/>
    <cellStyle name="Normal 17 8" xfId="862"/>
    <cellStyle name="Normal 17 8 2" xfId="1124"/>
    <cellStyle name="Normal 17 8 2 2" xfId="1357"/>
    <cellStyle name="Normal 17 8 3" xfId="1241"/>
    <cellStyle name="Normal 17 8 4" xfId="1005"/>
    <cellStyle name="Normal 17 9" xfId="1065"/>
    <cellStyle name="Normal 17 9 2" xfId="1300"/>
    <cellStyle name="Normal 18" xfId="518"/>
    <cellStyle name="Normal 19" xfId="519"/>
    <cellStyle name="Normal 19 2" xfId="604"/>
    <cellStyle name="Normal 19 3" xfId="593"/>
    <cellStyle name="Normal 2" xfId="520"/>
    <cellStyle name="Normal 2 2" xfId="605"/>
    <cellStyle name="Normal 2 2 2" xfId="621"/>
    <cellStyle name="Normal 2 2 2 2" xfId="658"/>
    <cellStyle name="Normal 2 2 2 2 2" xfId="837"/>
    <cellStyle name="Normal 2 2 2 2 2 2" xfId="1168"/>
    <cellStyle name="Normal 2 2 2 2 2 2 2" xfId="1401"/>
    <cellStyle name="Normal 2 2 2 2 2 3" xfId="1285"/>
    <cellStyle name="Normal 2 2 2 2 2 4" xfId="1049"/>
    <cellStyle name="Normal 2 2 2 2 3" xfId="907"/>
    <cellStyle name="Normal 2 2 2 2 3 2" xfId="1345"/>
    <cellStyle name="Normal 2 2 2 2 3 3" xfId="1112"/>
    <cellStyle name="Normal 2 2 2 2 4" xfId="1229"/>
    <cellStyle name="Normal 2 2 2 2 5" xfId="992"/>
    <cellStyle name="Normal 2 2 2 3" xfId="804"/>
    <cellStyle name="Normal 2 2 2 3 2" xfId="1138"/>
    <cellStyle name="Normal 2 2 2 3 2 2" xfId="1371"/>
    <cellStyle name="Normal 2 2 2 3 3" xfId="1255"/>
    <cellStyle name="Normal 2 2 2 3 4" xfId="1019"/>
    <cellStyle name="Normal 2 2 2 4" xfId="877"/>
    <cellStyle name="Normal 2 2 2 4 2" xfId="1319"/>
    <cellStyle name="Normal 2 2 2 4 3" xfId="1086"/>
    <cellStyle name="Normal 2 2 2 5" xfId="1203"/>
    <cellStyle name="Normal 2 2 2 6" xfId="966"/>
    <cellStyle name="Normal 2 2 3" xfId="629"/>
    <cellStyle name="Normal 2 2 3 2" xfId="666"/>
    <cellStyle name="Normal 2 2 3 2 2" xfId="845"/>
    <cellStyle name="Normal 2 2 3 2 2 2" xfId="1176"/>
    <cellStyle name="Normal 2 2 3 2 2 2 2" xfId="1409"/>
    <cellStyle name="Normal 2 2 3 2 2 3" xfId="1293"/>
    <cellStyle name="Normal 2 2 3 2 2 4" xfId="1057"/>
    <cellStyle name="Normal 2 2 3 2 3" xfId="915"/>
    <cellStyle name="Normal 2 2 3 2 3 2" xfId="1353"/>
    <cellStyle name="Normal 2 2 3 2 3 3" xfId="1120"/>
    <cellStyle name="Normal 2 2 3 2 4" xfId="1237"/>
    <cellStyle name="Normal 2 2 3 2 5" xfId="1000"/>
    <cellStyle name="Normal 2 2 3 3" xfId="812"/>
    <cellStyle name="Normal 2 2 3 3 2" xfId="1146"/>
    <cellStyle name="Normal 2 2 3 3 2 2" xfId="1379"/>
    <cellStyle name="Normal 2 2 3 3 3" xfId="1263"/>
    <cellStyle name="Normal 2 2 3 3 4" xfId="1027"/>
    <cellStyle name="Normal 2 2 3 4" xfId="885"/>
    <cellStyle name="Normal 2 2 3 4 2" xfId="1327"/>
    <cellStyle name="Normal 2 2 3 4 3" xfId="1094"/>
    <cellStyle name="Normal 2 2 3 5" xfId="1211"/>
    <cellStyle name="Normal 2 2 3 6" xfId="974"/>
    <cellStyle name="Normal 2 2 4" xfId="650"/>
    <cellStyle name="Normal 2 2 4 2" xfId="829"/>
    <cellStyle name="Normal 2 2 4 2 2" xfId="1160"/>
    <cellStyle name="Normal 2 2 4 2 2 2" xfId="1393"/>
    <cellStyle name="Normal 2 2 4 2 3" xfId="1277"/>
    <cellStyle name="Normal 2 2 4 2 4" xfId="1041"/>
    <cellStyle name="Normal 2 2 4 3" xfId="899"/>
    <cellStyle name="Normal 2 2 4 3 2" xfId="1311"/>
    <cellStyle name="Normal 2 2 4 3 3" xfId="1078"/>
    <cellStyle name="Normal 2 2 4 4" xfId="1195"/>
    <cellStyle name="Normal 2 2 4 5" xfId="958"/>
    <cellStyle name="Normal 2 2 5" xfId="793"/>
    <cellStyle name="Normal 2 2 5 2" xfId="1104"/>
    <cellStyle name="Normal 2 2 5 2 2" xfId="1337"/>
    <cellStyle name="Normal 2 2 5 3" xfId="1221"/>
    <cellStyle name="Normal 2 2 5 4" xfId="984"/>
    <cellStyle name="Normal 2 2 6" xfId="869"/>
    <cellStyle name="Normal 2 2 6 2" xfId="1130"/>
    <cellStyle name="Normal 2 2 6 2 2" xfId="1363"/>
    <cellStyle name="Normal 2 2 6 3" xfId="1247"/>
    <cellStyle name="Normal 2 2 6 4" xfId="1011"/>
    <cellStyle name="Normal 2 2 7" xfId="1068"/>
    <cellStyle name="Normal 2 2 7 2" xfId="1301"/>
    <cellStyle name="Normal 2 2 8" xfId="1185"/>
    <cellStyle name="Normal 2 2 9" xfId="947"/>
    <cellStyle name="Normal 2 3" xfId="636"/>
    <cellStyle name="Normal 2 4" xfId="696"/>
    <cellStyle name="Normal 20" xfId="521"/>
    <cellStyle name="Normal 21" xfId="606"/>
    <cellStyle name="Normal 22" xfId="632"/>
    <cellStyle name="Normal 22 2" xfId="640"/>
    <cellStyle name="Normal 22 3" xfId="815"/>
    <cellStyle name="Normal 22 3 2" xfId="1382"/>
    <cellStyle name="Normal 22 3 3" xfId="1149"/>
    <cellStyle name="Normal 22 4" xfId="888"/>
    <cellStyle name="Normal 22 4 2" xfId="1266"/>
    <cellStyle name="Normal 22 5" xfId="1030"/>
    <cellStyle name="Normal 23" xfId="637"/>
    <cellStyle name="Normal 23 2" xfId="818"/>
    <cellStyle name="Normal 23 2 2" xfId="1383"/>
    <cellStyle name="Normal 23 2 3" xfId="1150"/>
    <cellStyle name="Normal 23 3" xfId="889"/>
    <cellStyle name="Normal 23 3 2" xfId="1267"/>
    <cellStyle name="Normal 23 4" xfId="1031"/>
    <cellStyle name="Normal 24" xfId="848"/>
    <cellStyle name="Normal 24 2" xfId="1062"/>
    <cellStyle name="Normal 25" xfId="859"/>
    <cellStyle name="Normal 25 2" xfId="1298"/>
    <cellStyle name="Normal 25 3" xfId="1061"/>
    <cellStyle name="Normal 26" xfId="849"/>
    <cellStyle name="Normal 26 2" xfId="1180"/>
    <cellStyle name="Normal 27" xfId="855"/>
    <cellStyle name="Normal 28" xfId="860"/>
    <cellStyle name="Normal 29" xfId="930"/>
    <cellStyle name="Normal 3" xfId="522"/>
    <cellStyle name="Normal 3 2" xfId="607"/>
    <cellStyle name="Normal 3 3" xfId="608"/>
    <cellStyle name="Normal 3 3 2" xfId="601"/>
    <cellStyle name="Normal 3 4" xfId="633"/>
    <cellStyle name="Normal 3 4 2" xfId="816"/>
    <cellStyle name="Normal 3 5" xfId="700"/>
    <cellStyle name="Normal 3 6" xfId="923"/>
    <cellStyle name="Normal 30" xfId="926"/>
    <cellStyle name="Normal 31" xfId="1413"/>
    <cellStyle name="Normal 32" xfId="924"/>
    <cellStyle name="Normal 33" xfId="928"/>
    <cellStyle name="Normal 34" xfId="938"/>
    <cellStyle name="Normal 35" xfId="1422"/>
    <cellStyle name="Normal 36" xfId="1424"/>
    <cellStyle name="Normal 37" xfId="1426"/>
    <cellStyle name="Normal 38" xfId="1428"/>
    <cellStyle name="Normal 39" xfId="1430"/>
    <cellStyle name="Normal 4" xfId="523"/>
    <cellStyle name="Normal 4 2" xfId="609"/>
    <cellStyle name="Normal 4 3" xfId="739"/>
    <cellStyle name="Normal 40" xfId="1432"/>
    <cellStyle name="Normal 41" xfId="1434"/>
    <cellStyle name="Normal 42" xfId="1436"/>
    <cellStyle name="Normal 43" xfId="1438"/>
    <cellStyle name="Normal 44" xfId="1440"/>
    <cellStyle name="Normal 45" xfId="1442"/>
    <cellStyle name="Normal 46" xfId="1444"/>
    <cellStyle name="Normal 5" xfId="524"/>
    <cellStyle name="Normal 5 2" xfId="767"/>
    <cellStyle name="Normal 5 3" xfId="741"/>
    <cellStyle name="Normal 6" xfId="525"/>
    <cellStyle name="Normal 6 2" xfId="744"/>
    <cellStyle name="Normal 7" xfId="526"/>
    <cellStyle name="Normal 8" xfId="527"/>
    <cellStyle name="Normal 9" xfId="528"/>
    <cellStyle name="Note 10" xfId="529"/>
    <cellStyle name="Note 11" xfId="530"/>
    <cellStyle name="Note 12" xfId="531"/>
    <cellStyle name="Note 13" xfId="532"/>
    <cellStyle name="Note 14" xfId="533"/>
    <cellStyle name="Note 15" xfId="534"/>
    <cellStyle name="Note 16" xfId="777"/>
    <cellStyle name="Note 2" xfId="535"/>
    <cellStyle name="Note 2 2" xfId="712"/>
    <cellStyle name="Note 3" xfId="536"/>
    <cellStyle name="Note 4" xfId="537"/>
    <cellStyle name="Note 5" xfId="538"/>
    <cellStyle name="Note 6" xfId="539"/>
    <cellStyle name="Note 7" xfId="540"/>
    <cellStyle name="Note 8" xfId="541"/>
    <cellStyle name="Note 9" xfId="542"/>
    <cellStyle name="Output 10" xfId="543"/>
    <cellStyle name="Output 11" xfId="544"/>
    <cellStyle name="Output 12" xfId="545"/>
    <cellStyle name="Output 13" xfId="546"/>
    <cellStyle name="Output 14" xfId="547"/>
    <cellStyle name="Output 15" xfId="548"/>
    <cellStyle name="Output 16" xfId="774"/>
    <cellStyle name="Output 2" xfId="549"/>
    <cellStyle name="Output 2 2" xfId="707"/>
    <cellStyle name="Output 3" xfId="550"/>
    <cellStyle name="Output 4" xfId="551"/>
    <cellStyle name="Output 5" xfId="552"/>
    <cellStyle name="Output 6" xfId="553"/>
    <cellStyle name="Output 7" xfId="554"/>
    <cellStyle name="Output 8" xfId="555"/>
    <cellStyle name="Output 9" xfId="556"/>
    <cellStyle name="Percent" xfId="557" builtinId="5"/>
    <cellStyle name="Percent [2]" xfId="766"/>
    <cellStyle name="Percent 10" xfId="856"/>
    <cellStyle name="Percent 11" xfId="863"/>
    <cellStyle name="Percent 12" xfId="941"/>
    <cellStyle name="Percent 13" xfId="925"/>
    <cellStyle name="Percent 14" xfId="929"/>
    <cellStyle name="Percent 15" xfId="918"/>
    <cellStyle name="Percent 16" xfId="1414"/>
    <cellStyle name="Percent 17" xfId="934"/>
    <cellStyle name="Percent 18" xfId="943"/>
    <cellStyle name="Percent 19" xfId="920"/>
    <cellStyle name="Percent 2" xfId="558"/>
    <cellStyle name="Percent 2 2" xfId="610"/>
    <cellStyle name="Percent 2 2 2" xfId="622"/>
    <cellStyle name="Percent 2 2 2 2" xfId="659"/>
    <cellStyle name="Percent 2 2 2 2 2" xfId="838"/>
    <cellStyle name="Percent 2 2 2 2 2 2" xfId="1169"/>
    <cellStyle name="Percent 2 2 2 2 2 2 2" xfId="1402"/>
    <cellStyle name="Percent 2 2 2 2 2 3" xfId="1286"/>
    <cellStyle name="Percent 2 2 2 2 2 4" xfId="1050"/>
    <cellStyle name="Percent 2 2 2 2 3" xfId="908"/>
    <cellStyle name="Percent 2 2 2 2 3 2" xfId="1346"/>
    <cellStyle name="Percent 2 2 2 2 3 3" xfId="1113"/>
    <cellStyle name="Percent 2 2 2 2 4" xfId="1230"/>
    <cellStyle name="Percent 2 2 2 2 5" xfId="993"/>
    <cellStyle name="Percent 2 2 2 3" xfId="805"/>
    <cellStyle name="Percent 2 2 2 3 2" xfId="1139"/>
    <cellStyle name="Percent 2 2 2 3 2 2" xfId="1372"/>
    <cellStyle name="Percent 2 2 2 3 3" xfId="1256"/>
    <cellStyle name="Percent 2 2 2 3 4" xfId="1020"/>
    <cellStyle name="Percent 2 2 2 4" xfId="878"/>
    <cellStyle name="Percent 2 2 2 4 2" xfId="1320"/>
    <cellStyle name="Percent 2 2 2 4 3" xfId="1087"/>
    <cellStyle name="Percent 2 2 2 5" xfId="1204"/>
    <cellStyle name="Percent 2 2 2 6" xfId="967"/>
    <cellStyle name="Percent 2 2 3" xfId="630"/>
    <cellStyle name="Percent 2 2 3 2" xfId="667"/>
    <cellStyle name="Percent 2 2 3 2 2" xfId="846"/>
    <cellStyle name="Percent 2 2 3 2 2 2" xfId="1177"/>
    <cellStyle name="Percent 2 2 3 2 2 2 2" xfId="1410"/>
    <cellStyle name="Percent 2 2 3 2 2 3" xfId="1294"/>
    <cellStyle name="Percent 2 2 3 2 2 4" xfId="1058"/>
    <cellStyle name="Percent 2 2 3 2 3" xfId="916"/>
    <cellStyle name="Percent 2 2 3 2 3 2" xfId="1354"/>
    <cellStyle name="Percent 2 2 3 2 3 3" xfId="1121"/>
    <cellStyle name="Percent 2 2 3 2 4" xfId="1238"/>
    <cellStyle name="Percent 2 2 3 2 5" xfId="1001"/>
    <cellStyle name="Percent 2 2 3 3" xfId="813"/>
    <cellStyle name="Percent 2 2 3 3 2" xfId="1147"/>
    <cellStyle name="Percent 2 2 3 3 2 2" xfId="1380"/>
    <cellStyle name="Percent 2 2 3 3 3" xfId="1264"/>
    <cellStyle name="Percent 2 2 3 3 4" xfId="1028"/>
    <cellStyle name="Percent 2 2 3 4" xfId="886"/>
    <cellStyle name="Percent 2 2 3 4 2" xfId="1328"/>
    <cellStyle name="Percent 2 2 3 4 3" xfId="1095"/>
    <cellStyle name="Percent 2 2 3 5" xfId="1212"/>
    <cellStyle name="Percent 2 2 3 6" xfId="975"/>
    <cellStyle name="Percent 2 2 4" xfId="651"/>
    <cellStyle name="Percent 2 2 4 2" xfId="830"/>
    <cellStyle name="Percent 2 2 4 2 2" xfId="1161"/>
    <cellStyle name="Percent 2 2 4 2 2 2" xfId="1394"/>
    <cellStyle name="Percent 2 2 4 2 3" xfId="1278"/>
    <cellStyle name="Percent 2 2 4 2 4" xfId="1042"/>
    <cellStyle name="Percent 2 2 4 3" xfId="900"/>
    <cellStyle name="Percent 2 2 4 3 2" xfId="1338"/>
    <cellStyle name="Percent 2 2 4 3 3" xfId="1105"/>
    <cellStyle name="Percent 2 2 4 4" xfId="1222"/>
    <cellStyle name="Percent 2 2 4 5" xfId="985"/>
    <cellStyle name="Percent 2 2 5" xfId="797"/>
    <cellStyle name="Percent 2 2 5 2" xfId="1131"/>
    <cellStyle name="Percent 2 2 5 2 2" xfId="1364"/>
    <cellStyle name="Percent 2 2 5 3" xfId="1248"/>
    <cellStyle name="Percent 2 2 5 4" xfId="1012"/>
    <cellStyle name="Percent 2 2 6" xfId="870"/>
    <cellStyle name="Percent 2 2 6 2" xfId="1312"/>
    <cellStyle name="Percent 2 2 6 3" xfId="1079"/>
    <cellStyle name="Percent 2 2 7" xfId="1196"/>
    <cellStyle name="Percent 2 2 8" xfId="959"/>
    <cellStyle name="Percent 2 3" xfId="615"/>
    <cellStyle name="Percent 2 3 2" xfId="623"/>
    <cellStyle name="Percent 2 3 2 2" xfId="660"/>
    <cellStyle name="Percent 2 3 2 2 2" xfId="839"/>
    <cellStyle name="Percent 2 3 2 2 2 2" xfId="1170"/>
    <cellStyle name="Percent 2 3 2 2 2 2 2" xfId="1403"/>
    <cellStyle name="Percent 2 3 2 2 2 3" xfId="1287"/>
    <cellStyle name="Percent 2 3 2 2 2 4" xfId="1051"/>
    <cellStyle name="Percent 2 3 2 2 3" xfId="909"/>
    <cellStyle name="Percent 2 3 2 2 3 2" xfId="1347"/>
    <cellStyle name="Percent 2 3 2 2 3 3" xfId="1114"/>
    <cellStyle name="Percent 2 3 2 2 4" xfId="1231"/>
    <cellStyle name="Percent 2 3 2 2 5" xfId="994"/>
    <cellStyle name="Percent 2 3 2 3" xfId="806"/>
    <cellStyle name="Percent 2 3 2 3 2" xfId="1140"/>
    <cellStyle name="Percent 2 3 2 3 2 2" xfId="1373"/>
    <cellStyle name="Percent 2 3 2 3 3" xfId="1257"/>
    <cellStyle name="Percent 2 3 2 3 4" xfId="1021"/>
    <cellStyle name="Percent 2 3 2 4" xfId="879"/>
    <cellStyle name="Percent 2 3 2 4 2" xfId="1321"/>
    <cellStyle name="Percent 2 3 2 4 3" xfId="1088"/>
    <cellStyle name="Percent 2 3 2 5" xfId="1205"/>
    <cellStyle name="Percent 2 3 2 6" xfId="968"/>
    <cellStyle name="Percent 2 3 3" xfId="631"/>
    <cellStyle name="Percent 2 3 3 2" xfId="668"/>
    <cellStyle name="Percent 2 3 3 2 2" xfId="847"/>
    <cellStyle name="Percent 2 3 3 2 2 2" xfId="1178"/>
    <cellStyle name="Percent 2 3 3 2 2 2 2" xfId="1411"/>
    <cellStyle name="Percent 2 3 3 2 2 3" xfId="1295"/>
    <cellStyle name="Percent 2 3 3 2 2 4" xfId="1059"/>
    <cellStyle name="Percent 2 3 3 2 3" xfId="917"/>
    <cellStyle name="Percent 2 3 3 2 3 2" xfId="1355"/>
    <cellStyle name="Percent 2 3 3 2 3 3" xfId="1122"/>
    <cellStyle name="Percent 2 3 3 2 4" xfId="1239"/>
    <cellStyle name="Percent 2 3 3 2 5" xfId="1002"/>
    <cellStyle name="Percent 2 3 3 3" xfId="814"/>
    <cellStyle name="Percent 2 3 3 3 2" xfId="1148"/>
    <cellStyle name="Percent 2 3 3 3 2 2" xfId="1381"/>
    <cellStyle name="Percent 2 3 3 3 3" xfId="1265"/>
    <cellStyle name="Percent 2 3 3 3 4" xfId="1029"/>
    <cellStyle name="Percent 2 3 3 4" xfId="887"/>
    <cellStyle name="Percent 2 3 3 4 2" xfId="1329"/>
    <cellStyle name="Percent 2 3 3 4 3" xfId="1096"/>
    <cellStyle name="Percent 2 3 3 5" xfId="1213"/>
    <cellStyle name="Percent 2 3 3 6" xfId="976"/>
    <cellStyle name="Percent 2 3 4" xfId="652"/>
    <cellStyle name="Percent 2 3 4 2" xfId="831"/>
    <cellStyle name="Percent 2 3 4 2 2" xfId="1162"/>
    <cellStyle name="Percent 2 3 4 2 2 2" xfId="1395"/>
    <cellStyle name="Percent 2 3 4 2 3" xfId="1279"/>
    <cellStyle name="Percent 2 3 4 2 4" xfId="1043"/>
    <cellStyle name="Percent 2 3 4 3" xfId="901"/>
    <cellStyle name="Percent 2 3 4 3 2" xfId="1339"/>
    <cellStyle name="Percent 2 3 4 3 3" xfId="1106"/>
    <cellStyle name="Percent 2 3 4 4" xfId="1223"/>
    <cellStyle name="Percent 2 3 4 5" xfId="986"/>
    <cellStyle name="Percent 2 3 5" xfId="798"/>
    <cellStyle name="Percent 2 3 5 2" xfId="1132"/>
    <cellStyle name="Percent 2 3 5 2 2" xfId="1365"/>
    <cellStyle name="Percent 2 3 5 3" xfId="1249"/>
    <cellStyle name="Percent 2 3 5 4" xfId="1013"/>
    <cellStyle name="Percent 2 3 6" xfId="871"/>
    <cellStyle name="Percent 2 3 6 2" xfId="1313"/>
    <cellStyle name="Percent 2 3 6 3" xfId="1080"/>
    <cellStyle name="Percent 2 3 7" xfId="1197"/>
    <cellStyle name="Percent 2 3 8" xfId="960"/>
    <cellStyle name="Percent 2 4" xfId="1415"/>
    <cellStyle name="Percent 20" xfId="919"/>
    <cellStyle name="Percent 21" xfId="921"/>
    <cellStyle name="Percent 22" xfId="932"/>
    <cellStyle name="Percent 23" xfId="1416"/>
    <cellStyle name="Percent 24" xfId="935"/>
    <cellStyle name="Percent 25" xfId="1418"/>
    <cellStyle name="Percent 26" xfId="945"/>
    <cellStyle name="Percent 27" xfId="922"/>
    <cellStyle name="Percent 28" xfId="931"/>
    <cellStyle name="Percent 29" xfId="1420"/>
    <cellStyle name="Percent 3" xfId="559"/>
    <cellStyle name="Percent 3 2" xfId="611"/>
    <cellStyle name="Percent 3 2 2" xfId="769"/>
    <cellStyle name="Percent 3 3" xfId="635"/>
    <cellStyle name="Percent 3 4" xfId="743"/>
    <cellStyle name="Percent 30" xfId="942"/>
    <cellStyle name="Percent 31" xfId="944"/>
    <cellStyle name="Percent 32" xfId="933"/>
    <cellStyle name="Percent 33" xfId="1419"/>
    <cellStyle name="Percent 34" xfId="927"/>
    <cellStyle name="Percent 35" xfId="1417"/>
    <cellStyle name="Percent 36" xfId="1421"/>
    <cellStyle name="Percent 37" xfId="1423"/>
    <cellStyle name="Percent 38" xfId="1425"/>
    <cellStyle name="Percent 39" xfId="1427"/>
    <cellStyle name="Percent 4" xfId="612"/>
    <cellStyle name="Percent 4 2" xfId="788"/>
    <cellStyle name="Percent 40" xfId="1429"/>
    <cellStyle name="Percent 41" xfId="1431"/>
    <cellStyle name="Percent 42" xfId="1433"/>
    <cellStyle name="Percent 43" xfId="1435"/>
    <cellStyle name="Percent 44" xfId="1437"/>
    <cellStyle name="Percent 45" xfId="1439"/>
    <cellStyle name="Percent 46" xfId="1441"/>
    <cellStyle name="Percent 47" xfId="1443"/>
    <cellStyle name="Percent 48" xfId="1445"/>
    <cellStyle name="Percent 5" xfId="644"/>
    <cellStyle name="Percent 6" xfId="639"/>
    <cellStyle name="Percent 6 2" xfId="820"/>
    <cellStyle name="Percent 6 2 2" xfId="1385"/>
    <cellStyle name="Percent 6 2 3" xfId="1152"/>
    <cellStyle name="Percent 6 3" xfId="891"/>
    <cellStyle name="Percent 6 3 2" xfId="1269"/>
    <cellStyle name="Percent 6 4" xfId="1033"/>
    <cellStyle name="Percent 7" xfId="853"/>
    <cellStyle name="Percent 7 2" xfId="1066"/>
    <cellStyle name="Percent 8" xfId="854"/>
    <cellStyle name="Percent 8 2" xfId="1182"/>
    <cellStyle name="Percent 9" xfId="857"/>
    <cellStyle name="Style 23" xfId="613"/>
    <cellStyle name="Style 23 2" xfId="614"/>
    <cellStyle name="Title" xfId="560" builtinId="15" customBuiltin="1"/>
    <cellStyle name="Title 2" xfId="697"/>
    <cellStyle name="Title 2 2" xfId="946"/>
    <cellStyle name="Title 3" xfId="693"/>
    <cellStyle name="Total 10" xfId="561"/>
    <cellStyle name="Total 11" xfId="562"/>
    <cellStyle name="Total 12" xfId="563"/>
    <cellStyle name="Total 13" xfId="564"/>
    <cellStyle name="Total 14" xfId="565"/>
    <cellStyle name="Total 15" xfId="566"/>
    <cellStyle name="Total 16" xfId="694"/>
    <cellStyle name="Total 2" xfId="567"/>
    <cellStyle name="Total 2 2" xfId="714"/>
    <cellStyle name="Total 3" xfId="568"/>
    <cellStyle name="Total 4" xfId="569"/>
    <cellStyle name="Total 5" xfId="570"/>
    <cellStyle name="Total 6" xfId="571"/>
    <cellStyle name="Total 7" xfId="572"/>
    <cellStyle name="Total 8" xfId="573"/>
    <cellStyle name="Total 9" xfId="574"/>
    <cellStyle name="Warning Text 10" xfId="575"/>
    <cellStyle name="Warning Text 11" xfId="576"/>
    <cellStyle name="Warning Text 12" xfId="577"/>
    <cellStyle name="Warning Text 13" xfId="578"/>
    <cellStyle name="Warning Text 14" xfId="579"/>
    <cellStyle name="Warning Text 15" xfId="580"/>
    <cellStyle name="Warning Text 16" xfId="695"/>
    <cellStyle name="Warning Text 2" xfId="581"/>
    <cellStyle name="Warning Text 2 2" xfId="711"/>
    <cellStyle name="Warning Text 3" xfId="582"/>
    <cellStyle name="Warning Text 4" xfId="583"/>
    <cellStyle name="Warning Text 5" xfId="584"/>
    <cellStyle name="Warning Text 6" xfId="585"/>
    <cellStyle name="Warning Text 7" xfId="586"/>
    <cellStyle name="Warning Text 8" xfId="587"/>
    <cellStyle name="Warning Text 9" xfId="588"/>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53356015307445E-2"/>
          <c:y val="3.5542275424528813E-2"/>
          <c:w val="0.72609264993784484"/>
          <c:h val="0.76901503668994686"/>
        </c:manualLayout>
      </c:layout>
      <c:barChart>
        <c:barDir val="col"/>
        <c:grouping val="clustered"/>
        <c:varyColors val="0"/>
        <c:ser>
          <c:idx val="2"/>
          <c:order val="0"/>
          <c:tx>
            <c:strRef>
              <c:f>'6. WS Regression Analysis'!$V$58</c:f>
              <c:strCache>
                <c:ptCount val="1"/>
                <c:pt idx="0">
                  <c:v>kWh Purchased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Analysis'!$V$59:$V$68</c:f>
              <c:numCache>
                <c:formatCode>_(* #,##0.00_);_(* \(#,##0.00\);_(* "-"??_);_(@_)</c:formatCode>
                <c:ptCount val="10"/>
                <c:pt idx="0">
                  <c:v>209871328.75141218</c:v>
                </c:pt>
                <c:pt idx="1">
                  <c:v>203367791.46020103</c:v>
                </c:pt>
                <c:pt idx="2">
                  <c:v>205302856.46000004</c:v>
                </c:pt>
                <c:pt idx="3">
                  <c:v>194146899.85907778</c:v>
                </c:pt>
                <c:pt idx="4">
                  <c:v>201115656.45999998</c:v>
                </c:pt>
                <c:pt idx="5">
                  <c:v>197081317.46300003</c:v>
                </c:pt>
                <c:pt idx="6">
                  <c:v>199623009.43799999</c:v>
                </c:pt>
                <c:pt idx="7">
                  <c:v>194771161.25000003</c:v>
                </c:pt>
                <c:pt idx="8">
                  <c:v>198259056.0149</c:v>
                </c:pt>
                <c:pt idx="9">
                  <c:v>191637148.35999998</c:v>
                </c:pt>
              </c:numCache>
            </c:numRef>
          </c:val>
        </c:ser>
        <c:ser>
          <c:idx val="0"/>
          <c:order val="1"/>
          <c:tx>
            <c:strRef>
              <c:f>'6. WS Regression Analysis'!$W$58</c:f>
              <c:strCache>
                <c:ptCount val="1"/>
                <c:pt idx="0">
                  <c:v>Adjusted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Analysis'!$W$59:$W$68</c:f>
              <c:numCache>
                <c:formatCode>_(* #,##0.00_);_(* \(#,##0.00\);_(* "-"??_);_(@_)</c:formatCode>
                <c:ptCount val="10"/>
                <c:pt idx="0">
                  <c:v>203844303.0754298</c:v>
                </c:pt>
                <c:pt idx="1">
                  <c:v>197556431.56635299</c:v>
                </c:pt>
                <c:pt idx="2">
                  <c:v>200186936.8660098</c:v>
                </c:pt>
                <c:pt idx="3">
                  <c:v>199277158.67089084</c:v>
                </c:pt>
                <c:pt idx="4">
                  <c:v>198683586.06453371</c:v>
                </c:pt>
                <c:pt idx="5">
                  <c:v>199197021.01412955</c:v>
                </c:pt>
                <c:pt idx="6">
                  <c:v>197051606.59096599</c:v>
                </c:pt>
                <c:pt idx="7">
                  <c:v>200061553.77745542</c:v>
                </c:pt>
                <c:pt idx="8">
                  <c:v>199210663.16643396</c:v>
                </c:pt>
                <c:pt idx="9">
                  <c:v>200106964.7243894</c:v>
                </c:pt>
              </c:numCache>
            </c:numRef>
          </c:val>
        </c:ser>
        <c:dLbls>
          <c:showLegendKey val="0"/>
          <c:showVal val="0"/>
          <c:showCatName val="0"/>
          <c:showSerName val="0"/>
          <c:showPercent val="0"/>
          <c:showBubbleSize val="0"/>
        </c:dLbls>
        <c:gapWidth val="150"/>
        <c:axId val="1088747120"/>
        <c:axId val="1088746728"/>
      </c:barChart>
      <c:dateAx>
        <c:axId val="1088747120"/>
        <c:scaling>
          <c:orientation val="minMax"/>
        </c:scaling>
        <c:delete val="0"/>
        <c:axPos val="b"/>
        <c:title>
          <c:tx>
            <c:rich>
              <a:bodyPr/>
              <a:lstStyle/>
              <a:p>
                <a:pPr>
                  <a:defRPr/>
                </a:pPr>
                <a:r>
                  <a:rPr lang="en-US"/>
                  <a:t>Year</a:t>
                </a:r>
              </a:p>
            </c:rich>
          </c:tx>
          <c:layout/>
          <c:overlay val="0"/>
        </c:title>
        <c:numFmt formatCode="@" sourceLinked="1"/>
        <c:majorTickMark val="out"/>
        <c:minorTickMark val="none"/>
        <c:tickLblPos val="nextTo"/>
        <c:crossAx val="1088746728"/>
        <c:crosses val="autoZero"/>
        <c:auto val="0"/>
        <c:lblOffset val="100"/>
        <c:baseTimeUnit val="days"/>
      </c:dateAx>
      <c:valAx>
        <c:axId val="1088746728"/>
        <c:scaling>
          <c:orientation val="minMax"/>
          <c:min val="0"/>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1088747120"/>
        <c:crossesAt val="1"/>
        <c:crossBetween val="between"/>
        <c:dispUnits>
          <c:builtInUnit val="millions"/>
          <c:dispUnitsLbl>
            <c:layout/>
          </c:dispUnitsLbl>
        </c:dispUnits>
      </c:valAx>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13</xdr:row>
      <xdr:rowOff>9525</xdr:rowOff>
    </xdr:from>
    <xdr:to>
      <xdr:col>4</xdr:col>
      <xdr:colOff>209550</xdr:colOff>
      <xdr:row>16</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76201</xdr:colOff>
      <xdr:row>16</xdr:row>
      <xdr:rowOff>161926</xdr:rowOff>
    </xdr:from>
    <xdr:to>
      <xdr:col>4</xdr:col>
      <xdr:colOff>190501</xdr:colOff>
      <xdr:row>19</xdr:row>
      <xdr:rowOff>152401</xdr:rowOff>
    </xdr:to>
    <xdr:sp macro="" textlink="">
      <xdr:nvSpPr>
        <xdr:cNvPr id="3" name="Right Brace 2"/>
        <xdr:cNvSpPr/>
      </xdr:nvSpPr>
      <xdr:spPr>
        <a:xfrm>
          <a:off x="7658101" y="233362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12</xdr:row>
      <xdr:rowOff>47625</xdr:rowOff>
    </xdr:from>
    <xdr:to>
      <xdr:col>0</xdr:col>
      <xdr:colOff>552450</xdr:colOff>
      <xdr:row>12</xdr:row>
      <xdr:rowOff>180975</xdr:rowOff>
    </xdr:to>
    <xdr:sp macro="" textlink="">
      <xdr:nvSpPr>
        <xdr:cNvPr id="2" name="Isosceles Triangle 1"/>
        <xdr:cNvSpPr/>
      </xdr:nvSpPr>
      <xdr:spPr>
        <a:xfrm>
          <a:off x="409575" y="21621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390525</xdr:colOff>
      <xdr:row>14</xdr:row>
      <xdr:rowOff>132848</xdr:rowOff>
    </xdr:from>
    <xdr:to>
      <xdr:col>0</xdr:col>
      <xdr:colOff>542925</xdr:colOff>
      <xdr:row>15</xdr:row>
      <xdr:rowOff>85223</xdr:rowOff>
    </xdr:to>
    <xdr:sp macro="" textlink="">
      <xdr:nvSpPr>
        <xdr:cNvPr id="3" name="Oval 2"/>
        <xdr:cNvSpPr/>
      </xdr:nvSpPr>
      <xdr:spPr>
        <a:xfrm>
          <a:off x="390525" y="2618873"/>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413586</xdr:colOff>
      <xdr:row>13</xdr:row>
      <xdr:rowOff>101767</xdr:rowOff>
    </xdr:from>
    <xdr:to>
      <xdr:col>0</xdr:col>
      <xdr:colOff>543928</xdr:colOff>
      <xdr:row>14</xdr:row>
      <xdr:rowOff>46121</xdr:rowOff>
    </xdr:to>
    <xdr:sp macro="" textlink="">
      <xdr:nvSpPr>
        <xdr:cNvPr id="4" name="Rectangle 3"/>
        <xdr:cNvSpPr/>
      </xdr:nvSpPr>
      <xdr:spPr>
        <a:xfrm>
          <a:off x="413586" y="2406817"/>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23</xdr:row>
      <xdr:rowOff>7056</xdr:rowOff>
    </xdr:from>
    <xdr:to>
      <xdr:col>3</xdr:col>
      <xdr:colOff>458610</xdr:colOff>
      <xdr:row>23</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23</xdr:row>
      <xdr:rowOff>6735</xdr:rowOff>
    </xdr:from>
    <xdr:to>
      <xdr:col>5</xdr:col>
      <xdr:colOff>486832</xdr:colOff>
      <xdr:row>23</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23</xdr:row>
      <xdr:rowOff>8659</xdr:rowOff>
    </xdr:from>
    <xdr:to>
      <xdr:col>11</xdr:col>
      <xdr:colOff>472723</xdr:colOff>
      <xdr:row>23</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23</xdr:row>
      <xdr:rowOff>8659</xdr:rowOff>
    </xdr:from>
    <xdr:to>
      <xdr:col>12</xdr:col>
      <xdr:colOff>481262</xdr:colOff>
      <xdr:row>23</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23</xdr:row>
      <xdr:rowOff>7056</xdr:rowOff>
    </xdr:from>
    <xdr:to>
      <xdr:col>17</xdr:col>
      <xdr:colOff>493888</xdr:colOff>
      <xdr:row>23</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23</xdr:row>
      <xdr:rowOff>11866</xdr:rowOff>
    </xdr:from>
    <xdr:to>
      <xdr:col>18</xdr:col>
      <xdr:colOff>490361</xdr:colOff>
      <xdr:row>23</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23</xdr:row>
      <xdr:rowOff>7056</xdr:rowOff>
    </xdr:from>
    <xdr:to>
      <xdr:col>14</xdr:col>
      <xdr:colOff>493888</xdr:colOff>
      <xdr:row>23</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23</xdr:row>
      <xdr:rowOff>11866</xdr:rowOff>
    </xdr:from>
    <xdr:to>
      <xdr:col>15</xdr:col>
      <xdr:colOff>490361</xdr:colOff>
      <xdr:row>23</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23</xdr:row>
      <xdr:rowOff>6735</xdr:rowOff>
    </xdr:from>
    <xdr:to>
      <xdr:col>20</xdr:col>
      <xdr:colOff>483304</xdr:colOff>
      <xdr:row>23</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23</xdr:col>
      <xdr:colOff>346363</xdr:colOff>
      <xdr:row>23</xdr:row>
      <xdr:rowOff>6735</xdr:rowOff>
    </xdr:from>
    <xdr:to>
      <xdr:col>23</xdr:col>
      <xdr:colOff>483304</xdr:colOff>
      <xdr:row>23</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25</xdr:col>
      <xdr:colOff>346363</xdr:colOff>
      <xdr:row>23</xdr:row>
      <xdr:rowOff>6735</xdr:rowOff>
    </xdr:from>
    <xdr:to>
      <xdr:col>25</xdr:col>
      <xdr:colOff>483304</xdr:colOff>
      <xdr:row>23</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23</xdr:row>
      <xdr:rowOff>6735</xdr:rowOff>
    </xdr:from>
    <xdr:to>
      <xdr:col>7</xdr:col>
      <xdr:colOff>483304</xdr:colOff>
      <xdr:row>23</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23</xdr:row>
      <xdr:rowOff>6735</xdr:rowOff>
    </xdr:from>
    <xdr:to>
      <xdr:col>9</xdr:col>
      <xdr:colOff>483304</xdr:colOff>
      <xdr:row>23</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21</xdr:col>
      <xdr:colOff>346363</xdr:colOff>
      <xdr:row>23</xdr:row>
      <xdr:rowOff>6735</xdr:rowOff>
    </xdr:from>
    <xdr:to>
      <xdr:col>21</xdr:col>
      <xdr:colOff>483304</xdr:colOff>
      <xdr:row>23</xdr:row>
      <xdr:rowOff>148167</xdr:rowOff>
    </xdr:to>
    <xdr:sp macro="" textlink="">
      <xdr:nvSpPr>
        <xdr:cNvPr id="21" name="Rectangle 20"/>
        <xdr:cNvSpPr/>
      </xdr:nvSpPr>
      <xdr:spPr>
        <a:xfrm>
          <a:off x="16691263" y="259753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0" name="Picture 19"/>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31</xdr:row>
      <xdr:rowOff>133349</xdr:rowOff>
    </xdr:from>
    <xdr:to>
      <xdr:col>16</xdr:col>
      <xdr:colOff>190500</xdr:colOff>
      <xdr:row>32</xdr:row>
      <xdr:rowOff>133349</xdr:rowOff>
    </xdr:to>
    <xdr:sp macro="" textlink="">
      <xdr:nvSpPr>
        <xdr:cNvPr id="10" name="Down Arrow 9"/>
        <xdr:cNvSpPr/>
      </xdr:nvSpPr>
      <xdr:spPr>
        <a:xfrm>
          <a:off x="12830175" y="5838824"/>
          <a:ext cx="85725"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17</xdr:row>
      <xdr:rowOff>87406</xdr:rowOff>
    </xdr:from>
    <xdr:to>
      <xdr:col>2</xdr:col>
      <xdr:colOff>587188</xdr:colOff>
      <xdr:row>17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17</xdr:row>
      <xdr:rowOff>104775</xdr:rowOff>
    </xdr:from>
    <xdr:to>
      <xdr:col>17</xdr:col>
      <xdr:colOff>676275</xdr:colOff>
      <xdr:row>17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95250</xdr:colOff>
      <xdr:row>18</xdr:row>
      <xdr:rowOff>302559</xdr:rowOff>
    </xdr:from>
    <xdr:to>
      <xdr:col>9</xdr:col>
      <xdr:colOff>910477</xdr:colOff>
      <xdr:row>18</xdr:row>
      <xdr:rowOff>348278</xdr:rowOff>
    </xdr:to>
    <xdr:sp macro="" textlink="">
      <xdr:nvSpPr>
        <xdr:cNvPr id="6" name="Right Arrow 5"/>
        <xdr:cNvSpPr/>
      </xdr:nvSpPr>
      <xdr:spPr>
        <a:xfrm>
          <a:off x="9058275" y="4245909"/>
          <a:ext cx="81522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571500</xdr:colOff>
      <xdr:row>79</xdr:row>
      <xdr:rowOff>85725</xdr:rowOff>
    </xdr:from>
    <xdr:to>
      <xdr:col>25</xdr:col>
      <xdr:colOff>502444</xdr:colOff>
      <xdr:row>103</xdr:row>
      <xdr:rowOff>49213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534031</xdr:colOff>
      <xdr:row>7</xdr:row>
      <xdr:rowOff>28575</xdr:rowOff>
    </xdr:to>
    <xdr:pic>
      <xdr:nvPicPr>
        <xdr:cNvPr id="7" name="Picture 6"/>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30</xdr:row>
      <xdr:rowOff>34636</xdr:rowOff>
    </xdr:from>
    <xdr:to>
      <xdr:col>0</xdr:col>
      <xdr:colOff>536863</xdr:colOff>
      <xdr:row>33</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180108</xdr:colOff>
      <xdr:row>33</xdr:row>
      <xdr:rowOff>0</xdr:rowOff>
    </xdr:from>
    <xdr:to>
      <xdr:col>4</xdr:col>
      <xdr:colOff>435552</xdr:colOff>
      <xdr:row>36</xdr:row>
      <xdr:rowOff>141143</xdr:rowOff>
    </xdr:to>
    <xdr:sp macro="" textlink="">
      <xdr:nvSpPr>
        <xdr:cNvPr id="3" name="Down Arrow 2"/>
        <xdr:cNvSpPr/>
      </xdr:nvSpPr>
      <xdr:spPr>
        <a:xfrm>
          <a:off x="3590058" y="69723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79663</xdr:colOff>
      <xdr:row>33</xdr:row>
      <xdr:rowOff>38100</xdr:rowOff>
    </xdr:from>
    <xdr:to>
      <xdr:col>12</xdr:col>
      <xdr:colOff>344632</xdr:colOff>
      <xdr:row>36</xdr:row>
      <xdr:rowOff>161059</xdr:rowOff>
    </xdr:to>
    <xdr:sp macro="" textlink="">
      <xdr:nvSpPr>
        <xdr:cNvPr id="4" name="Down Arrow 3"/>
        <xdr:cNvSpPr/>
      </xdr:nvSpPr>
      <xdr:spPr>
        <a:xfrm>
          <a:off x="9680863" y="7010400"/>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166253</xdr:colOff>
      <xdr:row>33</xdr:row>
      <xdr:rowOff>47624</xdr:rowOff>
    </xdr:from>
    <xdr:to>
      <xdr:col>20</xdr:col>
      <xdr:colOff>431222</xdr:colOff>
      <xdr:row>37</xdr:row>
      <xdr:rowOff>19915</xdr:rowOff>
    </xdr:to>
    <xdr:sp macro="" textlink="">
      <xdr:nvSpPr>
        <xdr:cNvPr id="5" name="Down Arrow 4"/>
        <xdr:cNvSpPr/>
      </xdr:nvSpPr>
      <xdr:spPr>
        <a:xfrm>
          <a:off x="15949178" y="70199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247650</xdr:colOff>
      <xdr:row>19</xdr:row>
      <xdr:rowOff>76200</xdr:rowOff>
    </xdr:from>
    <xdr:to>
      <xdr:col>4</xdr:col>
      <xdr:colOff>495300</xdr:colOff>
      <xdr:row>19</xdr:row>
      <xdr:rowOff>238125</xdr:rowOff>
    </xdr:to>
    <xdr:sp macro="" textlink="">
      <xdr:nvSpPr>
        <xdr:cNvPr id="6" name="5-Point Star 5"/>
        <xdr:cNvSpPr/>
      </xdr:nvSpPr>
      <xdr:spPr>
        <a:xfrm>
          <a:off x="365760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209550</xdr:colOff>
      <xdr:row>19</xdr:row>
      <xdr:rowOff>104775</xdr:rowOff>
    </xdr:from>
    <xdr:to>
      <xdr:col>12</xdr:col>
      <xdr:colOff>457200</xdr:colOff>
      <xdr:row>19</xdr:row>
      <xdr:rowOff>257175</xdr:rowOff>
    </xdr:to>
    <xdr:sp macro="" textlink="">
      <xdr:nvSpPr>
        <xdr:cNvPr id="7" name="5-Point Star 6"/>
        <xdr:cNvSpPr/>
      </xdr:nvSpPr>
      <xdr:spPr>
        <a:xfrm>
          <a:off x="9810750" y="4171950"/>
          <a:ext cx="247650"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228600</xdr:colOff>
      <xdr:row>19</xdr:row>
      <xdr:rowOff>114300</xdr:rowOff>
    </xdr:from>
    <xdr:to>
      <xdr:col>20</xdr:col>
      <xdr:colOff>476250</xdr:colOff>
      <xdr:row>19</xdr:row>
      <xdr:rowOff>276225</xdr:rowOff>
    </xdr:to>
    <xdr:sp macro="" textlink="">
      <xdr:nvSpPr>
        <xdr:cNvPr id="8" name="5-Point Star 7"/>
        <xdr:cNvSpPr/>
      </xdr:nvSpPr>
      <xdr:spPr>
        <a:xfrm>
          <a:off x="16011525" y="41814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323850</xdr:colOff>
      <xdr:row>19</xdr:row>
      <xdr:rowOff>104774</xdr:rowOff>
    </xdr:from>
    <xdr:to>
      <xdr:col>2</xdr:col>
      <xdr:colOff>523875</xdr:colOff>
      <xdr:row>19</xdr:row>
      <xdr:rowOff>247649</xdr:rowOff>
    </xdr:to>
    <xdr:sp macro="" textlink="">
      <xdr:nvSpPr>
        <xdr:cNvPr id="10" name="Rectangle 9"/>
        <xdr:cNvSpPr/>
      </xdr:nvSpPr>
      <xdr:spPr>
        <a:xfrm>
          <a:off x="1962150" y="4171949"/>
          <a:ext cx="2000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323850</xdr:colOff>
      <xdr:row>19</xdr:row>
      <xdr:rowOff>133350</xdr:rowOff>
    </xdr:from>
    <xdr:to>
      <xdr:col>10</xdr:col>
      <xdr:colOff>523875</xdr:colOff>
      <xdr:row>19</xdr:row>
      <xdr:rowOff>266700</xdr:rowOff>
    </xdr:to>
    <xdr:sp macro="" textlink="">
      <xdr:nvSpPr>
        <xdr:cNvPr id="11" name="Rectangle 10"/>
        <xdr:cNvSpPr/>
      </xdr:nvSpPr>
      <xdr:spPr>
        <a:xfrm>
          <a:off x="8210550" y="4200525"/>
          <a:ext cx="200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19</xdr:row>
      <xdr:rowOff>133350</xdr:rowOff>
    </xdr:from>
    <xdr:to>
      <xdr:col>18</xdr:col>
      <xdr:colOff>514350</xdr:colOff>
      <xdr:row>19</xdr:row>
      <xdr:rowOff>257175</xdr:rowOff>
    </xdr:to>
    <xdr:sp macro="" textlink="">
      <xdr:nvSpPr>
        <xdr:cNvPr id="12" name="Rectangle 11"/>
        <xdr:cNvSpPr/>
      </xdr:nvSpPr>
      <xdr:spPr>
        <a:xfrm>
          <a:off x="14382750" y="42005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295275</xdr:colOff>
      <xdr:row>19</xdr:row>
      <xdr:rowOff>133349</xdr:rowOff>
    </xdr:from>
    <xdr:to>
      <xdr:col>19</xdr:col>
      <xdr:colOff>495300</xdr:colOff>
      <xdr:row>19</xdr:row>
      <xdr:rowOff>257174</xdr:rowOff>
    </xdr:to>
    <xdr:sp macro="" textlink="">
      <xdr:nvSpPr>
        <xdr:cNvPr id="13" name="Isosceles Triangle 12"/>
        <xdr:cNvSpPr/>
      </xdr:nvSpPr>
      <xdr:spPr>
        <a:xfrm>
          <a:off x="15220950" y="420052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276225</xdr:colOff>
      <xdr:row>19</xdr:row>
      <xdr:rowOff>114300</xdr:rowOff>
    </xdr:from>
    <xdr:to>
      <xdr:col>11</xdr:col>
      <xdr:colOff>514350</xdr:colOff>
      <xdr:row>19</xdr:row>
      <xdr:rowOff>276225</xdr:rowOff>
    </xdr:to>
    <xdr:sp macro="" textlink="">
      <xdr:nvSpPr>
        <xdr:cNvPr id="14" name="Isosceles Triangle 13"/>
        <xdr:cNvSpPr/>
      </xdr:nvSpPr>
      <xdr:spPr>
        <a:xfrm>
          <a:off x="9020175" y="4181475"/>
          <a:ext cx="238125" cy="1619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295275</xdr:colOff>
      <xdr:row>19</xdr:row>
      <xdr:rowOff>85725</xdr:rowOff>
    </xdr:from>
    <xdr:to>
      <xdr:col>3</xdr:col>
      <xdr:colOff>523875</xdr:colOff>
      <xdr:row>19</xdr:row>
      <xdr:rowOff>257175</xdr:rowOff>
    </xdr:to>
    <xdr:sp macro="" textlink="">
      <xdr:nvSpPr>
        <xdr:cNvPr id="15" name="Isosceles Triangle 14"/>
        <xdr:cNvSpPr/>
      </xdr:nvSpPr>
      <xdr:spPr>
        <a:xfrm>
          <a:off x="2847975" y="4152900"/>
          <a:ext cx="228600"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147203</xdr:colOff>
      <xdr:row>33</xdr:row>
      <xdr:rowOff>38099</xdr:rowOff>
    </xdr:from>
    <xdr:to>
      <xdr:col>28</xdr:col>
      <xdr:colOff>412172</xdr:colOff>
      <xdr:row>37</xdr:row>
      <xdr:rowOff>10390</xdr:rowOff>
    </xdr:to>
    <xdr:sp macro="" textlink="">
      <xdr:nvSpPr>
        <xdr:cNvPr id="16" name="Down Arrow 15"/>
        <xdr:cNvSpPr/>
      </xdr:nvSpPr>
      <xdr:spPr>
        <a:xfrm>
          <a:off x="22102328" y="7010399"/>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247650</xdr:colOff>
      <xdr:row>19</xdr:row>
      <xdr:rowOff>85725</xdr:rowOff>
    </xdr:from>
    <xdr:to>
      <xdr:col>28</xdr:col>
      <xdr:colOff>495300</xdr:colOff>
      <xdr:row>19</xdr:row>
      <xdr:rowOff>247650</xdr:rowOff>
    </xdr:to>
    <xdr:sp macro="" textlink="">
      <xdr:nvSpPr>
        <xdr:cNvPr id="17" name="5-Point Star 16"/>
        <xdr:cNvSpPr/>
      </xdr:nvSpPr>
      <xdr:spPr>
        <a:xfrm>
          <a:off x="22202775" y="4152900"/>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304800</xdr:colOff>
      <xdr:row>19</xdr:row>
      <xdr:rowOff>114300</xdr:rowOff>
    </xdr:from>
    <xdr:to>
      <xdr:col>26</xdr:col>
      <xdr:colOff>504825</xdr:colOff>
      <xdr:row>19</xdr:row>
      <xdr:rowOff>238125</xdr:rowOff>
    </xdr:to>
    <xdr:sp macro="" textlink="">
      <xdr:nvSpPr>
        <xdr:cNvPr id="18" name="Rectangle 17"/>
        <xdr:cNvSpPr/>
      </xdr:nvSpPr>
      <xdr:spPr>
        <a:xfrm>
          <a:off x="20545425" y="418147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295275</xdr:colOff>
      <xdr:row>19</xdr:row>
      <xdr:rowOff>114299</xdr:rowOff>
    </xdr:from>
    <xdr:to>
      <xdr:col>27</xdr:col>
      <xdr:colOff>495300</xdr:colOff>
      <xdr:row>19</xdr:row>
      <xdr:rowOff>238124</xdr:rowOff>
    </xdr:to>
    <xdr:sp macro="" textlink="">
      <xdr:nvSpPr>
        <xdr:cNvPr id="19" name="Isosceles Triangle 18"/>
        <xdr:cNvSpPr/>
      </xdr:nvSpPr>
      <xdr:spPr>
        <a:xfrm>
          <a:off x="21393150" y="418147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147203</xdr:colOff>
      <xdr:row>33</xdr:row>
      <xdr:rowOff>28574</xdr:rowOff>
    </xdr:from>
    <xdr:to>
      <xdr:col>36</xdr:col>
      <xdr:colOff>412172</xdr:colOff>
      <xdr:row>37</xdr:row>
      <xdr:rowOff>865</xdr:rowOff>
    </xdr:to>
    <xdr:sp macro="" textlink="">
      <xdr:nvSpPr>
        <xdr:cNvPr id="23" name="Down Arrow 22"/>
        <xdr:cNvSpPr/>
      </xdr:nvSpPr>
      <xdr:spPr>
        <a:xfrm>
          <a:off x="28265003" y="700087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247650</xdr:colOff>
      <xdr:row>19</xdr:row>
      <xdr:rowOff>76200</xdr:rowOff>
    </xdr:from>
    <xdr:to>
      <xdr:col>36</xdr:col>
      <xdr:colOff>495300</xdr:colOff>
      <xdr:row>19</xdr:row>
      <xdr:rowOff>238125</xdr:rowOff>
    </xdr:to>
    <xdr:sp macro="" textlink="">
      <xdr:nvSpPr>
        <xdr:cNvPr id="24" name="5-Point Star 23"/>
        <xdr:cNvSpPr/>
      </xdr:nvSpPr>
      <xdr:spPr>
        <a:xfrm>
          <a:off x="2836545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276225</xdr:colOff>
      <xdr:row>19</xdr:row>
      <xdr:rowOff>95250</xdr:rowOff>
    </xdr:from>
    <xdr:to>
      <xdr:col>34</xdr:col>
      <xdr:colOff>476250</xdr:colOff>
      <xdr:row>19</xdr:row>
      <xdr:rowOff>219075</xdr:rowOff>
    </xdr:to>
    <xdr:sp macro="" textlink="">
      <xdr:nvSpPr>
        <xdr:cNvPr id="25" name="Rectangle 24"/>
        <xdr:cNvSpPr/>
      </xdr:nvSpPr>
      <xdr:spPr>
        <a:xfrm>
          <a:off x="26679525" y="41624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257175</xdr:colOff>
      <xdr:row>19</xdr:row>
      <xdr:rowOff>85724</xdr:rowOff>
    </xdr:from>
    <xdr:to>
      <xdr:col>35</xdr:col>
      <xdr:colOff>457200</xdr:colOff>
      <xdr:row>19</xdr:row>
      <xdr:rowOff>209549</xdr:rowOff>
    </xdr:to>
    <xdr:sp macro="" textlink="">
      <xdr:nvSpPr>
        <xdr:cNvPr id="26" name="Isosceles Triangle 25"/>
        <xdr:cNvSpPr/>
      </xdr:nvSpPr>
      <xdr:spPr>
        <a:xfrm>
          <a:off x="27517725" y="4152899"/>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8" name="Picture 27"/>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484908</xdr:colOff>
      <xdr:row>41</xdr:row>
      <xdr:rowOff>66675</xdr:rowOff>
    </xdr:from>
    <xdr:to>
      <xdr:col>5</xdr:col>
      <xdr:colOff>740352</xdr:colOff>
      <xdr:row>45</xdr:row>
      <xdr:rowOff>45893</xdr:rowOff>
    </xdr:to>
    <xdr:sp macro="" textlink="">
      <xdr:nvSpPr>
        <xdr:cNvPr id="8" name="Down Arrow 7"/>
        <xdr:cNvSpPr/>
      </xdr:nvSpPr>
      <xdr:spPr>
        <a:xfrm>
          <a:off x="4733058" y="7515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837333</xdr:colOff>
      <xdr:row>41</xdr:row>
      <xdr:rowOff>57150</xdr:rowOff>
    </xdr:from>
    <xdr:to>
      <xdr:col>17</xdr:col>
      <xdr:colOff>226002</xdr:colOff>
      <xdr:row>45</xdr:row>
      <xdr:rowOff>36368</xdr:rowOff>
    </xdr:to>
    <xdr:sp macro="" textlink="">
      <xdr:nvSpPr>
        <xdr:cNvPr id="9" name="Down Arrow 8"/>
        <xdr:cNvSpPr/>
      </xdr:nvSpPr>
      <xdr:spPr>
        <a:xfrm>
          <a:off x="137818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770658</xdr:colOff>
      <xdr:row>41</xdr:row>
      <xdr:rowOff>76200</xdr:rowOff>
    </xdr:from>
    <xdr:to>
      <xdr:col>27</xdr:col>
      <xdr:colOff>159327</xdr:colOff>
      <xdr:row>45</xdr:row>
      <xdr:rowOff>55418</xdr:rowOff>
    </xdr:to>
    <xdr:sp macro="" textlink="">
      <xdr:nvSpPr>
        <xdr:cNvPr id="10" name="Down Arrow 9"/>
        <xdr:cNvSpPr/>
      </xdr:nvSpPr>
      <xdr:spPr>
        <a:xfrm>
          <a:off x="2176375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65808</xdr:colOff>
      <xdr:row>41</xdr:row>
      <xdr:rowOff>57150</xdr:rowOff>
    </xdr:from>
    <xdr:to>
      <xdr:col>37</xdr:col>
      <xdr:colOff>321252</xdr:colOff>
      <xdr:row>45</xdr:row>
      <xdr:rowOff>36368</xdr:rowOff>
    </xdr:to>
    <xdr:sp macro="" textlink="">
      <xdr:nvSpPr>
        <xdr:cNvPr id="11" name="Down Arrow 10"/>
        <xdr:cNvSpPr/>
      </xdr:nvSpPr>
      <xdr:spPr>
        <a:xfrm>
          <a:off x="297076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46</xdr:col>
      <xdr:colOff>799233</xdr:colOff>
      <xdr:row>41</xdr:row>
      <xdr:rowOff>76200</xdr:rowOff>
    </xdr:from>
    <xdr:to>
      <xdr:col>47</xdr:col>
      <xdr:colOff>187902</xdr:colOff>
      <xdr:row>45</xdr:row>
      <xdr:rowOff>55418</xdr:rowOff>
    </xdr:to>
    <xdr:sp macro="" textlink="">
      <xdr:nvSpPr>
        <xdr:cNvPr id="12" name="Down Arrow 11"/>
        <xdr:cNvSpPr/>
      </xdr:nvSpPr>
      <xdr:spPr>
        <a:xfrm>
          <a:off x="3786100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15" name="Picture 1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83</xdr:row>
      <xdr:rowOff>66675</xdr:rowOff>
    </xdr:from>
    <xdr:to>
      <xdr:col>9</xdr:col>
      <xdr:colOff>247650</xdr:colOff>
      <xdr:row>83</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562606</xdr:colOff>
      <xdr:row>7</xdr:row>
      <xdr:rowOff>28575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B34"/>
  <sheetViews>
    <sheetView showGridLines="0" workbookViewId="0">
      <selection activeCell="F26" sqref="F26"/>
    </sheetView>
  </sheetViews>
  <sheetFormatPr defaultRowHeight="12.75" x14ac:dyDescent="0.2"/>
  <cols>
    <col min="1" max="1" width="13.6640625" style="1" customWidth="1"/>
    <col min="2" max="16384" width="9.33203125" style="1"/>
  </cols>
  <sheetData>
    <row r="1" spans="1:28" s="536" customFormat="1" x14ac:dyDescent="0.2">
      <c r="A1" s="758" t="s">
        <v>272</v>
      </c>
      <c r="B1" s="758"/>
    </row>
    <row r="2" spans="1:28" s="536" customFormat="1" x14ac:dyDescent="0.2"/>
    <row r="3" spans="1:28" s="536" customFormat="1" x14ac:dyDescent="0.2"/>
    <row r="4" spans="1:28" s="536" customFormat="1" x14ac:dyDescent="0.2"/>
    <row r="5" spans="1:28" s="536" customFormat="1" x14ac:dyDescent="0.2"/>
    <row r="6" spans="1:28" s="536" customFormat="1" x14ac:dyDescent="0.2"/>
    <row r="7" spans="1:28" s="536" customFormat="1" x14ac:dyDescent="0.2"/>
    <row r="8" spans="1:28" s="536" customFormat="1" x14ac:dyDescent="0.2"/>
    <row r="9" spans="1:28" s="536" customFormat="1" x14ac:dyDescent="0.2"/>
    <row r="10" spans="1:28" customFormat="1" ht="12.75" customHeight="1" x14ac:dyDescent="0.2">
      <c r="B10" s="809"/>
      <c r="C10" s="809"/>
      <c r="D10" s="809"/>
      <c r="E10" s="809"/>
      <c r="F10" s="809"/>
      <c r="G10" s="809"/>
      <c r="H10" s="809"/>
      <c r="I10" s="809"/>
      <c r="J10" s="137"/>
      <c r="K10" s="137"/>
      <c r="L10" s="137"/>
      <c r="M10" s="137"/>
    </row>
    <row r="11" spans="1:28" customFormat="1" ht="23.25" x14ac:dyDescent="0.2">
      <c r="B11" s="810" t="s">
        <v>102</v>
      </c>
      <c r="C11" s="810"/>
      <c r="D11" s="810"/>
      <c r="E11" s="810"/>
      <c r="F11" s="810"/>
      <c r="G11" s="810"/>
      <c r="H11" s="810"/>
      <c r="I11" s="810"/>
      <c r="J11" s="137"/>
      <c r="K11" s="137"/>
      <c r="L11" s="137"/>
      <c r="M11" s="137"/>
    </row>
    <row r="12" spans="1:28" x14ac:dyDescent="0.2">
      <c r="M12"/>
    </row>
    <row r="13" spans="1:28" ht="15" x14ac:dyDescent="0.2">
      <c r="B13" s="155" t="s">
        <v>88</v>
      </c>
      <c r="F13" s="811" t="s">
        <v>277</v>
      </c>
      <c r="G13" s="811"/>
      <c r="H13" s="811"/>
      <c r="I13" s="811"/>
      <c r="J13" s="811"/>
      <c r="K13" s="140"/>
      <c r="L13" s="140"/>
      <c r="AB13" s="134"/>
    </row>
    <row r="14" spans="1:28" x14ac:dyDescent="0.2">
      <c r="B14" s="156"/>
      <c r="F14" s="138"/>
      <c r="G14" s="139"/>
      <c r="H14" s="138"/>
      <c r="I14" s="138"/>
      <c r="J14" s="138"/>
      <c r="K14" s="141"/>
      <c r="L14" s="141"/>
      <c r="AB14" s="134"/>
    </row>
    <row r="15" spans="1:28" ht="15" x14ac:dyDescent="0.2">
      <c r="B15" s="155" t="s">
        <v>89</v>
      </c>
      <c r="F15" s="807"/>
      <c r="G15" s="807"/>
      <c r="H15" s="807"/>
      <c r="I15" s="807"/>
      <c r="J15" s="807"/>
      <c r="K15" s="141"/>
      <c r="L15" s="141"/>
      <c r="AB15" s="134"/>
    </row>
    <row r="16" spans="1:28" x14ac:dyDescent="0.2">
      <c r="B16" s="157"/>
      <c r="F16" s="135"/>
      <c r="G16" s="135"/>
      <c r="H16" s="135"/>
      <c r="I16" s="135"/>
      <c r="J16" s="135"/>
      <c r="K16" s="135"/>
      <c r="L16" s="135"/>
      <c r="AB16" s="134"/>
    </row>
    <row r="17" spans="2:28" ht="15" x14ac:dyDescent="0.2">
      <c r="B17" s="155" t="s">
        <v>90</v>
      </c>
      <c r="F17" s="807" t="s">
        <v>278</v>
      </c>
      <c r="G17" s="807"/>
      <c r="H17" s="807"/>
      <c r="I17" s="807"/>
      <c r="J17" s="807"/>
      <c r="K17" s="135"/>
      <c r="L17" s="135"/>
      <c r="AB17" s="134"/>
    </row>
    <row r="18" spans="2:28" x14ac:dyDescent="0.2">
      <c r="B18" s="157"/>
      <c r="F18" s="135"/>
      <c r="G18" s="135"/>
      <c r="H18" s="135"/>
      <c r="I18" s="135"/>
      <c r="J18" s="135"/>
      <c r="K18" s="135"/>
      <c r="L18" s="135"/>
      <c r="AB18" s="134"/>
    </row>
    <row r="19" spans="2:28" ht="15" x14ac:dyDescent="0.2">
      <c r="B19" s="155" t="s">
        <v>91</v>
      </c>
      <c r="F19" s="807" t="s">
        <v>409</v>
      </c>
      <c r="G19" s="807"/>
      <c r="H19" s="807"/>
      <c r="I19" s="807"/>
      <c r="J19" s="807"/>
      <c r="K19" s="808"/>
      <c r="L19" s="808"/>
      <c r="AB19" s="134"/>
    </row>
    <row r="20" spans="2:28" x14ac:dyDescent="0.2">
      <c r="B20" s="156"/>
      <c r="F20" s="142"/>
      <c r="G20" s="143"/>
      <c r="H20" s="142"/>
      <c r="I20" s="142"/>
      <c r="J20" s="142"/>
      <c r="K20" s="135"/>
      <c r="L20" s="135"/>
      <c r="AB20" s="134"/>
    </row>
    <row r="21" spans="2:28" ht="15" x14ac:dyDescent="0.2">
      <c r="B21" s="155" t="s">
        <v>92</v>
      </c>
      <c r="F21" s="807"/>
      <c r="G21" s="807"/>
      <c r="H21" s="807"/>
      <c r="I21" s="807"/>
      <c r="J21" s="807"/>
      <c r="K21" s="135"/>
      <c r="L21" s="135"/>
      <c r="AB21" s="134"/>
    </row>
    <row r="22" spans="2:28" x14ac:dyDescent="0.2">
      <c r="B22" s="156"/>
      <c r="F22" s="142"/>
      <c r="G22" s="143"/>
      <c r="H22" s="142"/>
      <c r="I22" s="142"/>
      <c r="J22" s="142"/>
      <c r="K22" s="135"/>
      <c r="L22" s="135"/>
      <c r="AB22" s="134"/>
    </row>
    <row r="23" spans="2:28" ht="15" x14ac:dyDescent="0.2">
      <c r="B23" s="155" t="s">
        <v>93</v>
      </c>
      <c r="F23" s="806"/>
      <c r="G23" s="807"/>
      <c r="H23" s="807"/>
      <c r="I23" s="807"/>
      <c r="J23" s="807"/>
      <c r="K23" s="135"/>
      <c r="L23" s="135"/>
      <c r="AB23" s="134"/>
    </row>
    <row r="24" spans="2:28" x14ac:dyDescent="0.2">
      <c r="B24" s="156"/>
      <c r="F24" s="142"/>
      <c r="G24" s="143"/>
      <c r="H24" s="142"/>
      <c r="I24" s="142"/>
      <c r="J24" s="142"/>
      <c r="K24" s="135"/>
      <c r="L24" s="135"/>
      <c r="AB24" s="134"/>
    </row>
    <row r="25" spans="2:28" ht="15" x14ac:dyDescent="0.2">
      <c r="B25" s="155" t="s">
        <v>94</v>
      </c>
      <c r="F25" s="159" t="s">
        <v>85</v>
      </c>
      <c r="G25" s="160"/>
      <c r="H25" s="160"/>
      <c r="I25" s="142"/>
      <c r="J25" s="142"/>
      <c r="K25" s="135"/>
      <c r="L25" s="135"/>
      <c r="AB25" s="134"/>
    </row>
    <row r="26" spans="2:28" x14ac:dyDescent="0.2">
      <c r="B26" s="61"/>
      <c r="F26" s="58"/>
      <c r="G26" s="161"/>
      <c r="H26" s="161"/>
      <c r="AB26" s="134"/>
    </row>
    <row r="27" spans="2:28" ht="15" x14ac:dyDescent="0.2">
      <c r="B27" s="155" t="s">
        <v>95</v>
      </c>
      <c r="F27" s="159" t="s">
        <v>410</v>
      </c>
      <c r="G27" s="160"/>
      <c r="H27" s="160"/>
      <c r="AB27" s="134"/>
    </row>
    <row r="28" spans="2:28" x14ac:dyDescent="0.2">
      <c r="B28" s="158"/>
      <c r="F28" s="58"/>
      <c r="G28" s="161"/>
      <c r="H28" s="161"/>
      <c r="AB28" s="134"/>
    </row>
    <row r="29" spans="2:28" ht="15" x14ac:dyDescent="0.2">
      <c r="B29" s="155" t="s">
        <v>96</v>
      </c>
      <c r="F29" s="159" t="s">
        <v>266</v>
      </c>
      <c r="G29" s="160"/>
      <c r="H29" s="160"/>
      <c r="AB29" s="134"/>
    </row>
    <row r="30" spans="2:28" x14ac:dyDescent="0.2">
      <c r="AB30" s="134"/>
    </row>
    <row r="32" spans="2:28" x14ac:dyDescent="0.2">
      <c r="B32" s="177" t="s">
        <v>275</v>
      </c>
      <c r="D32" s="62"/>
    </row>
    <row r="33" spans="2:4" x14ac:dyDescent="0.2">
      <c r="B33" s="1" t="s">
        <v>273</v>
      </c>
      <c r="D33" s="759"/>
    </row>
    <row r="34" spans="2:4" x14ac:dyDescent="0.2">
      <c r="B34" s="1" t="s">
        <v>274</v>
      </c>
      <c r="D34" s="763"/>
    </row>
  </sheetData>
  <mergeCells count="9">
    <mergeCell ref="F23:J23"/>
    <mergeCell ref="K19:L19"/>
    <mergeCell ref="F21:J21"/>
    <mergeCell ref="B10:I10"/>
    <mergeCell ref="B11:I11"/>
    <mergeCell ref="F15:J15"/>
    <mergeCell ref="F17:J17"/>
    <mergeCell ref="F19:J19"/>
    <mergeCell ref="F13:J1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37"/>
  <sheetViews>
    <sheetView showGridLines="0" zoomScaleNormal="100" workbookViewId="0">
      <selection activeCell="B28" sqref="B28"/>
    </sheetView>
  </sheetViews>
  <sheetFormatPr defaultRowHeight="12.75" x14ac:dyDescent="0.2"/>
  <cols>
    <col min="1" max="1" width="13.6640625" customWidth="1"/>
    <col min="2" max="2" width="68.6640625" customWidth="1"/>
    <col min="3" max="3" width="25.1640625" customWidth="1"/>
    <col min="4" max="4" width="29.5" style="136" customWidth="1"/>
    <col min="5" max="5" width="4.83203125" style="136" customWidth="1"/>
    <col min="6" max="6" width="12" style="136" customWidth="1"/>
    <col min="7" max="7" width="18" customWidth="1"/>
    <col min="9" max="9" width="14.83203125" bestFit="1" customWidth="1"/>
    <col min="10" max="10" width="2.1640625" bestFit="1" customWidth="1"/>
  </cols>
  <sheetData>
    <row r="1" spans="1:13" s="536" customFormat="1" x14ac:dyDescent="0.2">
      <c r="A1" s="758" t="s">
        <v>272</v>
      </c>
    </row>
    <row r="2" spans="1:13" s="536" customFormat="1" x14ac:dyDescent="0.2"/>
    <row r="3" spans="1:13" s="536" customFormat="1" x14ac:dyDescent="0.2"/>
    <row r="4" spans="1:13" s="536" customFormat="1" x14ac:dyDescent="0.2"/>
    <row r="5" spans="1:13" s="536" customFormat="1" x14ac:dyDescent="0.2"/>
    <row r="6" spans="1:13" s="536" customFormat="1" x14ac:dyDescent="0.2"/>
    <row r="7" spans="1:13" s="536" customFormat="1" x14ac:dyDescent="0.2"/>
    <row r="8" spans="1:13" s="536" customFormat="1" x14ac:dyDescent="0.2"/>
    <row r="9" spans="1:13" s="536" customFormat="1" x14ac:dyDescent="0.2"/>
    <row r="10" spans="1:13" ht="12.75" customHeight="1" x14ac:dyDescent="0.2">
      <c r="B10" s="809"/>
      <c r="C10" s="809"/>
      <c r="D10" s="809"/>
      <c r="E10" s="809"/>
      <c r="F10" s="809"/>
      <c r="G10" s="809"/>
      <c r="H10" s="809"/>
      <c r="I10" s="809"/>
      <c r="J10" s="514"/>
      <c r="K10" s="514"/>
      <c r="L10" s="514"/>
      <c r="M10" s="514"/>
    </row>
    <row r="11" spans="1:13" ht="23.25" x14ac:dyDescent="0.2">
      <c r="B11" s="810" t="s">
        <v>150</v>
      </c>
      <c r="C11" s="810"/>
      <c r="D11" s="162"/>
      <c r="E11"/>
      <c r="F11" s="137"/>
      <c r="G11" s="137"/>
      <c r="H11" s="137"/>
    </row>
    <row r="12" spans="1:13" ht="18.75" thickBot="1" x14ac:dyDescent="0.25">
      <c r="C12" s="137"/>
      <c r="D12" s="137"/>
      <c r="E12" s="137"/>
      <c r="F12" s="137"/>
      <c r="G12" s="137"/>
      <c r="H12" s="137"/>
      <c r="I12" s="137"/>
      <c r="J12" s="137"/>
    </row>
    <row r="13" spans="1:13" ht="72" customHeight="1" x14ac:dyDescent="0.2">
      <c r="B13" s="739" t="s">
        <v>97</v>
      </c>
      <c r="C13" s="740" t="s">
        <v>127</v>
      </c>
      <c r="D13" s="741" t="s">
        <v>128</v>
      </c>
      <c r="E13"/>
      <c r="F13"/>
    </row>
    <row r="14" spans="1:13" x14ac:dyDescent="0.2">
      <c r="B14" s="735" t="s">
        <v>6</v>
      </c>
      <c r="C14" s="764" t="s">
        <v>126</v>
      </c>
      <c r="D14" s="765" t="s">
        <v>129</v>
      </c>
      <c r="F14" s="812" t="s">
        <v>172</v>
      </c>
      <c r="G14" s="812"/>
      <c r="I14" s="515" t="s">
        <v>36</v>
      </c>
    </row>
    <row r="15" spans="1:13" x14ac:dyDescent="0.2">
      <c r="B15" s="735" t="s">
        <v>98</v>
      </c>
      <c r="C15" s="764" t="s">
        <v>126</v>
      </c>
      <c r="D15" s="765" t="s">
        <v>129</v>
      </c>
      <c r="E15" s="734"/>
      <c r="F15" s="812"/>
      <c r="G15" s="812"/>
      <c r="I15" s="515" t="s">
        <v>36</v>
      </c>
    </row>
    <row r="16" spans="1:13" x14ac:dyDescent="0.2">
      <c r="B16" s="735" t="s">
        <v>105</v>
      </c>
      <c r="C16" s="764" t="s">
        <v>42</v>
      </c>
      <c r="D16" s="765" t="s">
        <v>42</v>
      </c>
      <c r="E16" s="734"/>
      <c r="F16" s="812"/>
      <c r="G16" s="812"/>
      <c r="I16" s="515" t="s">
        <v>36</v>
      </c>
    </row>
    <row r="17" spans="2:9" ht="13.5" thickBot="1" x14ac:dyDescent="0.25">
      <c r="B17" s="736"/>
      <c r="C17" s="766" t="s">
        <v>129</v>
      </c>
      <c r="D17" s="767" t="s">
        <v>129</v>
      </c>
      <c r="E17" s="734"/>
      <c r="F17" s="812"/>
      <c r="G17" s="812"/>
    </row>
    <row r="18" spans="2:9" ht="13.5" customHeight="1" x14ac:dyDescent="0.2">
      <c r="B18" s="737" t="s">
        <v>267</v>
      </c>
      <c r="C18" s="768" t="s">
        <v>126</v>
      </c>
      <c r="D18" s="769" t="s">
        <v>42</v>
      </c>
      <c r="E18"/>
      <c r="F18" s="813" t="s">
        <v>173</v>
      </c>
      <c r="G18" s="813"/>
      <c r="I18" s="515" t="s">
        <v>37</v>
      </c>
    </row>
    <row r="19" spans="2:9" x14ac:dyDescent="0.2">
      <c r="B19" s="738" t="s">
        <v>104</v>
      </c>
      <c r="C19" s="764" t="s">
        <v>42</v>
      </c>
      <c r="D19" s="765" t="s">
        <v>42</v>
      </c>
      <c r="E19"/>
      <c r="F19" s="813"/>
      <c r="G19" s="813"/>
      <c r="I19" s="515" t="s">
        <v>37</v>
      </c>
    </row>
    <row r="20" spans="2:9" ht="13.5" thickBot="1" x14ac:dyDescent="0.25">
      <c r="B20" s="742" t="s">
        <v>87</v>
      </c>
      <c r="C20" s="770" t="s">
        <v>42</v>
      </c>
      <c r="D20" s="771" t="s">
        <v>42</v>
      </c>
      <c r="E20"/>
      <c r="F20" s="813"/>
      <c r="G20" s="813"/>
      <c r="I20" s="515" t="s">
        <v>37</v>
      </c>
    </row>
    <row r="21" spans="2:9" ht="13.5" thickBot="1" x14ac:dyDescent="0.25">
      <c r="B21" s="743"/>
      <c r="C21" s="772" t="s">
        <v>129</v>
      </c>
      <c r="D21" s="773" t="s">
        <v>129</v>
      </c>
      <c r="E21"/>
      <c r="F21" s="508"/>
      <c r="G21" s="508"/>
      <c r="I21" s="515" t="s">
        <v>37</v>
      </c>
    </row>
    <row r="22" spans="2:9" hidden="1" x14ac:dyDescent="0.2">
      <c r="B22" s="505" t="s">
        <v>106</v>
      </c>
      <c r="C22" s="506" t="s">
        <v>129</v>
      </c>
      <c r="D22" s="507" t="s">
        <v>129</v>
      </c>
      <c r="E22"/>
      <c r="F22"/>
    </row>
    <row r="23" spans="2:9" ht="13.5" hidden="1" thickBot="1" x14ac:dyDescent="0.25">
      <c r="B23" s="292" t="s">
        <v>106</v>
      </c>
      <c r="C23" s="290" t="s">
        <v>129</v>
      </c>
      <c r="D23" s="291" t="s">
        <v>129</v>
      </c>
      <c r="E23"/>
      <c r="F23"/>
    </row>
    <row r="24" spans="2:9" x14ac:dyDescent="0.2">
      <c r="D24"/>
      <c r="E24"/>
      <c r="F24"/>
    </row>
    <row r="25" spans="2:9" x14ac:dyDescent="0.2">
      <c r="D25"/>
      <c r="E25"/>
      <c r="F25"/>
    </row>
    <row r="26" spans="2:9" x14ac:dyDescent="0.2">
      <c r="D26"/>
      <c r="E26"/>
      <c r="F26"/>
    </row>
    <row r="27" spans="2:9" x14ac:dyDescent="0.2">
      <c r="D27"/>
      <c r="E27"/>
      <c r="F27"/>
    </row>
    <row r="28" spans="2:9" x14ac:dyDescent="0.2">
      <c r="D28"/>
      <c r="E28"/>
      <c r="F28"/>
    </row>
    <row r="29" spans="2:9" x14ac:dyDescent="0.2">
      <c r="D29"/>
      <c r="E29"/>
      <c r="F29"/>
    </row>
    <row r="30" spans="2:9" x14ac:dyDescent="0.2">
      <c r="D30"/>
      <c r="E30"/>
      <c r="F30"/>
    </row>
    <row r="31" spans="2:9" x14ac:dyDescent="0.2">
      <c r="D31"/>
      <c r="E31"/>
      <c r="F31"/>
    </row>
    <row r="32" spans="2:9" x14ac:dyDescent="0.2">
      <c r="D32"/>
      <c r="E32"/>
      <c r="F32"/>
    </row>
    <row r="33" spans="3:7" x14ac:dyDescent="0.2">
      <c r="D33"/>
      <c r="E33"/>
      <c r="F33"/>
    </row>
    <row r="34" spans="3:7" x14ac:dyDescent="0.2">
      <c r="D34"/>
      <c r="E34"/>
      <c r="F34"/>
    </row>
    <row r="35" spans="3:7" x14ac:dyDescent="0.2">
      <c r="D35"/>
      <c r="E35"/>
      <c r="F35"/>
    </row>
    <row r="36" spans="3:7" x14ac:dyDescent="0.2">
      <c r="C36" s="136"/>
      <c r="F36"/>
    </row>
    <row r="37" spans="3:7" x14ac:dyDescent="0.2">
      <c r="G37" s="515" t="s">
        <v>30</v>
      </c>
    </row>
  </sheetData>
  <mergeCells count="4">
    <mergeCell ref="B11:C11"/>
    <mergeCell ref="F14:G17"/>
    <mergeCell ref="F18:G20"/>
    <mergeCell ref="B10:I10"/>
  </mergeCells>
  <dataValidations count="1">
    <dataValidation type="list" allowBlank="1" showInputMessage="1" showErrorMessage="1" sqref="C14:D23">
      <formula1>"Weather-Sensitive,Non-Weather Sensitive,n/a"</formula1>
    </dataValidation>
  </dataValidations>
  <pageMargins left="0.7" right="0.7" top="0.75" bottom="0.75" header="0.3" footer="0.3"/>
  <pageSetup scale="71"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A174"/>
  <sheetViews>
    <sheetView showGridLines="0" zoomScaleNormal="100" workbookViewId="0">
      <selection activeCell="F54" sqref="F54"/>
    </sheetView>
  </sheetViews>
  <sheetFormatPr defaultRowHeight="12.75" x14ac:dyDescent="0.2"/>
  <cols>
    <col min="1" max="1" width="13.6640625" style="30" customWidth="1"/>
    <col min="2" max="2" width="18" style="30" customWidth="1"/>
    <col min="3" max="3" width="16.83203125" style="32" customWidth="1"/>
    <col min="4" max="4" width="14.1640625" style="32" customWidth="1"/>
    <col min="5" max="5" width="14.1640625" style="31" customWidth="1"/>
    <col min="6" max="6" width="14.1640625" style="32" customWidth="1"/>
    <col min="7" max="7" width="14.1640625" style="31" customWidth="1"/>
    <col min="8" max="8" width="14.1640625" style="32" customWidth="1"/>
    <col min="9" max="9" width="15.1640625" style="31" customWidth="1"/>
    <col min="10" max="10" width="14.1640625" style="31" customWidth="1"/>
    <col min="11" max="11" width="13.33203125" style="31" bestFit="1" customWidth="1"/>
    <col min="12" max="13" width="14.1640625" style="32" customWidth="1"/>
    <col min="14" max="14" width="14.1640625" style="31" customWidth="1"/>
    <col min="15" max="16" width="14.1640625" style="32" customWidth="1"/>
    <col min="17" max="17" width="14.1640625" style="31" customWidth="1"/>
    <col min="18" max="19" width="14.1640625" style="32" customWidth="1"/>
    <col min="20" max="20" width="14.1640625" style="31" customWidth="1"/>
    <col min="21" max="21" width="13.5" style="32" customWidth="1"/>
    <col min="22" max="22" width="13.5" style="537" customWidth="1"/>
    <col min="23" max="23" width="13.5" style="31" customWidth="1"/>
    <col min="24" max="27" width="13.5" style="30" customWidth="1"/>
    <col min="28" max="16384" width="9.33203125" style="30"/>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809"/>
      <c r="C10" s="809"/>
      <c r="D10" s="809"/>
      <c r="E10" s="809"/>
      <c r="F10" s="809"/>
      <c r="G10" s="809"/>
      <c r="H10" s="809"/>
      <c r="I10" s="809"/>
      <c r="J10" s="514"/>
      <c r="K10" s="514"/>
      <c r="L10" s="514"/>
      <c r="M10" s="514"/>
    </row>
    <row r="11" spans="1:23" s="1" customFormat="1" ht="23.25" x14ac:dyDescent="0.2">
      <c r="A11"/>
      <c r="B11" s="133" t="s">
        <v>101</v>
      </c>
      <c r="D11" s="58"/>
      <c r="E11" s="58"/>
      <c r="F11" s="58"/>
      <c r="G11" s="58"/>
      <c r="L11" s="58"/>
      <c r="N11" s="58"/>
      <c r="O11" s="58"/>
      <c r="Q11" s="58"/>
      <c r="V11" s="536"/>
    </row>
    <row r="12" spans="1:23" ht="15" x14ac:dyDescent="0.2">
      <c r="B12" s="63" t="s">
        <v>64</v>
      </c>
      <c r="C12" s="30"/>
      <c r="D12" s="99"/>
      <c r="E12" s="99"/>
      <c r="F12" s="99"/>
      <c r="G12" s="99"/>
      <c r="H12"/>
      <c r="L12" s="99"/>
      <c r="M12" s="99"/>
      <c r="N12" s="99"/>
      <c r="O12" s="99"/>
      <c r="P12" s="99"/>
      <c r="Q12" s="99"/>
      <c r="R12" s="99"/>
      <c r="T12" s="537"/>
      <c r="U12" s="31"/>
      <c r="V12" s="30"/>
      <c r="W12" s="30"/>
    </row>
    <row r="13" spans="1:23" ht="14.25" x14ac:dyDescent="0.2">
      <c r="B13" s="100" t="s">
        <v>68</v>
      </c>
      <c r="C13" s="30"/>
      <c r="D13" s="100"/>
      <c r="E13" s="100"/>
      <c r="F13" s="100"/>
      <c r="G13" s="99"/>
      <c r="L13" s="99"/>
      <c r="M13" s="99"/>
      <c r="N13" s="99"/>
      <c r="O13" s="99"/>
      <c r="P13" s="99"/>
      <c r="Q13" s="99"/>
      <c r="R13" s="99"/>
      <c r="T13" s="537"/>
      <c r="U13" s="31"/>
      <c r="V13" s="30"/>
      <c r="W13" s="30"/>
    </row>
    <row r="14" spans="1:23" ht="14.25" x14ac:dyDescent="0.2">
      <c r="B14" s="100" t="s">
        <v>67</v>
      </c>
      <c r="C14" s="30"/>
      <c r="D14" s="100"/>
      <c r="E14" s="100"/>
      <c r="F14" s="100"/>
      <c r="G14" s="99"/>
      <c r="L14" s="99"/>
      <c r="M14" s="99"/>
      <c r="N14" s="99"/>
      <c r="O14" s="99"/>
      <c r="P14" s="99"/>
      <c r="Q14" s="99"/>
      <c r="R14" s="99"/>
      <c r="S14" s="99"/>
      <c r="T14" s="99"/>
    </row>
    <row r="15" spans="1:23" ht="14.25" x14ac:dyDescent="0.2">
      <c r="B15" s="100" t="s">
        <v>69</v>
      </c>
      <c r="C15" s="30"/>
      <c r="D15" s="100"/>
      <c r="E15" s="100"/>
      <c r="F15" s="100"/>
      <c r="G15" s="99"/>
      <c r="L15" s="99"/>
      <c r="M15" s="99"/>
      <c r="N15" s="99"/>
      <c r="O15" s="99"/>
      <c r="P15" s="99"/>
      <c r="Q15" s="99"/>
      <c r="R15" s="99"/>
      <c r="S15" s="99"/>
      <c r="T15" s="99"/>
    </row>
    <row r="16" spans="1:23" ht="14.25" x14ac:dyDescent="0.2">
      <c r="B16" s="100" t="s">
        <v>66</v>
      </c>
      <c r="C16" s="30"/>
      <c r="D16" s="100"/>
      <c r="E16" s="100"/>
      <c r="F16" s="100"/>
      <c r="G16" s="99"/>
      <c r="L16" s="99"/>
      <c r="M16" s="99"/>
      <c r="N16" s="99"/>
      <c r="O16" s="99"/>
      <c r="P16" s="99"/>
      <c r="Q16" s="99"/>
      <c r="R16" s="99"/>
      <c r="S16" s="99"/>
      <c r="T16" s="99"/>
    </row>
    <row r="17" spans="2:27" ht="14.25" x14ac:dyDescent="0.2">
      <c r="C17" s="100"/>
      <c r="D17" s="100"/>
      <c r="E17" s="100"/>
      <c r="F17" s="100"/>
      <c r="G17" s="99"/>
      <c r="L17" s="99"/>
      <c r="M17" s="99"/>
      <c r="N17" s="99"/>
      <c r="O17" s="99"/>
      <c r="P17" s="99"/>
      <c r="Q17" s="99"/>
      <c r="R17" s="99"/>
      <c r="S17" s="99"/>
      <c r="T17" s="99"/>
    </row>
    <row r="18" spans="2:27" ht="15" x14ac:dyDescent="0.25">
      <c r="B18" s="101" t="s">
        <v>65</v>
      </c>
      <c r="C18" s="30"/>
      <c r="D18" s="101"/>
      <c r="E18" s="100"/>
      <c r="F18" s="100"/>
      <c r="G18" s="99"/>
      <c r="L18" s="99"/>
      <c r="M18" s="99"/>
      <c r="N18" s="99"/>
      <c r="O18" s="99"/>
      <c r="P18" s="99"/>
      <c r="Q18" s="99"/>
      <c r="R18" s="99"/>
      <c r="S18" s="99"/>
      <c r="T18" s="99"/>
    </row>
    <row r="19" spans="2:27" ht="13.5" thickBot="1" x14ac:dyDescent="0.25"/>
    <row r="20" spans="2:27" ht="12.75" customHeight="1" x14ac:dyDescent="0.2">
      <c r="B20" s="33"/>
      <c r="C20" s="33"/>
      <c r="D20" s="823" t="str">
        <f>'2. Customer Classes'!B14</f>
        <v>Residential</v>
      </c>
      <c r="E20" s="824"/>
      <c r="F20" s="823" t="str">
        <f>'2. Customer Classes'!B15</f>
        <v>General Service &lt; 50 kW</v>
      </c>
      <c r="G20" s="824"/>
      <c r="H20" s="826" t="str">
        <f>+'2. Customer Classes'!B16</f>
        <v>Unmetered Scattered Load</v>
      </c>
      <c r="I20" s="827"/>
      <c r="J20" s="828">
        <f>+'2. Customer Classes'!B17</f>
        <v>0</v>
      </c>
      <c r="K20" s="818"/>
      <c r="L20" s="823" t="str">
        <f>'2. Customer Classes'!B18</f>
        <v>General Service &gt; 50 kW - 4999 kW</v>
      </c>
      <c r="M20" s="825"/>
      <c r="N20" s="824"/>
      <c r="O20" s="814" t="str">
        <f>'2. Customer Classes'!B19</f>
        <v>Streetlighting</v>
      </c>
      <c r="P20" s="815"/>
      <c r="Q20" s="816"/>
      <c r="R20" s="814" t="str">
        <f>'2. Customer Classes'!B20</f>
        <v>Sentinel Lighting</v>
      </c>
      <c r="S20" s="815"/>
      <c r="T20" s="816"/>
      <c r="U20" s="817">
        <f>'2. Customer Classes'!B21</f>
        <v>0</v>
      </c>
      <c r="V20" s="821"/>
      <c r="W20" s="818"/>
      <c r="X20" s="817" t="str">
        <f>'2. Customer Classes'!B22</f>
        <v>other</v>
      </c>
      <c r="Y20" s="818"/>
      <c r="Z20" s="817" t="str">
        <f>'2. Customer Classes'!B23</f>
        <v>other</v>
      </c>
      <c r="AA20" s="818"/>
    </row>
    <row r="21" spans="2:27" ht="12.75" customHeight="1" x14ac:dyDescent="0.2">
      <c r="B21" s="165"/>
      <c r="C21" s="165"/>
      <c r="D21" s="819" t="s">
        <v>121</v>
      </c>
      <c r="E21" s="820"/>
      <c r="F21" s="819" t="s">
        <v>121</v>
      </c>
      <c r="G21" s="820"/>
      <c r="H21" s="819" t="s">
        <v>121</v>
      </c>
      <c r="I21" s="820"/>
      <c r="J21" s="819" t="s">
        <v>121</v>
      </c>
      <c r="K21" s="820"/>
      <c r="L21" s="819" t="s">
        <v>121</v>
      </c>
      <c r="M21" s="822"/>
      <c r="N21" s="820"/>
      <c r="O21" s="819" t="s">
        <v>121</v>
      </c>
      <c r="P21" s="822"/>
      <c r="Q21" s="820"/>
      <c r="R21" s="819" t="s">
        <v>121</v>
      </c>
      <c r="S21" s="822"/>
      <c r="T21" s="820"/>
      <c r="U21" s="819" t="s">
        <v>121</v>
      </c>
      <c r="V21" s="822"/>
      <c r="W21" s="820"/>
      <c r="X21" s="819" t="s">
        <v>121</v>
      </c>
      <c r="Y21" s="820"/>
      <c r="Z21" s="819" t="s">
        <v>121</v>
      </c>
      <c r="AA21" s="820"/>
    </row>
    <row r="22" spans="2:27" x14ac:dyDescent="0.2">
      <c r="B22" s="34"/>
      <c r="C22" s="34"/>
      <c r="D22" s="35"/>
      <c r="E22" s="36" t="s">
        <v>35</v>
      </c>
      <c r="F22" s="35"/>
      <c r="G22" s="36" t="s">
        <v>35</v>
      </c>
      <c r="H22" s="35"/>
      <c r="I22" s="36" t="s">
        <v>35</v>
      </c>
      <c r="J22" s="35"/>
      <c r="K22" s="36" t="s">
        <v>35</v>
      </c>
      <c r="L22" s="35"/>
      <c r="M22" s="19"/>
      <c r="N22" s="36" t="s">
        <v>35</v>
      </c>
      <c r="O22" s="35"/>
      <c r="P22" s="19"/>
      <c r="Q22" s="36" t="s">
        <v>35</v>
      </c>
      <c r="R22" s="35"/>
      <c r="S22" s="19"/>
      <c r="T22" s="36" t="s">
        <v>35</v>
      </c>
      <c r="U22" s="35"/>
      <c r="V22" s="518"/>
      <c r="W22" s="36" t="s">
        <v>35</v>
      </c>
      <c r="X22" s="35"/>
      <c r="Y22" s="36" t="s">
        <v>35</v>
      </c>
      <c r="Z22" s="35"/>
      <c r="AA22" s="36" t="s">
        <v>35</v>
      </c>
    </row>
    <row r="23" spans="2:27" ht="13.5" thickBot="1" x14ac:dyDescent="0.25">
      <c r="B23" s="37"/>
      <c r="C23" s="37"/>
      <c r="D23" s="38" t="s">
        <v>36</v>
      </c>
      <c r="E23" s="39" t="s">
        <v>0</v>
      </c>
      <c r="F23" s="38" t="s">
        <v>36</v>
      </c>
      <c r="G23" s="39" t="s">
        <v>0</v>
      </c>
      <c r="H23" s="40" t="s">
        <v>36</v>
      </c>
      <c r="I23" s="41" t="s">
        <v>0</v>
      </c>
      <c r="J23" s="40" t="s">
        <v>36</v>
      </c>
      <c r="K23" s="41" t="s">
        <v>0</v>
      </c>
      <c r="L23" s="38" t="s">
        <v>36</v>
      </c>
      <c r="M23" s="23" t="s">
        <v>37</v>
      </c>
      <c r="N23" s="39" t="s">
        <v>0</v>
      </c>
      <c r="O23" s="38" t="s">
        <v>36</v>
      </c>
      <c r="P23" s="23" t="s">
        <v>37</v>
      </c>
      <c r="Q23" s="39" t="s">
        <v>0</v>
      </c>
      <c r="R23" s="38" t="s">
        <v>36</v>
      </c>
      <c r="S23" s="23" t="s">
        <v>37</v>
      </c>
      <c r="T23" s="39" t="s">
        <v>0</v>
      </c>
      <c r="U23" s="40" t="s">
        <v>36</v>
      </c>
      <c r="V23" s="538" t="s">
        <v>37</v>
      </c>
      <c r="W23" s="41" t="s">
        <v>0</v>
      </c>
      <c r="X23" s="40" t="s">
        <v>36</v>
      </c>
      <c r="Y23" s="41" t="s">
        <v>0</v>
      </c>
      <c r="Z23" s="40" t="s">
        <v>36</v>
      </c>
      <c r="AA23" s="41" t="s">
        <v>0</v>
      </c>
    </row>
    <row r="24" spans="2:27" ht="15.75" customHeight="1" thickBot="1" x14ac:dyDescent="0.25">
      <c r="B24" s="33" t="s">
        <v>33</v>
      </c>
      <c r="C24" s="33" t="s">
        <v>107</v>
      </c>
      <c r="D24" s="286"/>
      <c r="E24" s="287"/>
      <c r="F24" s="286"/>
      <c r="G24" s="287"/>
      <c r="H24" s="288"/>
      <c r="I24" s="287"/>
      <c r="J24" s="288"/>
      <c r="K24" s="287"/>
      <c r="L24" s="286"/>
      <c r="M24" s="289"/>
      <c r="N24" s="287"/>
      <c r="O24" s="286"/>
      <c r="P24" s="289"/>
      <c r="Q24" s="287"/>
      <c r="R24" s="286"/>
      <c r="S24" s="289"/>
      <c r="T24" s="287"/>
      <c r="U24" s="43"/>
      <c r="V24" s="539"/>
      <c r="W24" s="42"/>
      <c r="X24" s="43"/>
      <c r="Y24" s="42"/>
      <c r="Z24" s="43"/>
      <c r="AA24" s="42"/>
    </row>
    <row r="25" spans="2:27" x14ac:dyDescent="0.2">
      <c r="B25" s="166">
        <f>'1. LDC Info'!$F$27-11</f>
        <v>2005</v>
      </c>
      <c r="C25" s="44" t="s">
        <v>112</v>
      </c>
      <c r="D25" s="523"/>
      <c r="E25" s="541"/>
      <c r="F25" s="523"/>
      <c r="G25" s="541"/>
      <c r="H25" s="543"/>
      <c r="I25" s="541"/>
      <c r="J25" s="543"/>
      <c r="K25" s="541"/>
      <c r="L25" s="523"/>
      <c r="M25" s="542"/>
      <c r="N25" s="541"/>
      <c r="O25" s="523"/>
      <c r="P25" s="542"/>
      <c r="Q25" s="541"/>
      <c r="R25" s="543"/>
      <c r="S25" s="542"/>
      <c r="T25" s="541"/>
      <c r="U25" s="543"/>
      <c r="V25" s="542"/>
      <c r="W25" s="541"/>
      <c r="X25" s="224"/>
      <c r="Y25" s="222"/>
      <c r="Z25" s="224"/>
      <c r="AA25" s="46"/>
    </row>
    <row r="26" spans="2:27" x14ac:dyDescent="0.2">
      <c r="B26" s="166">
        <f>'1. LDC Info'!$F$27-11</f>
        <v>2005</v>
      </c>
      <c r="C26" s="44" t="s">
        <v>113</v>
      </c>
      <c r="D26" s="523"/>
      <c r="E26" s="541"/>
      <c r="F26" s="523"/>
      <c r="G26" s="541"/>
      <c r="H26" s="543"/>
      <c r="I26" s="541"/>
      <c r="J26" s="543"/>
      <c r="K26" s="541"/>
      <c r="L26" s="523"/>
      <c r="M26" s="542"/>
      <c r="N26" s="541"/>
      <c r="O26" s="523"/>
      <c r="P26" s="542"/>
      <c r="Q26" s="541"/>
      <c r="R26" s="543"/>
      <c r="S26" s="542"/>
      <c r="T26" s="541"/>
      <c r="U26" s="543"/>
      <c r="V26" s="542"/>
      <c r="W26" s="541"/>
      <c r="X26" s="224"/>
      <c r="Y26" s="222"/>
      <c r="Z26" s="224"/>
      <c r="AA26" s="46"/>
    </row>
    <row r="27" spans="2:27" x14ac:dyDescent="0.2">
      <c r="B27" s="166">
        <f>'1. LDC Info'!$F$27-11</f>
        <v>2005</v>
      </c>
      <c r="C27" s="44" t="s">
        <v>114</v>
      </c>
      <c r="D27" s="523"/>
      <c r="E27" s="541"/>
      <c r="F27" s="523"/>
      <c r="G27" s="541"/>
      <c r="H27" s="543"/>
      <c r="I27" s="541"/>
      <c r="J27" s="543"/>
      <c r="K27" s="541"/>
      <c r="L27" s="523"/>
      <c r="M27" s="542"/>
      <c r="N27" s="541"/>
      <c r="O27" s="523"/>
      <c r="P27" s="542"/>
      <c r="Q27" s="541"/>
      <c r="R27" s="543"/>
      <c r="S27" s="542"/>
      <c r="T27" s="541"/>
      <c r="U27" s="543"/>
      <c r="V27" s="542"/>
      <c r="W27" s="541"/>
      <c r="X27" s="224"/>
      <c r="Y27" s="222"/>
      <c r="Z27" s="224"/>
      <c r="AA27" s="46"/>
    </row>
    <row r="28" spans="2:27" x14ac:dyDescent="0.2">
      <c r="B28" s="166">
        <f>'1. LDC Info'!$F$27-11</f>
        <v>2005</v>
      </c>
      <c r="C28" s="44" t="s">
        <v>115</v>
      </c>
      <c r="D28" s="523"/>
      <c r="E28" s="541"/>
      <c r="F28" s="523"/>
      <c r="G28" s="541"/>
      <c r="H28" s="543"/>
      <c r="I28" s="541"/>
      <c r="J28" s="543"/>
      <c r="K28" s="541"/>
      <c r="L28" s="523"/>
      <c r="M28" s="542"/>
      <c r="N28" s="541"/>
      <c r="O28" s="523"/>
      <c r="P28" s="542"/>
      <c r="Q28" s="541"/>
      <c r="R28" s="543"/>
      <c r="S28" s="542"/>
      <c r="T28" s="541"/>
      <c r="U28" s="543"/>
      <c r="V28" s="542"/>
      <c r="W28" s="541"/>
      <c r="X28" s="224"/>
      <c r="Y28" s="222"/>
      <c r="Z28" s="224"/>
      <c r="AA28" s="46"/>
    </row>
    <row r="29" spans="2:27" x14ac:dyDescent="0.2">
      <c r="B29" s="166">
        <f>'1. LDC Info'!$F$27-11</f>
        <v>2005</v>
      </c>
      <c r="C29" s="44" t="s">
        <v>116</v>
      </c>
      <c r="D29" s="523"/>
      <c r="E29" s="541"/>
      <c r="F29" s="523"/>
      <c r="G29" s="541"/>
      <c r="H29" s="543"/>
      <c r="I29" s="541"/>
      <c r="J29" s="543"/>
      <c r="K29" s="541"/>
      <c r="L29" s="523"/>
      <c r="M29" s="542"/>
      <c r="N29" s="541"/>
      <c r="O29" s="523"/>
      <c r="P29" s="542"/>
      <c r="Q29" s="541"/>
      <c r="R29" s="543"/>
      <c r="S29" s="542"/>
      <c r="T29" s="541"/>
      <c r="U29" s="543"/>
      <c r="V29" s="542"/>
      <c r="W29" s="541"/>
      <c r="X29" s="224"/>
      <c r="Y29" s="222"/>
      <c r="Z29" s="224"/>
      <c r="AA29" s="46"/>
    </row>
    <row r="30" spans="2:27" x14ac:dyDescent="0.2">
      <c r="B30" s="166">
        <f>'1. LDC Info'!$F$27-11</f>
        <v>2005</v>
      </c>
      <c r="C30" s="44" t="s">
        <v>117</v>
      </c>
      <c r="D30" s="523"/>
      <c r="E30" s="541"/>
      <c r="F30" s="523"/>
      <c r="G30" s="541"/>
      <c r="H30" s="543"/>
      <c r="I30" s="541"/>
      <c r="J30" s="543"/>
      <c r="K30" s="541"/>
      <c r="L30" s="523"/>
      <c r="M30" s="542"/>
      <c r="N30" s="541"/>
      <c r="O30" s="523"/>
      <c r="P30" s="542"/>
      <c r="Q30" s="541"/>
      <c r="R30" s="543"/>
      <c r="S30" s="542"/>
      <c r="T30" s="541"/>
      <c r="U30" s="543"/>
      <c r="V30" s="542"/>
      <c r="W30" s="541"/>
      <c r="X30" s="224"/>
      <c r="Y30" s="222"/>
      <c r="Z30" s="224"/>
      <c r="AA30" s="46"/>
    </row>
    <row r="31" spans="2:27" x14ac:dyDescent="0.2">
      <c r="B31" s="166">
        <f>'1. LDC Info'!$F$27-11</f>
        <v>2005</v>
      </c>
      <c r="C31" s="44" t="s">
        <v>118</v>
      </c>
      <c r="D31" s="523"/>
      <c r="E31" s="541"/>
      <c r="F31" s="523"/>
      <c r="G31" s="541"/>
      <c r="H31" s="543"/>
      <c r="I31" s="541"/>
      <c r="J31" s="543"/>
      <c r="K31" s="541"/>
      <c r="L31" s="523"/>
      <c r="M31" s="542"/>
      <c r="N31" s="541"/>
      <c r="O31" s="523"/>
      <c r="P31" s="542"/>
      <c r="Q31" s="541"/>
      <c r="R31" s="543"/>
      <c r="S31" s="542"/>
      <c r="T31" s="541"/>
      <c r="U31" s="543"/>
      <c r="V31" s="542"/>
      <c r="W31" s="541"/>
      <c r="X31" s="224"/>
      <c r="Y31" s="222"/>
      <c r="Z31" s="224"/>
      <c r="AA31" s="46"/>
    </row>
    <row r="32" spans="2:27" x14ac:dyDescent="0.2">
      <c r="B32" s="166">
        <f>'1. LDC Info'!$F$27-11</f>
        <v>2005</v>
      </c>
      <c r="C32" s="44" t="s">
        <v>119</v>
      </c>
      <c r="D32" s="523"/>
      <c r="E32" s="541"/>
      <c r="F32" s="523"/>
      <c r="G32" s="541"/>
      <c r="H32" s="543"/>
      <c r="I32" s="541"/>
      <c r="J32" s="543"/>
      <c r="K32" s="541"/>
      <c r="L32" s="523"/>
      <c r="M32" s="542"/>
      <c r="N32" s="541"/>
      <c r="O32" s="523"/>
      <c r="P32" s="542"/>
      <c r="Q32" s="541"/>
      <c r="R32" s="543"/>
      <c r="S32" s="542"/>
      <c r="T32" s="541"/>
      <c r="U32" s="543"/>
      <c r="V32" s="542"/>
      <c r="W32" s="541"/>
      <c r="X32" s="224"/>
      <c r="Y32" s="222"/>
      <c r="Z32" s="224"/>
      <c r="AA32" s="46"/>
    </row>
    <row r="33" spans="2:27" x14ac:dyDescent="0.2">
      <c r="B33" s="166">
        <f>'1. LDC Info'!$F$27-11</f>
        <v>2005</v>
      </c>
      <c r="C33" s="44" t="s">
        <v>109</v>
      </c>
      <c r="D33" s="523"/>
      <c r="E33" s="541"/>
      <c r="F33" s="523"/>
      <c r="G33" s="541"/>
      <c r="H33" s="543"/>
      <c r="I33" s="541"/>
      <c r="J33" s="543"/>
      <c r="K33" s="541"/>
      <c r="L33" s="523"/>
      <c r="M33" s="542"/>
      <c r="N33" s="541"/>
      <c r="O33" s="523"/>
      <c r="P33" s="542"/>
      <c r="Q33" s="541"/>
      <c r="R33" s="543"/>
      <c r="S33" s="542"/>
      <c r="T33" s="541"/>
      <c r="U33" s="543"/>
      <c r="V33" s="542"/>
      <c r="W33" s="541"/>
      <c r="X33" s="224"/>
      <c r="Y33" s="222"/>
      <c r="Z33" s="224"/>
      <c r="AA33" s="46"/>
    </row>
    <row r="34" spans="2:27" x14ac:dyDescent="0.2">
      <c r="B34" s="166">
        <f>'1. LDC Info'!$F$27-11</f>
        <v>2005</v>
      </c>
      <c r="C34" s="44" t="s">
        <v>110</v>
      </c>
      <c r="D34" s="523"/>
      <c r="E34" s="541"/>
      <c r="F34" s="523"/>
      <c r="G34" s="541"/>
      <c r="H34" s="543"/>
      <c r="I34" s="541"/>
      <c r="J34" s="543"/>
      <c r="K34" s="541"/>
      <c r="L34" s="523"/>
      <c r="M34" s="542"/>
      <c r="N34" s="541"/>
      <c r="O34" s="523"/>
      <c r="P34" s="542"/>
      <c r="Q34" s="541"/>
      <c r="R34" s="543"/>
      <c r="S34" s="542"/>
      <c r="T34" s="541"/>
      <c r="U34" s="543"/>
      <c r="V34" s="542"/>
      <c r="W34" s="541"/>
      <c r="X34" s="224"/>
      <c r="Y34" s="222"/>
      <c r="Z34" s="224"/>
      <c r="AA34" s="46"/>
    </row>
    <row r="35" spans="2:27" x14ac:dyDescent="0.2">
      <c r="B35" s="166">
        <f>'1. LDC Info'!$F$27-11</f>
        <v>2005</v>
      </c>
      <c r="C35" s="44" t="s">
        <v>111</v>
      </c>
      <c r="D35" s="523"/>
      <c r="E35" s="541"/>
      <c r="F35" s="523"/>
      <c r="G35" s="541"/>
      <c r="H35" s="543"/>
      <c r="I35" s="541"/>
      <c r="J35" s="543"/>
      <c r="K35" s="541"/>
      <c r="L35" s="523"/>
      <c r="M35" s="542"/>
      <c r="N35" s="541"/>
      <c r="O35" s="523"/>
      <c r="P35" s="542"/>
      <c r="Q35" s="541"/>
      <c r="R35" s="543"/>
      <c r="S35" s="542"/>
      <c r="T35" s="541"/>
      <c r="U35" s="543"/>
      <c r="V35" s="542"/>
      <c r="W35" s="541"/>
      <c r="X35" s="224"/>
      <c r="Y35" s="222"/>
      <c r="Z35" s="224"/>
      <c r="AA35" s="46"/>
    </row>
    <row r="36" spans="2:27" x14ac:dyDescent="0.2">
      <c r="B36" s="166">
        <f>'1. LDC Info'!$F$27-11</f>
        <v>2005</v>
      </c>
      <c r="C36" s="44" t="s">
        <v>108</v>
      </c>
      <c r="D36" s="523">
        <v>76867401</v>
      </c>
      <c r="E36" s="541">
        <v>8625</v>
      </c>
      <c r="F36" s="523">
        <v>43814909</v>
      </c>
      <c r="G36" s="541">
        <v>1496</v>
      </c>
      <c r="H36" s="543">
        <v>593390</v>
      </c>
      <c r="I36" s="541">
        <v>17</v>
      </c>
      <c r="J36" s="543"/>
      <c r="K36" s="541"/>
      <c r="L36" s="523">
        <v>74429057</v>
      </c>
      <c r="M36" s="542">
        <v>212943</v>
      </c>
      <c r="N36" s="541">
        <v>134</v>
      </c>
      <c r="O36" s="523">
        <v>2426613</v>
      </c>
      <c r="P36" s="542">
        <v>6774</v>
      </c>
      <c r="Q36" s="541">
        <v>2604</v>
      </c>
      <c r="R36" s="543">
        <v>284178</v>
      </c>
      <c r="S36" s="542">
        <v>783</v>
      </c>
      <c r="T36" s="541">
        <v>250</v>
      </c>
      <c r="U36" s="543"/>
      <c r="V36" s="542"/>
      <c r="W36" s="541"/>
      <c r="X36" s="224"/>
      <c r="Y36" s="222"/>
      <c r="Z36" s="224"/>
      <c r="AA36" s="46"/>
    </row>
    <row r="37" spans="2:27" x14ac:dyDescent="0.2">
      <c r="B37" s="166">
        <f>'1. LDC Info'!$F$27-10</f>
        <v>2006</v>
      </c>
      <c r="C37" s="44" t="s">
        <v>112</v>
      </c>
      <c r="D37" s="523"/>
      <c r="E37" s="541"/>
      <c r="F37" s="523"/>
      <c r="G37" s="541"/>
      <c r="H37" s="544"/>
      <c r="I37" s="541"/>
      <c r="J37" s="544"/>
      <c r="K37" s="541"/>
      <c r="L37" s="523"/>
      <c r="M37" s="542"/>
      <c r="N37" s="541"/>
      <c r="O37" s="523"/>
      <c r="P37" s="542"/>
      <c r="Q37" s="541"/>
      <c r="R37" s="543"/>
      <c r="S37" s="542"/>
      <c r="T37" s="541"/>
      <c r="U37" s="544"/>
      <c r="V37" s="542"/>
      <c r="W37" s="541"/>
      <c r="X37" s="224"/>
      <c r="Y37" s="222"/>
      <c r="Z37" s="224"/>
      <c r="AA37" s="46"/>
    </row>
    <row r="38" spans="2:27" x14ac:dyDescent="0.2">
      <c r="B38" s="166">
        <f>'1. LDC Info'!$F$27-10</f>
        <v>2006</v>
      </c>
      <c r="C38" s="44" t="s">
        <v>113</v>
      </c>
      <c r="D38" s="523"/>
      <c r="E38" s="541"/>
      <c r="F38" s="523"/>
      <c r="G38" s="541"/>
      <c r="H38" s="544"/>
      <c r="I38" s="541"/>
      <c r="J38" s="544"/>
      <c r="K38" s="541"/>
      <c r="L38" s="523"/>
      <c r="M38" s="542"/>
      <c r="N38" s="541"/>
      <c r="O38" s="523"/>
      <c r="P38" s="542"/>
      <c r="Q38" s="541"/>
      <c r="R38" s="543"/>
      <c r="S38" s="542"/>
      <c r="T38" s="541"/>
      <c r="U38" s="544"/>
      <c r="V38" s="542"/>
      <c r="W38" s="541"/>
      <c r="X38" s="224"/>
      <c r="Y38" s="222"/>
      <c r="Z38" s="224"/>
      <c r="AA38" s="46"/>
    </row>
    <row r="39" spans="2:27" x14ac:dyDescent="0.2">
      <c r="B39" s="166">
        <f>'1. LDC Info'!$F$27-10</f>
        <v>2006</v>
      </c>
      <c r="C39" s="44" t="s">
        <v>114</v>
      </c>
      <c r="D39" s="523"/>
      <c r="E39" s="541"/>
      <c r="F39" s="523"/>
      <c r="G39" s="541"/>
      <c r="H39" s="544"/>
      <c r="I39" s="541"/>
      <c r="J39" s="544"/>
      <c r="K39" s="541"/>
      <c r="L39" s="523"/>
      <c r="M39" s="542"/>
      <c r="N39" s="541"/>
      <c r="O39" s="523"/>
      <c r="P39" s="542"/>
      <c r="Q39" s="541"/>
      <c r="R39" s="543"/>
      <c r="S39" s="542"/>
      <c r="T39" s="541"/>
      <c r="U39" s="544"/>
      <c r="V39" s="542"/>
      <c r="W39" s="541"/>
      <c r="X39" s="224"/>
      <c r="Y39" s="222"/>
      <c r="Z39" s="224"/>
      <c r="AA39" s="46"/>
    </row>
    <row r="40" spans="2:27" x14ac:dyDescent="0.2">
      <c r="B40" s="166">
        <f>'1. LDC Info'!$F$27-10</f>
        <v>2006</v>
      </c>
      <c r="C40" s="44" t="s">
        <v>115</v>
      </c>
      <c r="D40" s="523"/>
      <c r="E40" s="541"/>
      <c r="F40" s="523"/>
      <c r="G40" s="541"/>
      <c r="H40" s="544"/>
      <c r="I40" s="541"/>
      <c r="J40" s="544"/>
      <c r="K40" s="541"/>
      <c r="L40" s="523"/>
      <c r="M40" s="542"/>
      <c r="N40" s="541"/>
      <c r="O40" s="523"/>
      <c r="P40" s="542"/>
      <c r="Q40" s="541"/>
      <c r="R40" s="543"/>
      <c r="S40" s="542"/>
      <c r="T40" s="541"/>
      <c r="U40" s="544"/>
      <c r="V40" s="542"/>
      <c r="W40" s="541"/>
      <c r="X40" s="224"/>
      <c r="Y40" s="222"/>
      <c r="Z40" s="224"/>
      <c r="AA40" s="46"/>
    </row>
    <row r="41" spans="2:27" x14ac:dyDescent="0.2">
      <c r="B41" s="166">
        <f>'1. LDC Info'!$F$27-10</f>
        <v>2006</v>
      </c>
      <c r="C41" s="44" t="s">
        <v>116</v>
      </c>
      <c r="D41" s="523"/>
      <c r="E41" s="541"/>
      <c r="F41" s="523"/>
      <c r="G41" s="541"/>
      <c r="H41" s="544"/>
      <c r="I41" s="541"/>
      <c r="J41" s="544"/>
      <c r="K41" s="541"/>
      <c r="L41" s="523"/>
      <c r="M41" s="542"/>
      <c r="N41" s="541"/>
      <c r="O41" s="523"/>
      <c r="P41" s="542"/>
      <c r="Q41" s="541"/>
      <c r="R41" s="543"/>
      <c r="S41" s="542"/>
      <c r="T41" s="541"/>
      <c r="U41" s="544"/>
      <c r="V41" s="542"/>
      <c r="W41" s="541"/>
      <c r="X41" s="224"/>
      <c r="Y41" s="222"/>
      <c r="Z41" s="224"/>
      <c r="AA41" s="46"/>
    </row>
    <row r="42" spans="2:27" x14ac:dyDescent="0.2">
      <c r="B42" s="166">
        <f>'1. LDC Info'!$F$27-10</f>
        <v>2006</v>
      </c>
      <c r="C42" s="44" t="s">
        <v>117</v>
      </c>
      <c r="D42" s="523"/>
      <c r="E42" s="541"/>
      <c r="F42" s="523"/>
      <c r="G42" s="541"/>
      <c r="H42" s="544"/>
      <c r="I42" s="541"/>
      <c r="J42" s="544"/>
      <c r="K42" s="541"/>
      <c r="L42" s="523"/>
      <c r="M42" s="542"/>
      <c r="N42" s="541"/>
      <c r="O42" s="523"/>
      <c r="P42" s="542"/>
      <c r="Q42" s="541"/>
      <c r="R42" s="543"/>
      <c r="S42" s="542"/>
      <c r="T42" s="541"/>
      <c r="U42" s="544"/>
      <c r="V42" s="542"/>
      <c r="W42" s="541"/>
      <c r="X42" s="224"/>
      <c r="Y42" s="222"/>
      <c r="Z42" s="224"/>
      <c r="AA42" s="46"/>
    </row>
    <row r="43" spans="2:27" x14ac:dyDescent="0.2">
      <c r="B43" s="166">
        <f>'1. LDC Info'!$F$27-10</f>
        <v>2006</v>
      </c>
      <c r="C43" s="44" t="s">
        <v>118</v>
      </c>
      <c r="D43" s="523"/>
      <c r="E43" s="541"/>
      <c r="F43" s="523"/>
      <c r="G43" s="541"/>
      <c r="H43" s="544"/>
      <c r="I43" s="541"/>
      <c r="J43" s="544"/>
      <c r="K43" s="541"/>
      <c r="L43" s="523"/>
      <c r="M43" s="542"/>
      <c r="N43" s="541"/>
      <c r="O43" s="523"/>
      <c r="P43" s="542"/>
      <c r="Q43" s="541"/>
      <c r="R43" s="543"/>
      <c r="S43" s="542"/>
      <c r="T43" s="541"/>
      <c r="U43" s="544"/>
      <c r="V43" s="542"/>
      <c r="W43" s="541"/>
      <c r="X43" s="224"/>
      <c r="Y43" s="222"/>
      <c r="Z43" s="224"/>
      <c r="AA43" s="46"/>
    </row>
    <row r="44" spans="2:27" x14ac:dyDescent="0.2">
      <c r="B44" s="166">
        <f>'1. LDC Info'!$F$27-10</f>
        <v>2006</v>
      </c>
      <c r="C44" s="44" t="s">
        <v>119</v>
      </c>
      <c r="D44" s="523"/>
      <c r="E44" s="541"/>
      <c r="F44" s="523"/>
      <c r="G44" s="541"/>
      <c r="H44" s="544"/>
      <c r="I44" s="541"/>
      <c r="J44" s="544"/>
      <c r="K44" s="541"/>
      <c r="L44" s="523"/>
      <c r="M44" s="542"/>
      <c r="N44" s="541"/>
      <c r="O44" s="523"/>
      <c r="P44" s="542"/>
      <c r="Q44" s="541"/>
      <c r="R44" s="543"/>
      <c r="S44" s="542"/>
      <c r="T44" s="541"/>
      <c r="U44" s="544"/>
      <c r="V44" s="542"/>
      <c r="W44" s="541"/>
      <c r="X44" s="224"/>
      <c r="Y44" s="222"/>
      <c r="Z44" s="224"/>
      <c r="AA44" s="46"/>
    </row>
    <row r="45" spans="2:27" x14ac:dyDescent="0.2">
      <c r="B45" s="166">
        <f>'1. LDC Info'!$F$27-10</f>
        <v>2006</v>
      </c>
      <c r="C45" s="44" t="s">
        <v>109</v>
      </c>
      <c r="D45" s="523"/>
      <c r="E45" s="541"/>
      <c r="F45" s="523"/>
      <c r="G45" s="541"/>
      <c r="H45" s="544"/>
      <c r="I45" s="541"/>
      <c r="J45" s="544"/>
      <c r="K45" s="541"/>
      <c r="L45" s="523"/>
      <c r="M45" s="542"/>
      <c r="N45" s="541"/>
      <c r="O45" s="523"/>
      <c r="P45" s="542"/>
      <c r="Q45" s="541"/>
      <c r="R45" s="543"/>
      <c r="S45" s="542"/>
      <c r="T45" s="541"/>
      <c r="U45" s="544"/>
      <c r="V45" s="542"/>
      <c r="W45" s="541"/>
      <c r="X45" s="224"/>
      <c r="Y45" s="222"/>
      <c r="Z45" s="224"/>
      <c r="AA45" s="46"/>
    </row>
    <row r="46" spans="2:27" x14ac:dyDescent="0.2">
      <c r="B46" s="166">
        <f>'1. LDC Info'!$F$27-10</f>
        <v>2006</v>
      </c>
      <c r="C46" s="44" t="s">
        <v>110</v>
      </c>
      <c r="D46" s="523"/>
      <c r="E46" s="541"/>
      <c r="F46" s="523"/>
      <c r="G46" s="541"/>
      <c r="H46" s="544"/>
      <c r="I46" s="541"/>
      <c r="J46" s="544"/>
      <c r="K46" s="541"/>
      <c r="L46" s="523"/>
      <c r="M46" s="542"/>
      <c r="N46" s="541"/>
      <c r="O46" s="523"/>
      <c r="P46" s="542"/>
      <c r="Q46" s="541"/>
      <c r="R46" s="543"/>
      <c r="S46" s="542"/>
      <c r="T46" s="541"/>
      <c r="U46" s="544"/>
      <c r="V46" s="542"/>
      <c r="W46" s="541"/>
      <c r="X46" s="224"/>
      <c r="Y46" s="222"/>
      <c r="Z46" s="224"/>
      <c r="AA46" s="46"/>
    </row>
    <row r="47" spans="2:27" x14ac:dyDescent="0.2">
      <c r="B47" s="166">
        <f>'1. LDC Info'!$F$27-10</f>
        <v>2006</v>
      </c>
      <c r="C47" s="44" t="s">
        <v>111</v>
      </c>
      <c r="D47" s="523"/>
      <c r="E47" s="541"/>
      <c r="F47" s="523"/>
      <c r="G47" s="541"/>
      <c r="H47" s="544"/>
      <c r="I47" s="541"/>
      <c r="J47" s="544"/>
      <c r="K47" s="541"/>
      <c r="L47" s="523"/>
      <c r="M47" s="542"/>
      <c r="N47" s="541"/>
      <c r="O47" s="523"/>
      <c r="P47" s="542"/>
      <c r="Q47" s="541"/>
      <c r="R47" s="543"/>
      <c r="S47" s="542"/>
      <c r="T47" s="541"/>
      <c r="U47" s="544"/>
      <c r="V47" s="542"/>
      <c r="W47" s="541"/>
      <c r="X47" s="224"/>
      <c r="Y47" s="222"/>
      <c r="Z47" s="224"/>
      <c r="AA47" s="46"/>
    </row>
    <row r="48" spans="2:27" x14ac:dyDescent="0.2">
      <c r="B48" s="166">
        <f>'1. LDC Info'!$F$27-10</f>
        <v>2006</v>
      </c>
      <c r="C48" s="44" t="s">
        <v>108</v>
      </c>
      <c r="D48" s="523">
        <v>80301785</v>
      </c>
      <c r="E48" s="541">
        <v>8696</v>
      </c>
      <c r="F48" s="523">
        <v>39580098</v>
      </c>
      <c r="G48" s="541">
        <v>1449</v>
      </c>
      <c r="H48" s="543">
        <v>364006</v>
      </c>
      <c r="I48" s="541">
        <v>20</v>
      </c>
      <c r="J48" s="543"/>
      <c r="K48" s="541"/>
      <c r="L48" s="523">
        <v>75435895</v>
      </c>
      <c r="M48" s="542">
        <v>207000</v>
      </c>
      <c r="N48" s="541">
        <v>136</v>
      </c>
      <c r="O48" s="523">
        <v>2517491</v>
      </c>
      <c r="P48" s="542">
        <v>6784</v>
      </c>
      <c r="Q48" s="541">
        <v>2635</v>
      </c>
      <c r="R48" s="543">
        <v>267504</v>
      </c>
      <c r="S48" s="542">
        <v>767</v>
      </c>
      <c r="T48" s="541">
        <v>225</v>
      </c>
      <c r="U48" s="543"/>
      <c r="V48" s="542"/>
      <c r="W48" s="541"/>
      <c r="X48" s="224"/>
      <c r="Y48" s="222"/>
      <c r="Z48" s="224"/>
      <c r="AA48" s="46"/>
    </row>
    <row r="49" spans="2:27" x14ac:dyDescent="0.2">
      <c r="B49" s="166">
        <f>'1. LDC Info'!$F$27-9</f>
        <v>2007</v>
      </c>
      <c r="C49" s="44" t="s">
        <v>112</v>
      </c>
      <c r="D49" s="523"/>
      <c r="E49" s="541"/>
      <c r="F49" s="523"/>
      <c r="G49" s="541"/>
      <c r="H49" s="544"/>
      <c r="I49" s="541"/>
      <c r="J49" s="544"/>
      <c r="K49" s="541"/>
      <c r="L49" s="523"/>
      <c r="M49" s="542"/>
      <c r="N49" s="541"/>
      <c r="O49" s="523"/>
      <c r="P49" s="542"/>
      <c r="Q49" s="541"/>
      <c r="R49" s="543"/>
      <c r="S49" s="542"/>
      <c r="T49" s="541"/>
      <c r="U49" s="544"/>
      <c r="V49" s="542"/>
      <c r="W49" s="541"/>
      <c r="X49" s="224"/>
      <c r="Y49" s="222"/>
      <c r="Z49" s="224"/>
      <c r="AA49" s="46"/>
    </row>
    <row r="50" spans="2:27" x14ac:dyDescent="0.2">
      <c r="B50" s="166">
        <f>'1. LDC Info'!$F$27-9</f>
        <v>2007</v>
      </c>
      <c r="C50" s="44" t="s">
        <v>113</v>
      </c>
      <c r="D50" s="523"/>
      <c r="E50" s="541"/>
      <c r="F50" s="523"/>
      <c r="G50" s="541"/>
      <c r="H50" s="544"/>
      <c r="I50" s="541"/>
      <c r="J50" s="544"/>
      <c r="K50" s="541"/>
      <c r="L50" s="523"/>
      <c r="M50" s="542"/>
      <c r="N50" s="541"/>
      <c r="O50" s="523"/>
      <c r="P50" s="542"/>
      <c r="Q50" s="541"/>
      <c r="R50" s="543"/>
      <c r="S50" s="542"/>
      <c r="T50" s="541"/>
      <c r="U50" s="544"/>
      <c r="V50" s="542"/>
      <c r="W50" s="541"/>
      <c r="X50" s="224"/>
      <c r="Y50" s="222"/>
      <c r="Z50" s="224"/>
      <c r="AA50" s="46"/>
    </row>
    <row r="51" spans="2:27" x14ac:dyDescent="0.2">
      <c r="B51" s="166">
        <f>'1. LDC Info'!$F$27-9</f>
        <v>2007</v>
      </c>
      <c r="C51" s="44" t="s">
        <v>114</v>
      </c>
      <c r="D51" s="523"/>
      <c r="E51" s="541"/>
      <c r="F51" s="523"/>
      <c r="G51" s="541"/>
      <c r="H51" s="544"/>
      <c r="I51" s="541"/>
      <c r="J51" s="544"/>
      <c r="K51" s="541"/>
      <c r="L51" s="523"/>
      <c r="M51" s="542"/>
      <c r="N51" s="541"/>
      <c r="O51" s="523"/>
      <c r="P51" s="542"/>
      <c r="Q51" s="541"/>
      <c r="R51" s="543"/>
      <c r="S51" s="542"/>
      <c r="T51" s="541"/>
      <c r="U51" s="544"/>
      <c r="V51" s="542"/>
      <c r="W51" s="541"/>
      <c r="X51" s="224"/>
      <c r="Y51" s="222"/>
      <c r="Z51" s="224"/>
      <c r="AA51" s="46"/>
    </row>
    <row r="52" spans="2:27" x14ac:dyDescent="0.2">
      <c r="B52" s="166">
        <f>'1. LDC Info'!$F$27-9</f>
        <v>2007</v>
      </c>
      <c r="C52" s="44" t="s">
        <v>115</v>
      </c>
      <c r="D52" s="523"/>
      <c r="E52" s="541"/>
      <c r="F52" s="523"/>
      <c r="G52" s="541"/>
      <c r="H52" s="544"/>
      <c r="I52" s="541"/>
      <c r="J52" s="544"/>
      <c r="K52" s="541"/>
      <c r="L52" s="523"/>
      <c r="M52" s="542"/>
      <c r="N52" s="541"/>
      <c r="O52" s="523"/>
      <c r="P52" s="542"/>
      <c r="Q52" s="541"/>
      <c r="R52" s="543"/>
      <c r="S52" s="542"/>
      <c r="T52" s="541"/>
      <c r="U52" s="544"/>
      <c r="V52" s="542"/>
      <c r="W52" s="541"/>
      <c r="X52" s="224"/>
      <c r="Y52" s="222"/>
      <c r="Z52" s="224"/>
      <c r="AA52" s="46"/>
    </row>
    <row r="53" spans="2:27" x14ac:dyDescent="0.2">
      <c r="B53" s="166">
        <f>'1. LDC Info'!$F$27-9</f>
        <v>2007</v>
      </c>
      <c r="C53" s="44" t="s">
        <v>116</v>
      </c>
      <c r="D53" s="523"/>
      <c r="E53" s="541"/>
      <c r="F53" s="523"/>
      <c r="G53" s="541"/>
      <c r="H53" s="544"/>
      <c r="I53" s="541"/>
      <c r="J53" s="544"/>
      <c r="K53" s="541"/>
      <c r="L53" s="523"/>
      <c r="M53" s="542"/>
      <c r="N53" s="541"/>
      <c r="O53" s="523"/>
      <c r="P53" s="542"/>
      <c r="Q53" s="541"/>
      <c r="R53" s="543"/>
      <c r="S53" s="542"/>
      <c r="T53" s="541"/>
      <c r="U53" s="544"/>
      <c r="V53" s="542"/>
      <c r="W53" s="541"/>
      <c r="X53" s="224"/>
      <c r="Y53" s="222"/>
      <c r="Z53" s="224"/>
      <c r="AA53" s="46"/>
    </row>
    <row r="54" spans="2:27" x14ac:dyDescent="0.2">
      <c r="B54" s="166">
        <f>'1. LDC Info'!$F$27-9</f>
        <v>2007</v>
      </c>
      <c r="C54" s="44" t="s">
        <v>117</v>
      </c>
      <c r="D54" s="523"/>
      <c r="E54" s="541"/>
      <c r="F54" s="523"/>
      <c r="G54" s="541"/>
      <c r="H54" s="544"/>
      <c r="I54" s="541"/>
      <c r="J54" s="544"/>
      <c r="K54" s="541"/>
      <c r="L54" s="523"/>
      <c r="M54" s="542"/>
      <c r="N54" s="541"/>
      <c r="O54" s="523"/>
      <c r="P54" s="542"/>
      <c r="Q54" s="541"/>
      <c r="R54" s="543"/>
      <c r="S54" s="542"/>
      <c r="T54" s="541"/>
      <c r="U54" s="544"/>
      <c r="V54" s="542"/>
      <c r="W54" s="541"/>
      <c r="X54" s="224"/>
      <c r="Y54" s="222"/>
      <c r="Z54" s="224"/>
      <c r="AA54" s="46"/>
    </row>
    <row r="55" spans="2:27" x14ac:dyDescent="0.2">
      <c r="B55" s="166">
        <f>'1. LDC Info'!$F$27-9</f>
        <v>2007</v>
      </c>
      <c r="C55" s="44" t="s">
        <v>118</v>
      </c>
      <c r="D55" s="523"/>
      <c r="E55" s="541"/>
      <c r="F55" s="523"/>
      <c r="G55" s="541"/>
      <c r="H55" s="544"/>
      <c r="I55" s="541"/>
      <c r="J55" s="544"/>
      <c r="K55" s="541"/>
      <c r="L55" s="523"/>
      <c r="M55" s="542"/>
      <c r="N55" s="541"/>
      <c r="O55" s="523"/>
      <c r="P55" s="542"/>
      <c r="Q55" s="541"/>
      <c r="R55" s="543"/>
      <c r="S55" s="542"/>
      <c r="T55" s="541"/>
      <c r="U55" s="544"/>
      <c r="V55" s="542"/>
      <c r="W55" s="541"/>
      <c r="X55" s="224"/>
      <c r="Y55" s="222"/>
      <c r="Z55" s="224"/>
      <c r="AA55" s="46"/>
    </row>
    <row r="56" spans="2:27" x14ac:dyDescent="0.2">
      <c r="B56" s="166">
        <f>'1. LDC Info'!$F$27-9</f>
        <v>2007</v>
      </c>
      <c r="C56" s="44" t="s">
        <v>119</v>
      </c>
      <c r="D56" s="523"/>
      <c r="E56" s="541"/>
      <c r="F56" s="523"/>
      <c r="G56" s="541"/>
      <c r="H56" s="544"/>
      <c r="I56" s="541"/>
      <c r="J56" s="544"/>
      <c r="K56" s="541"/>
      <c r="L56" s="523"/>
      <c r="M56" s="542"/>
      <c r="N56" s="541"/>
      <c r="O56" s="523"/>
      <c r="P56" s="542"/>
      <c r="Q56" s="541"/>
      <c r="R56" s="543"/>
      <c r="S56" s="542"/>
      <c r="T56" s="541"/>
      <c r="U56" s="544"/>
      <c r="V56" s="542"/>
      <c r="W56" s="541"/>
      <c r="X56" s="224"/>
      <c r="Y56" s="222"/>
      <c r="Z56" s="224"/>
      <c r="AA56" s="46"/>
    </row>
    <row r="57" spans="2:27" x14ac:dyDescent="0.2">
      <c r="B57" s="166">
        <f>'1. LDC Info'!$F$27-9</f>
        <v>2007</v>
      </c>
      <c r="C57" s="44" t="s">
        <v>109</v>
      </c>
      <c r="D57" s="523"/>
      <c r="E57" s="541"/>
      <c r="F57" s="523"/>
      <c r="G57" s="541"/>
      <c r="H57" s="544"/>
      <c r="I57" s="541"/>
      <c r="J57" s="544"/>
      <c r="K57" s="541"/>
      <c r="L57" s="523"/>
      <c r="M57" s="542"/>
      <c r="N57" s="541"/>
      <c r="O57" s="523"/>
      <c r="P57" s="542"/>
      <c r="Q57" s="541"/>
      <c r="R57" s="543"/>
      <c r="S57" s="542"/>
      <c r="T57" s="541"/>
      <c r="U57" s="544"/>
      <c r="V57" s="542"/>
      <c r="W57" s="541"/>
      <c r="X57" s="224"/>
      <c r="Y57" s="222"/>
      <c r="Z57" s="224"/>
      <c r="AA57" s="46"/>
    </row>
    <row r="58" spans="2:27" x14ac:dyDescent="0.2">
      <c r="B58" s="166">
        <f>'1. LDC Info'!$F$27-9</f>
        <v>2007</v>
      </c>
      <c r="C58" s="44" t="s">
        <v>110</v>
      </c>
      <c r="D58" s="523"/>
      <c r="E58" s="541"/>
      <c r="F58" s="523"/>
      <c r="G58" s="541"/>
      <c r="H58" s="544"/>
      <c r="I58" s="541"/>
      <c r="J58" s="544"/>
      <c r="K58" s="541"/>
      <c r="L58" s="523"/>
      <c r="M58" s="542"/>
      <c r="N58" s="541"/>
      <c r="O58" s="523"/>
      <c r="P58" s="542"/>
      <c r="Q58" s="541"/>
      <c r="R58" s="543"/>
      <c r="S58" s="542"/>
      <c r="T58" s="541"/>
      <c r="U58" s="544"/>
      <c r="V58" s="542"/>
      <c r="W58" s="541"/>
      <c r="X58" s="224"/>
      <c r="Y58" s="222"/>
      <c r="Z58" s="224"/>
      <c r="AA58" s="46"/>
    </row>
    <row r="59" spans="2:27" x14ac:dyDescent="0.2">
      <c r="B59" s="166">
        <f>'1. LDC Info'!$F$27-9</f>
        <v>2007</v>
      </c>
      <c r="C59" s="44" t="s">
        <v>111</v>
      </c>
      <c r="D59" s="523"/>
      <c r="E59" s="541"/>
      <c r="F59" s="523"/>
      <c r="G59" s="541"/>
      <c r="H59" s="544"/>
      <c r="I59" s="541"/>
      <c r="J59" s="544"/>
      <c r="K59" s="541"/>
      <c r="L59" s="523"/>
      <c r="M59" s="542"/>
      <c r="N59" s="541"/>
      <c r="O59" s="523"/>
      <c r="P59" s="542"/>
      <c r="Q59" s="541"/>
      <c r="R59" s="543"/>
      <c r="S59" s="542"/>
      <c r="T59" s="541"/>
      <c r="U59" s="544"/>
      <c r="V59" s="542"/>
      <c r="W59" s="541"/>
      <c r="X59" s="224"/>
      <c r="Y59" s="222"/>
      <c r="Z59" s="224"/>
      <c r="AA59" s="46"/>
    </row>
    <row r="60" spans="2:27" x14ac:dyDescent="0.2">
      <c r="B60" s="166">
        <f>'1. LDC Info'!$F$27-9</f>
        <v>2007</v>
      </c>
      <c r="C60" s="44" t="s">
        <v>108</v>
      </c>
      <c r="D60" s="523">
        <v>78894594</v>
      </c>
      <c r="E60" s="541">
        <v>8809</v>
      </c>
      <c r="F60" s="523">
        <v>35721757</v>
      </c>
      <c r="G60" s="541">
        <v>1442</v>
      </c>
      <c r="H60" s="543">
        <v>348199</v>
      </c>
      <c r="I60" s="541">
        <v>20</v>
      </c>
      <c r="J60" s="543"/>
      <c r="K60" s="541"/>
      <c r="L60" s="523">
        <v>78527667</v>
      </c>
      <c r="M60" s="542">
        <v>213039</v>
      </c>
      <c r="N60" s="541">
        <v>136</v>
      </c>
      <c r="O60" s="523">
        <v>2426477</v>
      </c>
      <c r="P60" s="542">
        <v>6778</v>
      </c>
      <c r="Q60" s="541">
        <v>2648</v>
      </c>
      <c r="R60" s="543">
        <v>266011</v>
      </c>
      <c r="S60" s="542">
        <v>766</v>
      </c>
      <c r="T60" s="541">
        <v>225</v>
      </c>
      <c r="U60" s="543"/>
      <c r="V60" s="542"/>
      <c r="W60" s="541"/>
      <c r="X60" s="224"/>
      <c r="Y60" s="222"/>
      <c r="Z60" s="224"/>
      <c r="AA60" s="46"/>
    </row>
    <row r="61" spans="2:27" x14ac:dyDescent="0.2">
      <c r="B61" s="166">
        <f>'1. LDC Info'!$F$27-8</f>
        <v>2008</v>
      </c>
      <c r="C61" s="44" t="s">
        <v>112</v>
      </c>
      <c r="D61" s="523"/>
      <c r="E61" s="541"/>
      <c r="F61" s="543"/>
      <c r="G61" s="541"/>
      <c r="H61" s="544"/>
      <c r="I61" s="541"/>
      <c r="J61" s="544"/>
      <c r="K61" s="541"/>
      <c r="L61" s="523"/>
      <c r="M61" s="542"/>
      <c r="N61" s="541"/>
      <c r="O61" s="523"/>
      <c r="P61" s="542"/>
      <c r="Q61" s="541"/>
      <c r="R61" s="543"/>
      <c r="S61" s="542"/>
      <c r="T61" s="541"/>
      <c r="U61" s="544"/>
      <c r="V61" s="542"/>
      <c r="W61" s="541"/>
      <c r="X61" s="224"/>
      <c r="Y61" s="222"/>
      <c r="Z61" s="224"/>
      <c r="AA61" s="46"/>
    </row>
    <row r="62" spans="2:27" x14ac:dyDescent="0.2">
      <c r="B62" s="166">
        <f>'1. LDC Info'!$F$27-8</f>
        <v>2008</v>
      </c>
      <c r="C62" s="44" t="s">
        <v>113</v>
      </c>
      <c r="D62" s="523"/>
      <c r="E62" s="541"/>
      <c r="F62" s="543"/>
      <c r="G62" s="541"/>
      <c r="H62" s="544"/>
      <c r="I62" s="541"/>
      <c r="J62" s="544"/>
      <c r="K62" s="541"/>
      <c r="L62" s="523"/>
      <c r="M62" s="542"/>
      <c r="N62" s="541"/>
      <c r="O62" s="523"/>
      <c r="P62" s="542"/>
      <c r="Q62" s="541"/>
      <c r="R62" s="543"/>
      <c r="S62" s="542"/>
      <c r="T62" s="541"/>
      <c r="U62" s="544"/>
      <c r="V62" s="542"/>
      <c r="W62" s="541"/>
      <c r="X62" s="224"/>
      <c r="Y62" s="222"/>
      <c r="Z62" s="224"/>
      <c r="AA62" s="46"/>
    </row>
    <row r="63" spans="2:27" x14ac:dyDescent="0.2">
      <c r="B63" s="166">
        <f>'1. LDC Info'!$F$27-8</f>
        <v>2008</v>
      </c>
      <c r="C63" s="44" t="s">
        <v>114</v>
      </c>
      <c r="D63" s="523"/>
      <c r="E63" s="541"/>
      <c r="F63" s="543"/>
      <c r="G63" s="541"/>
      <c r="H63" s="544"/>
      <c r="I63" s="541"/>
      <c r="J63" s="544"/>
      <c r="K63" s="541"/>
      <c r="L63" s="523"/>
      <c r="M63" s="542"/>
      <c r="N63" s="541"/>
      <c r="O63" s="523"/>
      <c r="P63" s="542"/>
      <c r="Q63" s="541"/>
      <c r="R63" s="543"/>
      <c r="S63" s="542"/>
      <c r="T63" s="541"/>
      <c r="U63" s="544"/>
      <c r="V63" s="542"/>
      <c r="W63" s="541"/>
      <c r="X63" s="224"/>
      <c r="Y63" s="222"/>
      <c r="Z63" s="224"/>
      <c r="AA63" s="46"/>
    </row>
    <row r="64" spans="2:27" x14ac:dyDescent="0.2">
      <c r="B64" s="166">
        <f>'1. LDC Info'!$F$27-8</f>
        <v>2008</v>
      </c>
      <c r="C64" s="44" t="s">
        <v>115</v>
      </c>
      <c r="D64" s="523"/>
      <c r="E64" s="541"/>
      <c r="F64" s="543"/>
      <c r="G64" s="541"/>
      <c r="H64" s="544"/>
      <c r="I64" s="541"/>
      <c r="J64" s="544"/>
      <c r="K64" s="541"/>
      <c r="L64" s="523"/>
      <c r="M64" s="542"/>
      <c r="N64" s="541"/>
      <c r="O64" s="523"/>
      <c r="P64" s="542"/>
      <c r="Q64" s="541"/>
      <c r="R64" s="543"/>
      <c r="S64" s="542"/>
      <c r="T64" s="541"/>
      <c r="U64" s="544"/>
      <c r="V64" s="542"/>
      <c r="W64" s="541"/>
      <c r="X64" s="224"/>
      <c r="Y64" s="222"/>
      <c r="Z64" s="224"/>
      <c r="AA64" s="46"/>
    </row>
    <row r="65" spans="2:27" x14ac:dyDescent="0.2">
      <c r="B65" s="166">
        <f>'1. LDC Info'!$F$27-8</f>
        <v>2008</v>
      </c>
      <c r="C65" s="44" t="s">
        <v>116</v>
      </c>
      <c r="D65" s="523"/>
      <c r="E65" s="541"/>
      <c r="F65" s="543"/>
      <c r="G65" s="541"/>
      <c r="H65" s="544"/>
      <c r="I65" s="541"/>
      <c r="J65" s="544"/>
      <c r="K65" s="541"/>
      <c r="L65" s="523"/>
      <c r="M65" s="542"/>
      <c r="N65" s="541"/>
      <c r="O65" s="523"/>
      <c r="P65" s="542"/>
      <c r="Q65" s="541"/>
      <c r="R65" s="543"/>
      <c r="S65" s="542"/>
      <c r="T65" s="541"/>
      <c r="U65" s="544"/>
      <c r="V65" s="542"/>
      <c r="W65" s="541"/>
      <c r="X65" s="224"/>
      <c r="Y65" s="222"/>
      <c r="Z65" s="224"/>
      <c r="AA65" s="46"/>
    </row>
    <row r="66" spans="2:27" x14ac:dyDescent="0.2">
      <c r="B66" s="166">
        <f>'1. LDC Info'!$F$27-8</f>
        <v>2008</v>
      </c>
      <c r="C66" s="44" t="s">
        <v>117</v>
      </c>
      <c r="D66" s="523"/>
      <c r="E66" s="541"/>
      <c r="F66" s="543"/>
      <c r="G66" s="541"/>
      <c r="H66" s="544"/>
      <c r="I66" s="541"/>
      <c r="J66" s="544"/>
      <c r="K66" s="541"/>
      <c r="L66" s="523"/>
      <c r="M66" s="542"/>
      <c r="N66" s="541"/>
      <c r="O66" s="523"/>
      <c r="P66" s="542"/>
      <c r="Q66" s="541"/>
      <c r="R66" s="543"/>
      <c r="S66" s="542"/>
      <c r="T66" s="541"/>
      <c r="U66" s="544"/>
      <c r="V66" s="542"/>
      <c r="W66" s="541"/>
      <c r="X66" s="224"/>
      <c r="Y66" s="222"/>
      <c r="Z66" s="224"/>
      <c r="AA66" s="46"/>
    </row>
    <row r="67" spans="2:27" x14ac:dyDescent="0.2">
      <c r="B67" s="166">
        <f>'1. LDC Info'!$F$27-8</f>
        <v>2008</v>
      </c>
      <c r="C67" s="44" t="s">
        <v>118</v>
      </c>
      <c r="D67" s="523"/>
      <c r="E67" s="541"/>
      <c r="F67" s="543"/>
      <c r="G67" s="541"/>
      <c r="H67" s="544"/>
      <c r="I67" s="541"/>
      <c r="J67" s="544"/>
      <c r="K67" s="541"/>
      <c r="L67" s="523"/>
      <c r="M67" s="542"/>
      <c r="N67" s="541"/>
      <c r="O67" s="523"/>
      <c r="P67" s="542"/>
      <c r="Q67" s="541"/>
      <c r="R67" s="543"/>
      <c r="S67" s="542"/>
      <c r="T67" s="541"/>
      <c r="U67" s="544"/>
      <c r="V67" s="542"/>
      <c r="W67" s="541"/>
      <c r="X67" s="224"/>
      <c r="Y67" s="222"/>
      <c r="Z67" s="224"/>
      <c r="AA67" s="46"/>
    </row>
    <row r="68" spans="2:27" x14ac:dyDescent="0.2">
      <c r="B68" s="166">
        <f>'1. LDC Info'!$F$27-8</f>
        <v>2008</v>
      </c>
      <c r="C68" s="44" t="s">
        <v>119</v>
      </c>
      <c r="D68" s="523"/>
      <c r="E68" s="541"/>
      <c r="F68" s="543"/>
      <c r="G68" s="541"/>
      <c r="H68" s="544"/>
      <c r="I68" s="541"/>
      <c r="J68" s="544"/>
      <c r="K68" s="541"/>
      <c r="L68" s="523"/>
      <c r="M68" s="542"/>
      <c r="N68" s="541"/>
      <c r="O68" s="523"/>
      <c r="P68" s="542"/>
      <c r="Q68" s="541"/>
      <c r="R68" s="543"/>
      <c r="S68" s="542"/>
      <c r="T68" s="541"/>
      <c r="U68" s="544"/>
      <c r="V68" s="542"/>
      <c r="W68" s="541"/>
      <c r="X68" s="224"/>
      <c r="Y68" s="222"/>
      <c r="Z68" s="224"/>
      <c r="AA68" s="46"/>
    </row>
    <row r="69" spans="2:27" x14ac:dyDescent="0.2">
      <c r="B69" s="166">
        <f>'1. LDC Info'!$F$27-8</f>
        <v>2008</v>
      </c>
      <c r="C69" s="44" t="s">
        <v>109</v>
      </c>
      <c r="D69" s="523"/>
      <c r="E69" s="541"/>
      <c r="F69" s="543"/>
      <c r="G69" s="541"/>
      <c r="H69" s="544"/>
      <c r="I69" s="541"/>
      <c r="J69" s="544"/>
      <c r="K69" s="541"/>
      <c r="L69" s="523"/>
      <c r="M69" s="542"/>
      <c r="N69" s="541"/>
      <c r="O69" s="523"/>
      <c r="P69" s="542"/>
      <c r="Q69" s="541"/>
      <c r="R69" s="543"/>
      <c r="S69" s="542"/>
      <c r="T69" s="541"/>
      <c r="U69" s="544"/>
      <c r="V69" s="542"/>
      <c r="W69" s="541"/>
      <c r="X69" s="224"/>
      <c r="Y69" s="222"/>
      <c r="Z69" s="224"/>
      <c r="AA69" s="46"/>
    </row>
    <row r="70" spans="2:27" x14ac:dyDescent="0.2">
      <c r="B70" s="166">
        <f>'1. LDC Info'!$F$27-8</f>
        <v>2008</v>
      </c>
      <c r="C70" s="44" t="s">
        <v>110</v>
      </c>
      <c r="D70" s="523"/>
      <c r="E70" s="541"/>
      <c r="F70" s="543"/>
      <c r="G70" s="541"/>
      <c r="H70" s="544"/>
      <c r="I70" s="541"/>
      <c r="J70" s="544"/>
      <c r="K70" s="541"/>
      <c r="L70" s="523"/>
      <c r="M70" s="542"/>
      <c r="N70" s="541"/>
      <c r="O70" s="523"/>
      <c r="P70" s="542"/>
      <c r="Q70" s="541"/>
      <c r="R70" s="543"/>
      <c r="S70" s="542"/>
      <c r="T70" s="541"/>
      <c r="U70" s="544"/>
      <c r="V70" s="542"/>
      <c r="W70" s="541"/>
      <c r="X70" s="224"/>
      <c r="Y70" s="222"/>
      <c r="Z70" s="224"/>
      <c r="AA70" s="46"/>
    </row>
    <row r="71" spans="2:27" x14ac:dyDescent="0.2">
      <c r="B71" s="166">
        <f>'1. LDC Info'!$F$27-8</f>
        <v>2008</v>
      </c>
      <c r="C71" s="44" t="s">
        <v>111</v>
      </c>
      <c r="D71" s="523"/>
      <c r="E71" s="541"/>
      <c r="F71" s="543"/>
      <c r="G71" s="541"/>
      <c r="H71" s="544"/>
      <c r="I71" s="541"/>
      <c r="J71" s="544"/>
      <c r="K71" s="541"/>
      <c r="L71" s="523"/>
      <c r="M71" s="542"/>
      <c r="N71" s="541"/>
      <c r="O71" s="523"/>
      <c r="P71" s="542"/>
      <c r="Q71" s="541"/>
      <c r="R71" s="543"/>
      <c r="S71" s="542"/>
      <c r="T71" s="541"/>
      <c r="U71" s="544"/>
      <c r="V71" s="542"/>
      <c r="W71" s="541"/>
      <c r="X71" s="224"/>
      <c r="Y71" s="222"/>
      <c r="Z71" s="224"/>
      <c r="AA71" s="46"/>
    </row>
    <row r="72" spans="2:27" x14ac:dyDescent="0.2">
      <c r="B72" s="166">
        <f>'1. LDC Info'!$F$27-8</f>
        <v>2008</v>
      </c>
      <c r="C72" s="44" t="s">
        <v>108</v>
      </c>
      <c r="D72" s="523">
        <v>78894594</v>
      </c>
      <c r="E72" s="541">
        <v>8809</v>
      </c>
      <c r="F72" s="523">
        <v>35801702</v>
      </c>
      <c r="G72" s="541">
        <v>1409</v>
      </c>
      <c r="H72" s="543">
        <v>386944</v>
      </c>
      <c r="I72" s="541">
        <v>20</v>
      </c>
      <c r="J72" s="543"/>
      <c r="K72" s="541"/>
      <c r="L72" s="523">
        <v>78693630</v>
      </c>
      <c r="M72" s="542">
        <v>202855</v>
      </c>
      <c r="N72" s="541">
        <v>143</v>
      </c>
      <c r="O72" s="523">
        <v>2370504</v>
      </c>
      <c r="P72" s="542">
        <v>6728</v>
      </c>
      <c r="Q72" s="541">
        <v>2653</v>
      </c>
      <c r="R72" s="543">
        <v>262124</v>
      </c>
      <c r="S72" s="542">
        <v>751</v>
      </c>
      <c r="T72" s="541">
        <v>226</v>
      </c>
      <c r="U72" s="543"/>
      <c r="V72" s="542"/>
      <c r="W72" s="541"/>
      <c r="X72" s="224"/>
      <c r="Y72" s="222"/>
      <c r="Z72" s="224"/>
      <c r="AA72" s="46"/>
    </row>
    <row r="73" spans="2:27" x14ac:dyDescent="0.2">
      <c r="B73" s="166">
        <f>'1. LDC Info'!$F$27-7</f>
        <v>2009</v>
      </c>
      <c r="C73" s="44" t="s">
        <v>112</v>
      </c>
      <c r="D73" s="523"/>
      <c r="E73" s="541"/>
      <c r="F73" s="543"/>
      <c r="G73" s="541"/>
      <c r="H73" s="544"/>
      <c r="I73" s="541"/>
      <c r="J73" s="544"/>
      <c r="K73" s="541"/>
      <c r="L73" s="523"/>
      <c r="M73" s="542"/>
      <c r="N73" s="541"/>
      <c r="O73" s="523"/>
      <c r="P73" s="542"/>
      <c r="Q73" s="541"/>
      <c r="R73" s="543"/>
      <c r="S73" s="542"/>
      <c r="T73" s="541"/>
      <c r="U73" s="544"/>
      <c r="V73" s="542"/>
      <c r="W73" s="541"/>
      <c r="X73" s="224"/>
      <c r="Y73" s="222"/>
      <c r="Z73" s="224"/>
      <c r="AA73" s="46"/>
    </row>
    <row r="74" spans="2:27" x14ac:dyDescent="0.2">
      <c r="B74" s="166">
        <f>'1. LDC Info'!$F$27-7</f>
        <v>2009</v>
      </c>
      <c r="C74" s="44" t="s">
        <v>113</v>
      </c>
      <c r="D74" s="523"/>
      <c r="E74" s="541"/>
      <c r="F74" s="543"/>
      <c r="G74" s="541"/>
      <c r="H74" s="544"/>
      <c r="I74" s="541"/>
      <c r="J74" s="544"/>
      <c r="K74" s="541"/>
      <c r="L74" s="523"/>
      <c r="M74" s="542"/>
      <c r="N74" s="541"/>
      <c r="O74" s="523"/>
      <c r="P74" s="542"/>
      <c r="Q74" s="541"/>
      <c r="R74" s="543"/>
      <c r="S74" s="542"/>
      <c r="T74" s="541"/>
      <c r="U74" s="544"/>
      <c r="V74" s="542"/>
      <c r="W74" s="541"/>
      <c r="X74" s="224"/>
      <c r="Y74" s="222"/>
      <c r="Z74" s="224"/>
      <c r="AA74" s="46"/>
    </row>
    <row r="75" spans="2:27" x14ac:dyDescent="0.2">
      <c r="B75" s="166">
        <f>'1. LDC Info'!$F$27-7</f>
        <v>2009</v>
      </c>
      <c r="C75" s="44" t="s">
        <v>114</v>
      </c>
      <c r="D75" s="523"/>
      <c r="E75" s="541"/>
      <c r="F75" s="543"/>
      <c r="G75" s="541"/>
      <c r="H75" s="544"/>
      <c r="I75" s="541"/>
      <c r="J75" s="544"/>
      <c r="K75" s="541"/>
      <c r="L75" s="523"/>
      <c r="M75" s="542"/>
      <c r="N75" s="541"/>
      <c r="O75" s="523"/>
      <c r="P75" s="542"/>
      <c r="Q75" s="541"/>
      <c r="R75" s="543"/>
      <c r="S75" s="542"/>
      <c r="T75" s="541"/>
      <c r="U75" s="544"/>
      <c r="V75" s="542"/>
      <c r="W75" s="541"/>
      <c r="X75" s="224"/>
      <c r="Y75" s="222"/>
      <c r="Z75" s="224"/>
      <c r="AA75" s="46"/>
    </row>
    <row r="76" spans="2:27" x14ac:dyDescent="0.2">
      <c r="B76" s="166">
        <f>'1. LDC Info'!$F$27-7</f>
        <v>2009</v>
      </c>
      <c r="C76" s="44" t="s">
        <v>115</v>
      </c>
      <c r="D76" s="523"/>
      <c r="E76" s="541"/>
      <c r="F76" s="543"/>
      <c r="G76" s="541"/>
      <c r="H76" s="544"/>
      <c r="I76" s="541"/>
      <c r="J76" s="544"/>
      <c r="K76" s="541"/>
      <c r="L76" s="523"/>
      <c r="M76" s="542"/>
      <c r="N76" s="541"/>
      <c r="O76" s="523"/>
      <c r="P76" s="542"/>
      <c r="Q76" s="541"/>
      <c r="R76" s="543"/>
      <c r="S76" s="542"/>
      <c r="T76" s="541"/>
      <c r="U76" s="544"/>
      <c r="V76" s="542"/>
      <c r="W76" s="541"/>
      <c r="X76" s="224"/>
      <c r="Y76" s="222"/>
      <c r="Z76" s="224"/>
      <c r="AA76" s="46"/>
    </row>
    <row r="77" spans="2:27" x14ac:dyDescent="0.2">
      <c r="B77" s="166">
        <f>'1. LDC Info'!$F$27-7</f>
        <v>2009</v>
      </c>
      <c r="C77" s="44" t="s">
        <v>116</v>
      </c>
      <c r="D77" s="523"/>
      <c r="E77" s="541"/>
      <c r="F77" s="543"/>
      <c r="G77" s="541"/>
      <c r="H77" s="544"/>
      <c r="I77" s="541"/>
      <c r="J77" s="544"/>
      <c r="K77" s="541"/>
      <c r="L77" s="523"/>
      <c r="M77" s="542"/>
      <c r="N77" s="541"/>
      <c r="O77" s="523"/>
      <c r="P77" s="542"/>
      <c r="Q77" s="541"/>
      <c r="R77" s="543"/>
      <c r="S77" s="542"/>
      <c r="T77" s="541"/>
      <c r="U77" s="544"/>
      <c r="V77" s="542"/>
      <c r="W77" s="541"/>
      <c r="X77" s="224"/>
      <c r="Y77" s="222"/>
      <c r="Z77" s="224"/>
      <c r="AA77" s="46"/>
    </row>
    <row r="78" spans="2:27" x14ac:dyDescent="0.2">
      <c r="B78" s="166">
        <f>'1. LDC Info'!$F$27-7</f>
        <v>2009</v>
      </c>
      <c r="C78" s="44" t="s">
        <v>117</v>
      </c>
      <c r="D78" s="523"/>
      <c r="E78" s="541"/>
      <c r="F78" s="543"/>
      <c r="G78" s="541"/>
      <c r="H78" s="544"/>
      <c r="I78" s="541"/>
      <c r="J78" s="544"/>
      <c r="K78" s="541"/>
      <c r="L78" s="523"/>
      <c r="M78" s="542"/>
      <c r="N78" s="541"/>
      <c r="O78" s="523"/>
      <c r="P78" s="542"/>
      <c r="Q78" s="541"/>
      <c r="R78" s="543"/>
      <c r="S78" s="542"/>
      <c r="T78" s="541"/>
      <c r="U78" s="544"/>
      <c r="V78" s="542"/>
      <c r="W78" s="541"/>
      <c r="X78" s="224"/>
      <c r="Y78" s="222"/>
      <c r="Z78" s="224"/>
      <c r="AA78" s="46"/>
    </row>
    <row r="79" spans="2:27" x14ac:dyDescent="0.2">
      <c r="B79" s="166">
        <f>'1. LDC Info'!$F$27-7</f>
        <v>2009</v>
      </c>
      <c r="C79" s="44" t="s">
        <v>118</v>
      </c>
      <c r="D79" s="523"/>
      <c r="E79" s="541"/>
      <c r="F79" s="543"/>
      <c r="G79" s="541"/>
      <c r="H79" s="544"/>
      <c r="I79" s="541"/>
      <c r="J79" s="544"/>
      <c r="K79" s="541"/>
      <c r="L79" s="523"/>
      <c r="M79" s="542"/>
      <c r="N79" s="541"/>
      <c r="O79" s="523"/>
      <c r="P79" s="542"/>
      <c r="Q79" s="541"/>
      <c r="R79" s="543"/>
      <c r="S79" s="542"/>
      <c r="T79" s="541"/>
      <c r="U79" s="544"/>
      <c r="V79" s="542"/>
      <c r="W79" s="541"/>
      <c r="X79" s="224"/>
      <c r="Y79" s="222"/>
      <c r="Z79" s="224"/>
      <c r="AA79" s="46"/>
    </row>
    <row r="80" spans="2:27" x14ac:dyDescent="0.2">
      <c r="B80" s="166">
        <f>'1. LDC Info'!$F$27-7</f>
        <v>2009</v>
      </c>
      <c r="C80" s="44" t="s">
        <v>119</v>
      </c>
      <c r="D80" s="523"/>
      <c r="E80" s="541"/>
      <c r="F80" s="543"/>
      <c r="G80" s="541"/>
      <c r="H80" s="544"/>
      <c r="I80" s="541"/>
      <c r="J80" s="544"/>
      <c r="K80" s="541"/>
      <c r="L80" s="523"/>
      <c r="M80" s="542"/>
      <c r="N80" s="541"/>
      <c r="O80" s="523"/>
      <c r="P80" s="542"/>
      <c r="Q80" s="541"/>
      <c r="R80" s="543"/>
      <c r="S80" s="542"/>
      <c r="T80" s="541"/>
      <c r="U80" s="544"/>
      <c r="V80" s="542"/>
      <c r="W80" s="541"/>
      <c r="X80" s="224"/>
      <c r="Y80" s="222"/>
      <c r="Z80" s="224"/>
      <c r="AA80" s="46"/>
    </row>
    <row r="81" spans="2:27" x14ac:dyDescent="0.2">
      <c r="B81" s="166">
        <f>'1. LDC Info'!$F$27-7</f>
        <v>2009</v>
      </c>
      <c r="C81" s="44" t="s">
        <v>109</v>
      </c>
      <c r="D81" s="523"/>
      <c r="E81" s="541"/>
      <c r="F81" s="543"/>
      <c r="G81" s="541"/>
      <c r="H81" s="544"/>
      <c r="I81" s="541"/>
      <c r="J81" s="544"/>
      <c r="K81" s="541"/>
      <c r="L81" s="523"/>
      <c r="M81" s="542"/>
      <c r="N81" s="541"/>
      <c r="O81" s="523"/>
      <c r="P81" s="542"/>
      <c r="Q81" s="541"/>
      <c r="R81" s="543"/>
      <c r="S81" s="542"/>
      <c r="T81" s="541"/>
      <c r="U81" s="544"/>
      <c r="V81" s="542"/>
      <c r="W81" s="541"/>
      <c r="X81" s="224"/>
      <c r="Y81" s="222"/>
      <c r="Z81" s="224"/>
      <c r="AA81" s="46"/>
    </row>
    <row r="82" spans="2:27" x14ac:dyDescent="0.2">
      <c r="B82" s="166">
        <f>'1. LDC Info'!$F$27-7</f>
        <v>2009</v>
      </c>
      <c r="C82" s="44" t="s">
        <v>110</v>
      </c>
      <c r="D82" s="523"/>
      <c r="E82" s="541"/>
      <c r="F82" s="543"/>
      <c r="G82" s="541"/>
      <c r="H82" s="544"/>
      <c r="I82" s="541"/>
      <c r="J82" s="544"/>
      <c r="K82" s="541"/>
      <c r="L82" s="523"/>
      <c r="M82" s="542"/>
      <c r="N82" s="541"/>
      <c r="O82" s="523"/>
      <c r="P82" s="542"/>
      <c r="Q82" s="541"/>
      <c r="R82" s="543"/>
      <c r="S82" s="542"/>
      <c r="T82" s="541"/>
      <c r="U82" s="544"/>
      <c r="V82" s="542"/>
      <c r="W82" s="541"/>
      <c r="X82" s="224"/>
      <c r="Y82" s="222"/>
      <c r="Z82" s="224"/>
      <c r="AA82" s="46"/>
    </row>
    <row r="83" spans="2:27" x14ac:dyDescent="0.2">
      <c r="B83" s="166">
        <f>'1. LDC Info'!$F$27-7</f>
        <v>2009</v>
      </c>
      <c r="C83" s="44" t="s">
        <v>111</v>
      </c>
      <c r="D83" s="523"/>
      <c r="E83" s="541"/>
      <c r="F83" s="543"/>
      <c r="G83" s="541"/>
      <c r="H83" s="544"/>
      <c r="I83" s="541"/>
      <c r="J83" s="544"/>
      <c r="K83" s="541"/>
      <c r="L83" s="523"/>
      <c r="M83" s="542"/>
      <c r="N83" s="541"/>
      <c r="O83" s="523"/>
      <c r="P83" s="542"/>
      <c r="Q83" s="541"/>
      <c r="R83" s="543"/>
      <c r="S83" s="542"/>
      <c r="T83" s="541"/>
      <c r="U83" s="544"/>
      <c r="V83" s="542"/>
      <c r="W83" s="541"/>
      <c r="X83" s="224"/>
      <c r="Y83" s="222"/>
      <c r="Z83" s="224"/>
      <c r="AA83" s="46"/>
    </row>
    <row r="84" spans="2:27" x14ac:dyDescent="0.2">
      <c r="B84" s="166">
        <f>'1. LDC Info'!$F$27-7</f>
        <v>2009</v>
      </c>
      <c r="C84" s="44" t="s">
        <v>108</v>
      </c>
      <c r="D84" s="523">
        <v>76058961.349999994</v>
      </c>
      <c r="E84" s="541">
        <v>8941</v>
      </c>
      <c r="F84" s="523">
        <v>34198078.359999999</v>
      </c>
      <c r="G84" s="541">
        <v>1394</v>
      </c>
      <c r="H84" s="543">
        <v>437952.27</v>
      </c>
      <c r="I84" s="541">
        <v>20</v>
      </c>
      <c r="J84" s="543"/>
      <c r="K84" s="541"/>
      <c r="L84" s="523">
        <v>78622635.780000001</v>
      </c>
      <c r="M84" s="542">
        <v>209853</v>
      </c>
      <c r="N84" s="541">
        <v>144</v>
      </c>
      <c r="O84" s="523">
        <v>2414486.62</v>
      </c>
      <c r="P84" s="542">
        <v>6652</v>
      </c>
      <c r="Q84" s="541">
        <v>2701</v>
      </c>
      <c r="R84" s="543">
        <v>265370.21000000002</v>
      </c>
      <c r="S84" s="542">
        <v>756</v>
      </c>
      <c r="T84" s="541">
        <v>226</v>
      </c>
      <c r="U84" s="543"/>
      <c r="V84" s="542"/>
      <c r="W84" s="541"/>
      <c r="X84" s="224"/>
      <c r="Y84" s="222"/>
      <c r="Z84" s="224"/>
      <c r="AA84" s="46"/>
    </row>
    <row r="85" spans="2:27" x14ac:dyDescent="0.2">
      <c r="B85" s="166">
        <f>'1. LDC Info'!$F$27-6</f>
        <v>2010</v>
      </c>
      <c r="C85" s="44" t="s">
        <v>112</v>
      </c>
      <c r="D85" s="523"/>
      <c r="E85" s="541"/>
      <c r="F85" s="523"/>
      <c r="G85" s="541"/>
      <c r="H85" s="544"/>
      <c r="I85" s="541"/>
      <c r="J85" s="544"/>
      <c r="K85" s="541"/>
      <c r="L85" s="523"/>
      <c r="M85" s="524"/>
      <c r="N85" s="541"/>
      <c r="O85" s="523"/>
      <c r="P85" s="524"/>
      <c r="Q85" s="541"/>
      <c r="R85" s="543"/>
      <c r="S85" s="542"/>
      <c r="T85" s="541"/>
      <c r="U85" s="544"/>
      <c r="V85" s="542"/>
      <c r="W85" s="541"/>
      <c r="X85" s="224"/>
      <c r="Y85" s="222"/>
      <c r="Z85" s="224"/>
      <c r="AA85" s="46"/>
    </row>
    <row r="86" spans="2:27" x14ac:dyDescent="0.2">
      <c r="B86" s="166">
        <f>'1. LDC Info'!$F$27-6</f>
        <v>2010</v>
      </c>
      <c r="C86" s="44" t="s">
        <v>113</v>
      </c>
      <c r="D86" s="523"/>
      <c r="E86" s="541"/>
      <c r="F86" s="523"/>
      <c r="G86" s="541"/>
      <c r="H86" s="544"/>
      <c r="I86" s="541"/>
      <c r="J86" s="544"/>
      <c r="K86" s="541"/>
      <c r="L86" s="523"/>
      <c r="M86" s="524"/>
      <c r="N86" s="541"/>
      <c r="O86" s="523"/>
      <c r="P86" s="524"/>
      <c r="Q86" s="541"/>
      <c r="R86" s="543"/>
      <c r="S86" s="542"/>
      <c r="T86" s="541"/>
      <c r="U86" s="544"/>
      <c r="V86" s="542"/>
      <c r="W86" s="541"/>
      <c r="X86" s="224"/>
      <c r="Y86" s="222"/>
      <c r="Z86" s="224"/>
      <c r="AA86" s="46"/>
    </row>
    <row r="87" spans="2:27" x14ac:dyDescent="0.2">
      <c r="B87" s="166">
        <f>'1. LDC Info'!$F$27-6</f>
        <v>2010</v>
      </c>
      <c r="C87" s="44" t="s">
        <v>114</v>
      </c>
      <c r="D87" s="523"/>
      <c r="E87" s="541"/>
      <c r="F87" s="523"/>
      <c r="G87" s="541"/>
      <c r="H87" s="544"/>
      <c r="I87" s="541"/>
      <c r="J87" s="544"/>
      <c r="K87" s="541"/>
      <c r="L87" s="523"/>
      <c r="M87" s="524"/>
      <c r="N87" s="541"/>
      <c r="O87" s="523"/>
      <c r="P87" s="524"/>
      <c r="Q87" s="541"/>
      <c r="R87" s="543"/>
      <c r="S87" s="542"/>
      <c r="T87" s="541"/>
      <c r="U87" s="544"/>
      <c r="V87" s="542"/>
      <c r="W87" s="541"/>
      <c r="X87" s="224"/>
      <c r="Y87" s="222"/>
      <c r="Z87" s="224"/>
      <c r="AA87" s="46"/>
    </row>
    <row r="88" spans="2:27" x14ac:dyDescent="0.2">
      <c r="B88" s="166">
        <f>'1. LDC Info'!$F$27-6</f>
        <v>2010</v>
      </c>
      <c r="C88" s="44" t="s">
        <v>115</v>
      </c>
      <c r="D88" s="523"/>
      <c r="E88" s="541"/>
      <c r="F88" s="523"/>
      <c r="G88" s="541"/>
      <c r="H88" s="544"/>
      <c r="I88" s="541"/>
      <c r="J88" s="544"/>
      <c r="K88" s="541"/>
      <c r="L88" s="523"/>
      <c r="M88" s="524"/>
      <c r="N88" s="541"/>
      <c r="O88" s="523"/>
      <c r="P88" s="524"/>
      <c r="Q88" s="541"/>
      <c r="R88" s="543"/>
      <c r="S88" s="542"/>
      <c r="T88" s="541"/>
      <c r="U88" s="544"/>
      <c r="V88" s="542"/>
      <c r="W88" s="541"/>
      <c r="X88" s="224"/>
      <c r="Y88" s="222"/>
      <c r="Z88" s="224"/>
      <c r="AA88" s="46"/>
    </row>
    <row r="89" spans="2:27" x14ac:dyDescent="0.2">
      <c r="B89" s="166">
        <f>'1. LDC Info'!$F$27-6</f>
        <v>2010</v>
      </c>
      <c r="C89" s="44" t="s">
        <v>116</v>
      </c>
      <c r="D89" s="523"/>
      <c r="E89" s="541"/>
      <c r="F89" s="523"/>
      <c r="G89" s="541"/>
      <c r="H89" s="544"/>
      <c r="I89" s="541"/>
      <c r="J89" s="544"/>
      <c r="K89" s="541"/>
      <c r="L89" s="523"/>
      <c r="M89" s="524"/>
      <c r="N89" s="541"/>
      <c r="O89" s="523"/>
      <c r="P89" s="524"/>
      <c r="Q89" s="541"/>
      <c r="R89" s="543"/>
      <c r="S89" s="542"/>
      <c r="T89" s="541"/>
      <c r="U89" s="544"/>
      <c r="V89" s="542"/>
      <c r="W89" s="541"/>
      <c r="X89" s="224"/>
      <c r="Y89" s="222"/>
      <c r="Z89" s="224"/>
      <c r="AA89" s="46"/>
    </row>
    <row r="90" spans="2:27" x14ac:dyDescent="0.2">
      <c r="B90" s="166">
        <f>'1. LDC Info'!$F$27-6</f>
        <v>2010</v>
      </c>
      <c r="C90" s="44" t="s">
        <v>117</v>
      </c>
      <c r="D90" s="523"/>
      <c r="E90" s="541"/>
      <c r="F90" s="523"/>
      <c r="G90" s="541"/>
      <c r="H90" s="544"/>
      <c r="I90" s="541"/>
      <c r="J90" s="544"/>
      <c r="K90" s="541"/>
      <c r="L90" s="523"/>
      <c r="M90" s="524"/>
      <c r="N90" s="541"/>
      <c r="O90" s="523"/>
      <c r="P90" s="524"/>
      <c r="Q90" s="541"/>
      <c r="R90" s="543"/>
      <c r="S90" s="542"/>
      <c r="T90" s="541"/>
      <c r="U90" s="544"/>
      <c r="V90" s="542"/>
      <c r="W90" s="541"/>
      <c r="X90" s="224"/>
      <c r="Y90" s="222"/>
      <c r="Z90" s="224"/>
      <c r="AA90" s="46"/>
    </row>
    <row r="91" spans="2:27" x14ac:dyDescent="0.2">
      <c r="B91" s="166">
        <f>'1. LDC Info'!$F$27-6</f>
        <v>2010</v>
      </c>
      <c r="C91" s="44" t="s">
        <v>118</v>
      </c>
      <c r="D91" s="523"/>
      <c r="E91" s="541"/>
      <c r="F91" s="523"/>
      <c r="G91" s="541"/>
      <c r="H91" s="544"/>
      <c r="I91" s="541"/>
      <c r="J91" s="544"/>
      <c r="K91" s="541"/>
      <c r="L91" s="523"/>
      <c r="M91" s="524"/>
      <c r="N91" s="541"/>
      <c r="O91" s="523"/>
      <c r="P91" s="524"/>
      <c r="Q91" s="541"/>
      <c r="R91" s="543"/>
      <c r="S91" s="542"/>
      <c r="T91" s="541"/>
      <c r="U91" s="544"/>
      <c r="V91" s="542"/>
      <c r="W91" s="541"/>
      <c r="X91" s="224"/>
      <c r="Y91" s="222"/>
      <c r="Z91" s="224"/>
      <c r="AA91" s="46"/>
    </row>
    <row r="92" spans="2:27" x14ac:dyDescent="0.2">
      <c r="B92" s="166">
        <f>'1. LDC Info'!$F$27-6</f>
        <v>2010</v>
      </c>
      <c r="C92" s="44" t="s">
        <v>119</v>
      </c>
      <c r="D92" s="523"/>
      <c r="E92" s="541"/>
      <c r="F92" s="523"/>
      <c r="G92" s="541"/>
      <c r="H92" s="544"/>
      <c r="I92" s="541"/>
      <c r="J92" s="544"/>
      <c r="K92" s="541"/>
      <c r="L92" s="523"/>
      <c r="M92" s="524"/>
      <c r="N92" s="541"/>
      <c r="O92" s="523"/>
      <c r="P92" s="524"/>
      <c r="Q92" s="541"/>
      <c r="R92" s="543"/>
      <c r="S92" s="542"/>
      <c r="T92" s="541"/>
      <c r="U92" s="544"/>
      <c r="V92" s="542"/>
      <c r="W92" s="541"/>
      <c r="X92" s="224"/>
      <c r="Y92" s="222"/>
      <c r="Z92" s="224"/>
      <c r="AA92" s="46"/>
    </row>
    <row r="93" spans="2:27" x14ac:dyDescent="0.2">
      <c r="B93" s="166">
        <f>'1. LDC Info'!$F$27-6</f>
        <v>2010</v>
      </c>
      <c r="C93" s="44" t="s">
        <v>109</v>
      </c>
      <c r="D93" s="523"/>
      <c r="E93" s="541"/>
      <c r="F93" s="523"/>
      <c r="G93" s="541"/>
      <c r="H93" s="544"/>
      <c r="I93" s="541"/>
      <c r="J93" s="544"/>
      <c r="K93" s="541"/>
      <c r="L93" s="523"/>
      <c r="M93" s="524"/>
      <c r="N93" s="541"/>
      <c r="O93" s="523"/>
      <c r="P93" s="524"/>
      <c r="Q93" s="541"/>
      <c r="R93" s="543"/>
      <c r="S93" s="542"/>
      <c r="T93" s="541"/>
      <c r="U93" s="544"/>
      <c r="V93" s="542"/>
      <c r="W93" s="541"/>
      <c r="X93" s="224"/>
      <c r="Y93" s="222"/>
      <c r="Z93" s="224"/>
      <c r="AA93" s="46"/>
    </row>
    <row r="94" spans="2:27" x14ac:dyDescent="0.2">
      <c r="B94" s="166">
        <f>'1. LDC Info'!$F$27-6</f>
        <v>2010</v>
      </c>
      <c r="C94" s="44" t="s">
        <v>110</v>
      </c>
      <c r="D94" s="523"/>
      <c r="E94" s="541"/>
      <c r="F94" s="523"/>
      <c r="G94" s="541"/>
      <c r="H94" s="544"/>
      <c r="I94" s="541"/>
      <c r="J94" s="544"/>
      <c r="K94" s="541"/>
      <c r="L94" s="523"/>
      <c r="M94" s="524"/>
      <c r="N94" s="541"/>
      <c r="O94" s="523"/>
      <c r="P94" s="524"/>
      <c r="Q94" s="541"/>
      <c r="R94" s="543"/>
      <c r="S94" s="542"/>
      <c r="T94" s="541"/>
      <c r="U94" s="544"/>
      <c r="V94" s="542"/>
      <c r="W94" s="541"/>
      <c r="X94" s="224"/>
      <c r="Y94" s="222"/>
      <c r="Z94" s="224"/>
      <c r="AA94" s="46"/>
    </row>
    <row r="95" spans="2:27" x14ac:dyDescent="0.2">
      <c r="B95" s="166">
        <f>'1. LDC Info'!$F$27-6</f>
        <v>2010</v>
      </c>
      <c r="C95" s="44" t="s">
        <v>111</v>
      </c>
      <c r="D95" s="523"/>
      <c r="E95" s="541"/>
      <c r="F95" s="523"/>
      <c r="G95" s="541"/>
      <c r="H95" s="544"/>
      <c r="I95" s="541"/>
      <c r="J95" s="544"/>
      <c r="K95" s="541"/>
      <c r="L95" s="523"/>
      <c r="M95" s="524"/>
      <c r="N95" s="541"/>
      <c r="O95" s="523"/>
      <c r="P95" s="524"/>
      <c r="Q95" s="541"/>
      <c r="R95" s="543"/>
      <c r="S95" s="542"/>
      <c r="T95" s="541"/>
      <c r="U95" s="544"/>
      <c r="V95" s="542"/>
      <c r="W95" s="541"/>
      <c r="X95" s="224"/>
      <c r="Y95" s="222"/>
      <c r="Z95" s="224"/>
      <c r="AA95" s="46"/>
    </row>
    <row r="96" spans="2:27" x14ac:dyDescent="0.2">
      <c r="B96" s="166">
        <f>'1. LDC Info'!$F$27-6</f>
        <v>2010</v>
      </c>
      <c r="C96" s="44" t="s">
        <v>108</v>
      </c>
      <c r="D96" s="523">
        <v>75301012.150000006</v>
      </c>
      <c r="E96" s="541">
        <v>8955</v>
      </c>
      <c r="F96" s="523">
        <v>33358216.629999999</v>
      </c>
      <c r="G96" s="541">
        <v>1372</v>
      </c>
      <c r="H96" s="543">
        <v>458526.4</v>
      </c>
      <c r="I96" s="541">
        <v>20</v>
      </c>
      <c r="J96" s="543"/>
      <c r="K96" s="541"/>
      <c r="L96" s="523">
        <v>76510234.719999999</v>
      </c>
      <c r="M96" s="542">
        <v>202775</v>
      </c>
      <c r="N96" s="541">
        <v>148</v>
      </c>
      <c r="O96" s="523">
        <v>2383707.0499999998</v>
      </c>
      <c r="P96" s="542">
        <v>6766</v>
      </c>
      <c r="Q96" s="541">
        <v>2713</v>
      </c>
      <c r="R96" s="543">
        <v>233685.69</v>
      </c>
      <c r="S96" s="542">
        <v>766</v>
      </c>
      <c r="T96" s="541">
        <v>216</v>
      </c>
      <c r="U96" s="543"/>
      <c r="V96" s="542"/>
      <c r="W96" s="541"/>
      <c r="X96" s="224"/>
      <c r="Y96" s="222"/>
      <c r="Z96" s="224"/>
      <c r="AA96" s="46"/>
    </row>
    <row r="97" spans="2:27" x14ac:dyDescent="0.2">
      <c r="B97" s="166">
        <f>'1. LDC Info'!$F$27-5</f>
        <v>2011</v>
      </c>
      <c r="C97" s="44" t="s">
        <v>112</v>
      </c>
      <c r="D97" s="523"/>
      <c r="E97" s="541"/>
      <c r="F97" s="523"/>
      <c r="G97" s="541"/>
      <c r="H97" s="545"/>
      <c r="I97" s="541"/>
      <c r="J97" s="545"/>
      <c r="K97" s="541"/>
      <c r="L97" s="523"/>
      <c r="M97" s="542"/>
      <c r="N97" s="541"/>
      <c r="O97" s="523"/>
      <c r="P97" s="542"/>
      <c r="Q97" s="541"/>
      <c r="R97" s="543"/>
      <c r="S97" s="542"/>
      <c r="T97" s="541"/>
      <c r="U97" s="545"/>
      <c r="V97" s="542"/>
      <c r="W97" s="541"/>
      <c r="X97" s="49"/>
      <c r="Y97" s="222"/>
      <c r="Z97" s="49"/>
      <c r="AA97" s="46"/>
    </row>
    <row r="98" spans="2:27" x14ac:dyDescent="0.2">
      <c r="B98" s="166">
        <f>'1. LDC Info'!$F$27-5</f>
        <v>2011</v>
      </c>
      <c r="C98" s="44" t="s">
        <v>113</v>
      </c>
      <c r="D98" s="523"/>
      <c r="E98" s="541"/>
      <c r="F98" s="523"/>
      <c r="G98" s="541"/>
      <c r="H98" s="545"/>
      <c r="I98" s="541"/>
      <c r="J98" s="545"/>
      <c r="K98" s="541"/>
      <c r="L98" s="523"/>
      <c r="M98" s="542"/>
      <c r="N98" s="541"/>
      <c r="O98" s="523"/>
      <c r="P98" s="542"/>
      <c r="Q98" s="541"/>
      <c r="R98" s="543"/>
      <c r="S98" s="542"/>
      <c r="T98" s="541"/>
      <c r="U98" s="545"/>
      <c r="V98" s="542"/>
      <c r="W98" s="541"/>
      <c r="X98" s="49"/>
      <c r="Y98" s="222"/>
      <c r="Z98" s="49"/>
      <c r="AA98" s="46"/>
    </row>
    <row r="99" spans="2:27" x14ac:dyDescent="0.2">
      <c r="B99" s="166">
        <f>'1. LDC Info'!$F$27-5</f>
        <v>2011</v>
      </c>
      <c r="C99" s="44" t="s">
        <v>114</v>
      </c>
      <c r="D99" s="523"/>
      <c r="E99" s="541"/>
      <c r="F99" s="523"/>
      <c r="G99" s="541"/>
      <c r="H99" s="545"/>
      <c r="I99" s="541"/>
      <c r="J99" s="545"/>
      <c r="K99" s="541"/>
      <c r="L99" s="523"/>
      <c r="M99" s="542"/>
      <c r="N99" s="541"/>
      <c r="O99" s="523"/>
      <c r="P99" s="542"/>
      <c r="Q99" s="541"/>
      <c r="R99" s="543"/>
      <c r="S99" s="542"/>
      <c r="T99" s="541"/>
      <c r="U99" s="545"/>
      <c r="V99" s="542"/>
      <c r="W99" s="541"/>
      <c r="X99" s="49"/>
      <c r="Y99" s="222"/>
      <c r="Z99" s="49"/>
      <c r="AA99" s="46"/>
    </row>
    <row r="100" spans="2:27" x14ac:dyDescent="0.2">
      <c r="B100" s="166">
        <f>'1. LDC Info'!$F$27-5</f>
        <v>2011</v>
      </c>
      <c r="C100" s="44" t="s">
        <v>115</v>
      </c>
      <c r="D100" s="523"/>
      <c r="E100" s="541"/>
      <c r="F100" s="523"/>
      <c r="G100" s="541"/>
      <c r="H100" s="545"/>
      <c r="I100" s="541"/>
      <c r="J100" s="545"/>
      <c r="K100" s="541"/>
      <c r="L100" s="523"/>
      <c r="M100" s="542"/>
      <c r="N100" s="541"/>
      <c r="O100" s="523"/>
      <c r="P100" s="542"/>
      <c r="Q100" s="541"/>
      <c r="R100" s="543"/>
      <c r="S100" s="542"/>
      <c r="T100" s="541"/>
      <c r="U100" s="545"/>
      <c r="V100" s="542"/>
      <c r="W100" s="541"/>
      <c r="X100" s="49"/>
      <c r="Y100" s="222"/>
      <c r="Z100" s="49"/>
      <c r="AA100" s="46"/>
    </row>
    <row r="101" spans="2:27" x14ac:dyDescent="0.2">
      <c r="B101" s="166">
        <f>'1. LDC Info'!$F$27-5</f>
        <v>2011</v>
      </c>
      <c r="C101" s="44" t="s">
        <v>116</v>
      </c>
      <c r="D101" s="523"/>
      <c r="E101" s="541"/>
      <c r="F101" s="523"/>
      <c r="G101" s="541"/>
      <c r="H101" s="545"/>
      <c r="I101" s="541"/>
      <c r="J101" s="545"/>
      <c r="K101" s="541"/>
      <c r="L101" s="523"/>
      <c r="M101" s="542"/>
      <c r="N101" s="541"/>
      <c r="O101" s="523"/>
      <c r="P101" s="542"/>
      <c r="Q101" s="541"/>
      <c r="R101" s="543"/>
      <c r="S101" s="542"/>
      <c r="T101" s="541"/>
      <c r="U101" s="545"/>
      <c r="V101" s="542"/>
      <c r="W101" s="541"/>
      <c r="X101" s="49"/>
      <c r="Y101" s="222"/>
      <c r="Z101" s="49"/>
      <c r="AA101" s="46"/>
    </row>
    <row r="102" spans="2:27" x14ac:dyDescent="0.2">
      <c r="B102" s="166">
        <f>'1. LDC Info'!$F$27-5</f>
        <v>2011</v>
      </c>
      <c r="C102" s="44" t="s">
        <v>117</v>
      </c>
      <c r="D102" s="523"/>
      <c r="E102" s="541"/>
      <c r="F102" s="523"/>
      <c r="G102" s="541"/>
      <c r="H102" s="545"/>
      <c r="I102" s="541"/>
      <c r="J102" s="545"/>
      <c r="K102" s="541"/>
      <c r="L102" s="523"/>
      <c r="M102" s="542"/>
      <c r="N102" s="541"/>
      <c r="O102" s="523"/>
      <c r="P102" s="542"/>
      <c r="Q102" s="541"/>
      <c r="R102" s="543"/>
      <c r="S102" s="542"/>
      <c r="T102" s="541"/>
      <c r="U102" s="545"/>
      <c r="V102" s="542"/>
      <c r="W102" s="541"/>
      <c r="X102" s="49"/>
      <c r="Y102" s="222"/>
      <c r="Z102" s="49"/>
      <c r="AA102" s="46"/>
    </row>
    <row r="103" spans="2:27" x14ac:dyDescent="0.2">
      <c r="B103" s="166">
        <f>'1. LDC Info'!$F$27-5</f>
        <v>2011</v>
      </c>
      <c r="C103" s="44" t="s">
        <v>118</v>
      </c>
      <c r="D103" s="523"/>
      <c r="E103" s="541"/>
      <c r="F103" s="523"/>
      <c r="G103" s="541"/>
      <c r="H103" s="545"/>
      <c r="I103" s="541"/>
      <c r="J103" s="545"/>
      <c r="K103" s="541"/>
      <c r="L103" s="523"/>
      <c r="M103" s="542"/>
      <c r="N103" s="541"/>
      <c r="O103" s="523"/>
      <c r="P103" s="542"/>
      <c r="Q103" s="541"/>
      <c r="R103" s="543"/>
      <c r="S103" s="542"/>
      <c r="T103" s="541"/>
      <c r="U103" s="545"/>
      <c r="V103" s="542"/>
      <c r="W103" s="541"/>
      <c r="X103" s="49"/>
      <c r="Y103" s="222"/>
      <c r="Z103" s="49"/>
      <c r="AA103" s="46"/>
    </row>
    <row r="104" spans="2:27" x14ac:dyDescent="0.2">
      <c r="B104" s="166">
        <f>'1. LDC Info'!$F$27-5</f>
        <v>2011</v>
      </c>
      <c r="C104" s="44" t="s">
        <v>119</v>
      </c>
      <c r="D104" s="523"/>
      <c r="E104" s="541"/>
      <c r="F104" s="523"/>
      <c r="G104" s="541"/>
      <c r="H104" s="545"/>
      <c r="I104" s="541"/>
      <c r="J104" s="545"/>
      <c r="K104" s="541"/>
      <c r="L104" s="523"/>
      <c r="M104" s="542"/>
      <c r="N104" s="541"/>
      <c r="O104" s="523"/>
      <c r="P104" s="542"/>
      <c r="Q104" s="541"/>
      <c r="R104" s="543"/>
      <c r="S104" s="542"/>
      <c r="T104" s="541"/>
      <c r="U104" s="545"/>
      <c r="V104" s="542"/>
      <c r="W104" s="541"/>
      <c r="X104" s="49"/>
      <c r="Y104" s="222"/>
      <c r="Z104" s="49"/>
      <c r="AA104" s="46"/>
    </row>
    <row r="105" spans="2:27" x14ac:dyDescent="0.2">
      <c r="B105" s="166">
        <f>'1. LDC Info'!$F$27-5</f>
        <v>2011</v>
      </c>
      <c r="C105" s="44" t="s">
        <v>109</v>
      </c>
      <c r="D105" s="523"/>
      <c r="E105" s="541"/>
      <c r="F105" s="523"/>
      <c r="G105" s="541"/>
      <c r="H105" s="545"/>
      <c r="I105" s="541"/>
      <c r="J105" s="545"/>
      <c r="K105" s="541"/>
      <c r="L105" s="523"/>
      <c r="M105" s="542"/>
      <c r="N105" s="541"/>
      <c r="O105" s="523"/>
      <c r="P105" s="542"/>
      <c r="Q105" s="541"/>
      <c r="R105" s="543"/>
      <c r="S105" s="542"/>
      <c r="T105" s="541"/>
      <c r="U105" s="545"/>
      <c r="V105" s="542"/>
      <c r="W105" s="541"/>
      <c r="X105" s="49"/>
      <c r="Y105" s="222"/>
      <c r="Z105" s="49"/>
      <c r="AA105" s="46"/>
    </row>
    <row r="106" spans="2:27" x14ac:dyDescent="0.2">
      <c r="B106" s="166">
        <f>'1. LDC Info'!$F$27-5</f>
        <v>2011</v>
      </c>
      <c r="C106" s="44" t="s">
        <v>110</v>
      </c>
      <c r="D106" s="523"/>
      <c r="E106" s="541"/>
      <c r="F106" s="523"/>
      <c r="G106" s="541"/>
      <c r="H106" s="545"/>
      <c r="I106" s="541"/>
      <c r="J106" s="545"/>
      <c r="K106" s="541"/>
      <c r="L106" s="523"/>
      <c r="M106" s="542"/>
      <c r="N106" s="541"/>
      <c r="O106" s="523"/>
      <c r="P106" s="542"/>
      <c r="Q106" s="541"/>
      <c r="R106" s="543"/>
      <c r="S106" s="542"/>
      <c r="T106" s="541"/>
      <c r="U106" s="545"/>
      <c r="V106" s="542"/>
      <c r="W106" s="541"/>
      <c r="X106" s="49"/>
      <c r="Y106" s="222"/>
      <c r="Z106" s="49"/>
      <c r="AA106" s="46"/>
    </row>
    <row r="107" spans="2:27" x14ac:dyDescent="0.2">
      <c r="B107" s="166">
        <f>'1. LDC Info'!$F$27-5</f>
        <v>2011</v>
      </c>
      <c r="C107" s="44" t="s">
        <v>111</v>
      </c>
      <c r="D107" s="523"/>
      <c r="E107" s="541"/>
      <c r="F107" s="523"/>
      <c r="G107" s="541"/>
      <c r="H107" s="545"/>
      <c r="I107" s="541"/>
      <c r="J107" s="545"/>
      <c r="K107" s="541"/>
      <c r="L107" s="523"/>
      <c r="M107" s="542"/>
      <c r="N107" s="541"/>
      <c r="O107" s="523"/>
      <c r="P107" s="542"/>
      <c r="Q107" s="541"/>
      <c r="R107" s="543"/>
      <c r="S107" s="542"/>
      <c r="T107" s="541"/>
      <c r="U107" s="545"/>
      <c r="V107" s="542"/>
      <c r="W107" s="541"/>
      <c r="X107" s="49"/>
      <c r="Y107" s="222"/>
      <c r="Z107" s="49"/>
      <c r="AA107" s="46"/>
    </row>
    <row r="108" spans="2:27" x14ac:dyDescent="0.2">
      <c r="B108" s="166">
        <f>'1. LDC Info'!$F$27-5</f>
        <v>2011</v>
      </c>
      <c r="C108" s="44" t="s">
        <v>108</v>
      </c>
      <c r="D108" s="523">
        <v>79270519.859999999</v>
      </c>
      <c r="E108" s="541">
        <v>9030</v>
      </c>
      <c r="F108" s="523">
        <v>32279016.170000002</v>
      </c>
      <c r="G108" s="541">
        <v>1370</v>
      </c>
      <c r="H108" s="543">
        <v>469307.04</v>
      </c>
      <c r="I108" s="541">
        <v>20</v>
      </c>
      <c r="J108" s="543"/>
      <c r="K108" s="541"/>
      <c r="L108" s="523">
        <v>74853997.430000007</v>
      </c>
      <c r="M108" s="542">
        <v>203575</v>
      </c>
      <c r="N108" s="541">
        <v>145</v>
      </c>
      <c r="O108" s="523">
        <v>2458955</v>
      </c>
      <c r="P108" s="542">
        <v>6840</v>
      </c>
      <c r="Q108" s="541">
        <v>2769</v>
      </c>
      <c r="R108" s="543">
        <v>270899.02</v>
      </c>
      <c r="S108" s="542">
        <v>734</v>
      </c>
      <c r="T108" s="541">
        <v>209</v>
      </c>
      <c r="U108" s="543"/>
      <c r="V108" s="542"/>
      <c r="W108" s="541"/>
      <c r="X108" s="49"/>
      <c r="Y108" s="222"/>
      <c r="Z108" s="49"/>
      <c r="AA108" s="46"/>
    </row>
    <row r="109" spans="2:27" x14ac:dyDescent="0.2">
      <c r="B109" s="166">
        <f>'1. LDC Info'!$F$27-4</f>
        <v>2012</v>
      </c>
      <c r="C109" s="44" t="s">
        <v>112</v>
      </c>
      <c r="D109" s="543"/>
      <c r="E109" s="541">
        <v>9037</v>
      </c>
      <c r="F109" s="543"/>
      <c r="G109" s="541">
        <v>1372</v>
      </c>
      <c r="H109" s="545"/>
      <c r="I109" s="541">
        <v>20</v>
      </c>
      <c r="J109" s="545"/>
      <c r="K109" s="541"/>
      <c r="L109" s="523"/>
      <c r="M109" s="542"/>
      <c r="N109" s="541">
        <v>146</v>
      </c>
      <c r="O109" s="523">
        <v>262300.84999999998</v>
      </c>
      <c r="P109" s="542">
        <v>564.4</v>
      </c>
      <c r="Q109" s="541">
        <v>2769</v>
      </c>
      <c r="R109" s="543"/>
      <c r="S109" s="542"/>
      <c r="T109" s="541">
        <v>209</v>
      </c>
      <c r="U109" s="545"/>
      <c r="V109" s="542"/>
      <c r="W109" s="541"/>
      <c r="X109" s="49"/>
      <c r="Y109" s="222"/>
      <c r="Z109" s="49"/>
      <c r="AA109" s="46"/>
    </row>
    <row r="110" spans="2:27" x14ac:dyDescent="0.2">
      <c r="B110" s="166">
        <f>'1. LDC Info'!$F$27-4</f>
        <v>2012</v>
      </c>
      <c r="C110" s="44" t="s">
        <v>113</v>
      </c>
      <c r="D110" s="543"/>
      <c r="E110" s="541">
        <v>9044</v>
      </c>
      <c r="F110" s="543"/>
      <c r="G110" s="541">
        <v>1368</v>
      </c>
      <c r="H110" s="545"/>
      <c r="I110" s="541">
        <v>20</v>
      </c>
      <c r="J110" s="545"/>
      <c r="K110" s="541"/>
      <c r="L110" s="523"/>
      <c r="M110" s="542"/>
      <c r="N110" s="541">
        <v>144</v>
      </c>
      <c r="O110" s="523">
        <v>255592.26</v>
      </c>
      <c r="P110" s="542">
        <v>564.29999999999995</v>
      </c>
      <c r="Q110" s="541">
        <v>2779</v>
      </c>
      <c r="R110" s="543"/>
      <c r="S110" s="542"/>
      <c r="T110" s="541">
        <v>209</v>
      </c>
      <c r="U110" s="545"/>
      <c r="V110" s="542"/>
      <c r="W110" s="541"/>
      <c r="X110" s="49"/>
      <c r="Y110" s="222"/>
      <c r="Z110" s="49"/>
      <c r="AA110" s="46"/>
    </row>
    <row r="111" spans="2:27" x14ac:dyDescent="0.2">
      <c r="B111" s="166">
        <f>'1. LDC Info'!$F$27-4</f>
        <v>2012</v>
      </c>
      <c r="C111" s="44" t="s">
        <v>114</v>
      </c>
      <c r="D111" s="543"/>
      <c r="E111" s="541">
        <v>9046</v>
      </c>
      <c r="F111" s="543"/>
      <c r="G111" s="541">
        <v>1369</v>
      </c>
      <c r="H111" s="545"/>
      <c r="I111" s="541">
        <v>20</v>
      </c>
      <c r="J111" s="545"/>
      <c r="K111" s="541"/>
      <c r="L111" s="523"/>
      <c r="M111" s="542"/>
      <c r="N111" s="541">
        <v>143</v>
      </c>
      <c r="O111" s="523">
        <v>220039.72</v>
      </c>
      <c r="P111" s="542">
        <v>564.29999999999995</v>
      </c>
      <c r="Q111" s="541">
        <v>2779</v>
      </c>
      <c r="R111" s="543"/>
      <c r="S111" s="542"/>
      <c r="T111" s="541">
        <v>208</v>
      </c>
      <c r="U111" s="545"/>
      <c r="V111" s="542"/>
      <c r="W111" s="541"/>
      <c r="X111" s="49"/>
      <c r="Y111" s="222"/>
      <c r="Z111" s="49"/>
      <c r="AA111" s="46"/>
    </row>
    <row r="112" spans="2:27" x14ac:dyDescent="0.2">
      <c r="B112" s="166">
        <f>'1. LDC Info'!$F$27-4</f>
        <v>2012</v>
      </c>
      <c r="C112" s="44" t="s">
        <v>115</v>
      </c>
      <c r="D112" s="543"/>
      <c r="E112" s="541">
        <v>9048</v>
      </c>
      <c r="F112" s="543"/>
      <c r="G112" s="541">
        <v>1369</v>
      </c>
      <c r="H112" s="545"/>
      <c r="I112" s="541">
        <v>20</v>
      </c>
      <c r="J112" s="545"/>
      <c r="K112" s="541"/>
      <c r="L112" s="523"/>
      <c r="M112" s="542"/>
      <c r="N112" s="541">
        <v>144</v>
      </c>
      <c r="O112" s="523">
        <v>210681.33</v>
      </c>
      <c r="P112" s="542">
        <v>564.29999999999995</v>
      </c>
      <c r="Q112" s="541">
        <v>2779</v>
      </c>
      <c r="R112" s="543"/>
      <c r="S112" s="542"/>
      <c r="T112" s="541">
        <v>208</v>
      </c>
      <c r="U112" s="545"/>
      <c r="V112" s="542"/>
      <c r="W112" s="541"/>
      <c r="X112" s="49"/>
      <c r="Y112" s="222"/>
      <c r="Z112" s="49"/>
      <c r="AA112" s="46"/>
    </row>
    <row r="113" spans="2:27" x14ac:dyDescent="0.2">
      <c r="B113" s="166">
        <f>'1. LDC Info'!$F$27-4</f>
        <v>2012</v>
      </c>
      <c r="C113" s="44" t="s">
        <v>116</v>
      </c>
      <c r="D113" s="543"/>
      <c r="E113" s="541">
        <v>9050</v>
      </c>
      <c r="F113" s="543"/>
      <c r="G113" s="541">
        <v>1369</v>
      </c>
      <c r="H113" s="545"/>
      <c r="I113" s="541">
        <v>20</v>
      </c>
      <c r="J113" s="545"/>
      <c r="K113" s="541"/>
      <c r="L113" s="523"/>
      <c r="M113" s="542"/>
      <c r="N113" s="541">
        <v>144</v>
      </c>
      <c r="O113" s="523">
        <v>178655.89</v>
      </c>
      <c r="P113" s="542">
        <v>564.29999999999995</v>
      </c>
      <c r="Q113" s="541">
        <v>2779</v>
      </c>
      <c r="R113" s="543"/>
      <c r="S113" s="542"/>
      <c r="T113" s="541">
        <v>208</v>
      </c>
      <c r="U113" s="545"/>
      <c r="V113" s="542"/>
      <c r="W113" s="541"/>
      <c r="X113" s="49"/>
      <c r="Y113" s="222"/>
      <c r="Z113" s="49"/>
      <c r="AA113" s="46"/>
    </row>
    <row r="114" spans="2:27" x14ac:dyDescent="0.2">
      <c r="B114" s="166">
        <f>'1. LDC Info'!$F$27-4</f>
        <v>2012</v>
      </c>
      <c r="C114" s="44" t="s">
        <v>117</v>
      </c>
      <c r="D114" s="543"/>
      <c r="E114" s="541">
        <v>9054</v>
      </c>
      <c r="F114" s="543"/>
      <c r="G114" s="541">
        <v>1367</v>
      </c>
      <c r="H114" s="545"/>
      <c r="I114" s="541">
        <v>20</v>
      </c>
      <c r="J114" s="545"/>
      <c r="K114" s="541"/>
      <c r="L114" s="523"/>
      <c r="M114" s="542"/>
      <c r="N114" s="541">
        <v>144</v>
      </c>
      <c r="O114" s="523">
        <v>162265.57999999999</v>
      </c>
      <c r="P114" s="542">
        <v>564.1</v>
      </c>
      <c r="Q114" s="541">
        <v>2779</v>
      </c>
      <c r="R114" s="543"/>
      <c r="S114" s="542"/>
      <c r="T114" s="541">
        <v>208</v>
      </c>
      <c r="U114" s="545"/>
      <c r="V114" s="542"/>
      <c r="W114" s="541"/>
      <c r="X114" s="49"/>
      <c r="Y114" s="222"/>
      <c r="Z114" s="49"/>
      <c r="AA114" s="46"/>
    </row>
    <row r="115" spans="2:27" x14ac:dyDescent="0.2">
      <c r="B115" s="166">
        <f>'1. LDC Info'!$F$27-4</f>
        <v>2012</v>
      </c>
      <c r="C115" s="44" t="s">
        <v>118</v>
      </c>
      <c r="D115" s="543"/>
      <c r="E115" s="541">
        <v>9065</v>
      </c>
      <c r="F115" s="543"/>
      <c r="G115" s="541">
        <v>1364</v>
      </c>
      <c r="H115" s="545"/>
      <c r="I115" s="541">
        <v>20</v>
      </c>
      <c r="J115" s="545"/>
      <c r="K115" s="541"/>
      <c r="L115" s="523"/>
      <c r="M115" s="542"/>
      <c r="N115" s="541">
        <v>144</v>
      </c>
      <c r="O115" s="523">
        <v>146176.49</v>
      </c>
      <c r="P115" s="542">
        <v>564.1</v>
      </c>
      <c r="Q115" s="541">
        <v>2779</v>
      </c>
      <c r="R115" s="543"/>
      <c r="S115" s="542"/>
      <c r="T115" s="541">
        <v>208</v>
      </c>
      <c r="U115" s="545"/>
      <c r="V115" s="542"/>
      <c r="W115" s="541"/>
      <c r="X115" s="49"/>
      <c r="Y115" s="222"/>
      <c r="Z115" s="49"/>
      <c r="AA115" s="46"/>
    </row>
    <row r="116" spans="2:27" x14ac:dyDescent="0.2">
      <c r="B116" s="166">
        <f>'1. LDC Info'!$F$27-4</f>
        <v>2012</v>
      </c>
      <c r="C116" s="44" t="s">
        <v>119</v>
      </c>
      <c r="D116" s="543"/>
      <c r="E116" s="541">
        <v>9087</v>
      </c>
      <c r="F116" s="543"/>
      <c r="G116" s="541">
        <v>1364</v>
      </c>
      <c r="H116" s="545"/>
      <c r="I116" s="541">
        <v>20</v>
      </c>
      <c r="J116" s="545"/>
      <c r="K116" s="541"/>
      <c r="L116" s="523"/>
      <c r="M116" s="542"/>
      <c r="N116" s="541">
        <v>144</v>
      </c>
      <c r="O116" s="523">
        <v>156711.39000000001</v>
      </c>
      <c r="P116" s="542">
        <v>563.79999999999995</v>
      </c>
      <c r="Q116" s="541">
        <v>2779</v>
      </c>
      <c r="R116" s="543"/>
      <c r="S116" s="542"/>
      <c r="T116" s="541">
        <v>208</v>
      </c>
      <c r="U116" s="545"/>
      <c r="V116" s="542"/>
      <c r="W116" s="541"/>
      <c r="X116" s="49"/>
      <c r="Y116" s="222"/>
      <c r="Z116" s="49"/>
      <c r="AA116" s="46"/>
    </row>
    <row r="117" spans="2:27" x14ac:dyDescent="0.2">
      <c r="B117" s="166">
        <f>'1. LDC Info'!$F$27-4</f>
        <v>2012</v>
      </c>
      <c r="C117" s="44" t="s">
        <v>109</v>
      </c>
      <c r="D117" s="543"/>
      <c r="E117" s="541">
        <v>9097</v>
      </c>
      <c r="F117" s="543"/>
      <c r="G117" s="541">
        <v>1360</v>
      </c>
      <c r="H117" s="545"/>
      <c r="I117" s="541">
        <v>20</v>
      </c>
      <c r="J117" s="545"/>
      <c r="K117" s="541"/>
      <c r="L117" s="523"/>
      <c r="M117" s="542"/>
      <c r="N117" s="541">
        <v>143</v>
      </c>
      <c r="O117" s="523">
        <v>176433.4</v>
      </c>
      <c r="P117" s="542">
        <v>563.70000000000005</v>
      </c>
      <c r="Q117" s="541">
        <v>2779</v>
      </c>
      <c r="R117" s="543"/>
      <c r="S117" s="542"/>
      <c r="T117" s="541">
        <v>208</v>
      </c>
      <c r="U117" s="545"/>
      <c r="V117" s="542"/>
      <c r="W117" s="541"/>
      <c r="X117" s="49"/>
      <c r="Y117" s="222"/>
      <c r="Z117" s="49"/>
      <c r="AA117" s="46"/>
    </row>
    <row r="118" spans="2:27" x14ac:dyDescent="0.2">
      <c r="B118" s="166">
        <f>'1. LDC Info'!$F$27-4</f>
        <v>2012</v>
      </c>
      <c r="C118" s="44" t="s">
        <v>110</v>
      </c>
      <c r="D118" s="543"/>
      <c r="E118" s="541">
        <v>9114</v>
      </c>
      <c r="F118" s="543"/>
      <c r="G118" s="541">
        <v>1359</v>
      </c>
      <c r="H118" s="545"/>
      <c r="I118" s="541">
        <v>20</v>
      </c>
      <c r="J118" s="545"/>
      <c r="K118" s="541"/>
      <c r="L118" s="523"/>
      <c r="M118" s="542"/>
      <c r="N118" s="541">
        <v>144</v>
      </c>
      <c r="O118" s="523">
        <v>194800.14</v>
      </c>
      <c r="P118" s="542">
        <v>563.70000000000005</v>
      </c>
      <c r="Q118" s="541">
        <v>2779</v>
      </c>
      <c r="R118" s="543"/>
      <c r="S118" s="542"/>
      <c r="T118" s="541">
        <v>208</v>
      </c>
      <c r="U118" s="545"/>
      <c r="V118" s="542"/>
      <c r="W118" s="541"/>
      <c r="X118" s="49"/>
      <c r="Y118" s="222"/>
      <c r="Z118" s="49"/>
      <c r="AA118" s="46"/>
    </row>
    <row r="119" spans="2:27" x14ac:dyDescent="0.2">
      <c r="B119" s="166">
        <f>'1. LDC Info'!$F$27-4</f>
        <v>2012</v>
      </c>
      <c r="C119" s="44" t="s">
        <v>111</v>
      </c>
      <c r="D119" s="543"/>
      <c r="E119" s="541">
        <v>9128</v>
      </c>
      <c r="F119" s="543"/>
      <c r="G119" s="541">
        <v>1354</v>
      </c>
      <c r="H119" s="545"/>
      <c r="I119" s="541">
        <v>20</v>
      </c>
      <c r="J119" s="545"/>
      <c r="K119" s="541"/>
      <c r="L119" s="523"/>
      <c r="M119" s="542"/>
      <c r="N119" s="541">
        <v>144</v>
      </c>
      <c r="O119" s="523">
        <v>227118.07999999999</v>
      </c>
      <c r="P119" s="542">
        <v>563.70000000000005</v>
      </c>
      <c r="Q119" s="541">
        <v>2779</v>
      </c>
      <c r="R119" s="543"/>
      <c r="S119" s="542"/>
      <c r="T119" s="541">
        <v>208</v>
      </c>
      <c r="U119" s="545"/>
      <c r="V119" s="542"/>
      <c r="W119" s="541"/>
      <c r="X119" s="49"/>
      <c r="Y119" s="222"/>
      <c r="Z119" s="49"/>
      <c r="AA119" s="46"/>
    </row>
    <row r="120" spans="2:27" x14ac:dyDescent="0.2">
      <c r="B120" s="166">
        <f>'1. LDC Info'!$F$27-4</f>
        <v>2012</v>
      </c>
      <c r="C120" s="44" t="s">
        <v>108</v>
      </c>
      <c r="D120" s="523">
        <v>78553743.920000002</v>
      </c>
      <c r="E120" s="541">
        <v>9136</v>
      </c>
      <c r="F120" s="523">
        <v>31948521.120000001</v>
      </c>
      <c r="G120" s="541">
        <v>1351</v>
      </c>
      <c r="H120" s="543">
        <v>448159.09</v>
      </c>
      <c r="I120" s="541">
        <v>20</v>
      </c>
      <c r="J120" s="543"/>
      <c r="K120" s="541"/>
      <c r="L120" s="523">
        <v>74516293.329999998</v>
      </c>
      <c r="M120" s="542">
        <v>207916</v>
      </c>
      <c r="N120" s="541">
        <v>144</v>
      </c>
      <c r="O120" s="523">
        <v>241914.81</v>
      </c>
      <c r="P120" s="542">
        <v>563.70000000000005</v>
      </c>
      <c r="Q120" s="541">
        <v>2780</v>
      </c>
      <c r="R120" s="543">
        <v>243747.31</v>
      </c>
      <c r="S120" s="542">
        <v>713</v>
      </c>
      <c r="T120" s="541">
        <v>208</v>
      </c>
      <c r="U120" s="543"/>
      <c r="V120" s="542"/>
      <c r="W120" s="541"/>
      <c r="X120" s="49"/>
      <c r="Y120" s="222"/>
      <c r="Z120" s="49"/>
      <c r="AA120" s="46"/>
    </row>
    <row r="121" spans="2:27" x14ac:dyDescent="0.2">
      <c r="B121" s="166">
        <f>'1. LDC Info'!$F$27-3</f>
        <v>2013</v>
      </c>
      <c r="C121" s="44" t="s">
        <v>112</v>
      </c>
      <c r="D121" s="543"/>
      <c r="E121" s="541">
        <v>9140</v>
      </c>
      <c r="F121" s="543"/>
      <c r="G121" s="541">
        <v>1343</v>
      </c>
      <c r="H121" s="544"/>
      <c r="I121" s="541">
        <v>20</v>
      </c>
      <c r="J121" s="544"/>
      <c r="K121" s="541"/>
      <c r="L121" s="523"/>
      <c r="M121" s="542"/>
      <c r="N121" s="541">
        <v>145</v>
      </c>
      <c r="O121" s="523">
        <v>261973.09</v>
      </c>
      <c r="P121" s="542">
        <v>563.6</v>
      </c>
      <c r="Q121" s="541">
        <v>2780</v>
      </c>
      <c r="R121" s="543"/>
      <c r="S121" s="542"/>
      <c r="T121" s="541">
        <v>208</v>
      </c>
      <c r="U121" s="544"/>
      <c r="V121" s="542"/>
      <c r="W121" s="541"/>
      <c r="X121" s="224"/>
      <c r="Y121" s="222"/>
      <c r="Z121" s="224"/>
      <c r="AA121" s="46"/>
    </row>
    <row r="122" spans="2:27" x14ac:dyDescent="0.2">
      <c r="B122" s="166">
        <f>'1. LDC Info'!$F$27-3</f>
        <v>2013</v>
      </c>
      <c r="C122" s="44" t="s">
        <v>113</v>
      </c>
      <c r="D122" s="543"/>
      <c r="E122" s="541">
        <v>9144</v>
      </c>
      <c r="F122" s="543"/>
      <c r="G122" s="541">
        <v>1342</v>
      </c>
      <c r="H122" s="544"/>
      <c r="I122" s="541">
        <v>20</v>
      </c>
      <c r="J122" s="544"/>
      <c r="K122" s="541"/>
      <c r="L122" s="523"/>
      <c r="M122" s="542"/>
      <c r="N122" s="541">
        <v>145</v>
      </c>
      <c r="O122" s="523">
        <v>255189.1</v>
      </c>
      <c r="P122" s="542">
        <v>563.4</v>
      </c>
      <c r="Q122" s="541">
        <v>2780</v>
      </c>
      <c r="R122" s="543"/>
      <c r="S122" s="542"/>
      <c r="T122" s="541">
        <v>208</v>
      </c>
      <c r="U122" s="544"/>
      <c r="V122" s="542"/>
      <c r="W122" s="541"/>
      <c r="X122" s="224"/>
      <c r="Y122" s="222"/>
      <c r="Z122" s="224"/>
      <c r="AA122" s="46"/>
    </row>
    <row r="123" spans="2:27" x14ac:dyDescent="0.2">
      <c r="B123" s="166">
        <f>'1. LDC Info'!$F$27-3</f>
        <v>2013</v>
      </c>
      <c r="C123" s="44" t="s">
        <v>114</v>
      </c>
      <c r="D123" s="543"/>
      <c r="E123" s="541">
        <v>9156</v>
      </c>
      <c r="F123" s="543"/>
      <c r="G123" s="541">
        <v>1340</v>
      </c>
      <c r="H123" s="544"/>
      <c r="I123" s="541">
        <v>20</v>
      </c>
      <c r="J123" s="544"/>
      <c r="K123" s="541"/>
      <c r="L123" s="523"/>
      <c r="M123" s="542"/>
      <c r="N123" s="541">
        <v>145</v>
      </c>
      <c r="O123" s="523">
        <v>212348.82</v>
      </c>
      <c r="P123" s="542">
        <v>563.1</v>
      </c>
      <c r="Q123" s="541">
        <v>2780</v>
      </c>
      <c r="R123" s="543"/>
      <c r="S123" s="542"/>
      <c r="T123" s="541">
        <v>205</v>
      </c>
      <c r="U123" s="544"/>
      <c r="V123" s="542"/>
      <c r="W123" s="541"/>
      <c r="X123" s="224"/>
      <c r="Y123" s="222"/>
      <c r="Z123" s="224"/>
      <c r="AA123" s="46"/>
    </row>
    <row r="124" spans="2:27" x14ac:dyDescent="0.2">
      <c r="B124" s="166">
        <f>'1. LDC Info'!$F$27-3</f>
        <v>2013</v>
      </c>
      <c r="C124" s="44" t="s">
        <v>115</v>
      </c>
      <c r="D124" s="543"/>
      <c r="E124" s="541">
        <v>9157</v>
      </c>
      <c r="F124" s="543"/>
      <c r="G124" s="541">
        <v>1339</v>
      </c>
      <c r="H124" s="544"/>
      <c r="I124" s="541">
        <v>20</v>
      </c>
      <c r="J124" s="544"/>
      <c r="K124" s="541"/>
      <c r="L124" s="523"/>
      <c r="M124" s="542"/>
      <c r="N124" s="541">
        <v>145</v>
      </c>
      <c r="O124" s="523">
        <v>210199.73</v>
      </c>
      <c r="P124" s="542">
        <v>563</v>
      </c>
      <c r="Q124" s="541">
        <v>2781</v>
      </c>
      <c r="R124" s="543"/>
      <c r="S124" s="542"/>
      <c r="T124" s="541">
        <v>205</v>
      </c>
      <c r="U124" s="544"/>
      <c r="V124" s="542"/>
      <c r="W124" s="541"/>
      <c r="X124" s="224"/>
      <c r="Y124" s="222"/>
      <c r="Z124" s="224"/>
      <c r="AA124" s="46"/>
    </row>
    <row r="125" spans="2:27" x14ac:dyDescent="0.2">
      <c r="B125" s="166">
        <f>'1. LDC Info'!$F$27-3</f>
        <v>2013</v>
      </c>
      <c r="C125" s="44" t="s">
        <v>116</v>
      </c>
      <c r="D125" s="543"/>
      <c r="E125" s="541">
        <v>9173</v>
      </c>
      <c r="F125" s="543"/>
      <c r="G125" s="541">
        <v>1336</v>
      </c>
      <c r="H125" s="544"/>
      <c r="I125" s="541">
        <v>20</v>
      </c>
      <c r="J125" s="544"/>
      <c r="K125" s="541"/>
      <c r="L125" s="523"/>
      <c r="M125" s="542"/>
      <c r="N125" s="541">
        <v>145</v>
      </c>
      <c r="O125" s="523">
        <v>178247.5</v>
      </c>
      <c r="P125" s="542">
        <v>563</v>
      </c>
      <c r="Q125" s="541">
        <v>2781</v>
      </c>
      <c r="R125" s="543"/>
      <c r="S125" s="542"/>
      <c r="T125" s="541">
        <v>205</v>
      </c>
      <c r="U125" s="544"/>
      <c r="V125" s="542"/>
      <c r="W125" s="541"/>
      <c r="X125" s="224"/>
      <c r="Y125" s="222"/>
      <c r="Z125" s="224"/>
      <c r="AA125" s="46"/>
    </row>
    <row r="126" spans="2:27" x14ac:dyDescent="0.2">
      <c r="B126" s="166">
        <f>'1. LDC Info'!$F$27-3</f>
        <v>2013</v>
      </c>
      <c r="C126" s="44" t="s">
        <v>117</v>
      </c>
      <c r="D126" s="543"/>
      <c r="E126" s="541">
        <v>9192</v>
      </c>
      <c r="F126" s="543"/>
      <c r="G126" s="541">
        <v>1334</v>
      </c>
      <c r="H126" s="544"/>
      <c r="I126" s="541">
        <v>20</v>
      </c>
      <c r="J126" s="544"/>
      <c r="K126" s="541"/>
      <c r="L126" s="523"/>
      <c r="M126" s="542"/>
      <c r="N126" s="541">
        <v>145</v>
      </c>
      <c r="O126" s="523">
        <v>161908.87</v>
      </c>
      <c r="P126" s="542">
        <v>562.79999999999995</v>
      </c>
      <c r="Q126" s="541">
        <v>2781</v>
      </c>
      <c r="R126" s="543"/>
      <c r="S126" s="542"/>
      <c r="T126" s="541">
        <v>205</v>
      </c>
      <c r="U126" s="544"/>
      <c r="V126" s="542"/>
      <c r="W126" s="541"/>
      <c r="X126" s="224"/>
      <c r="Y126" s="222"/>
      <c r="Z126" s="224"/>
      <c r="AA126" s="46"/>
    </row>
    <row r="127" spans="2:27" x14ac:dyDescent="0.2">
      <c r="B127" s="166">
        <f>'1. LDC Info'!$F$27-3</f>
        <v>2013</v>
      </c>
      <c r="C127" s="44" t="s">
        <v>118</v>
      </c>
      <c r="D127" s="543"/>
      <c r="E127" s="541">
        <v>9204</v>
      </c>
      <c r="F127" s="543"/>
      <c r="G127" s="541">
        <v>1330</v>
      </c>
      <c r="H127" s="544"/>
      <c r="I127" s="541">
        <v>20</v>
      </c>
      <c r="J127" s="544"/>
      <c r="K127" s="541"/>
      <c r="L127" s="523"/>
      <c r="M127" s="542"/>
      <c r="N127" s="541">
        <v>145</v>
      </c>
      <c r="O127" s="523">
        <v>145891.69</v>
      </c>
      <c r="P127" s="542">
        <v>562.79999999999995</v>
      </c>
      <c r="Q127" s="541">
        <v>2790</v>
      </c>
      <c r="R127" s="543"/>
      <c r="S127" s="542"/>
      <c r="T127" s="541">
        <v>205</v>
      </c>
      <c r="U127" s="544"/>
      <c r="V127" s="542"/>
      <c r="W127" s="541"/>
      <c r="X127" s="224"/>
      <c r="Y127" s="222"/>
      <c r="Z127" s="224"/>
      <c r="AA127" s="46"/>
    </row>
    <row r="128" spans="2:27" x14ac:dyDescent="0.2">
      <c r="B128" s="166">
        <f>'1. LDC Info'!$F$27-3</f>
        <v>2013</v>
      </c>
      <c r="C128" s="44" t="s">
        <v>119</v>
      </c>
      <c r="D128" s="543"/>
      <c r="E128" s="541">
        <v>9210</v>
      </c>
      <c r="F128" s="543"/>
      <c r="G128" s="541">
        <v>1325</v>
      </c>
      <c r="H128" s="544"/>
      <c r="I128" s="541">
        <v>20</v>
      </c>
      <c r="J128" s="544"/>
      <c r="K128" s="541"/>
      <c r="L128" s="523"/>
      <c r="M128" s="542"/>
      <c r="N128" s="541">
        <v>144</v>
      </c>
      <c r="O128" s="523">
        <v>156688.64000000001</v>
      </c>
      <c r="P128" s="542">
        <v>565.1</v>
      </c>
      <c r="Q128" s="541">
        <v>2790</v>
      </c>
      <c r="R128" s="543"/>
      <c r="S128" s="542"/>
      <c r="T128" s="541">
        <v>205</v>
      </c>
      <c r="U128" s="544"/>
      <c r="V128" s="542"/>
      <c r="W128" s="541"/>
      <c r="X128" s="224"/>
      <c r="Y128" s="222"/>
      <c r="Z128" s="224"/>
      <c r="AA128" s="46"/>
    </row>
    <row r="129" spans="2:27" x14ac:dyDescent="0.2">
      <c r="B129" s="166">
        <f>'1. LDC Info'!$F$27-3</f>
        <v>2013</v>
      </c>
      <c r="C129" s="44" t="s">
        <v>109</v>
      </c>
      <c r="D129" s="543"/>
      <c r="E129" s="541">
        <v>9217</v>
      </c>
      <c r="F129" s="543"/>
      <c r="G129" s="541">
        <v>1325</v>
      </c>
      <c r="H129" s="544"/>
      <c r="I129" s="541">
        <v>20</v>
      </c>
      <c r="J129" s="544"/>
      <c r="K129" s="541"/>
      <c r="L129" s="523"/>
      <c r="M129" s="542"/>
      <c r="N129" s="541">
        <v>145</v>
      </c>
      <c r="O129" s="523">
        <v>176876.16</v>
      </c>
      <c r="P129" s="542">
        <v>565.1</v>
      </c>
      <c r="Q129" s="541">
        <v>2794</v>
      </c>
      <c r="R129" s="543"/>
      <c r="S129" s="542"/>
      <c r="T129" s="541">
        <v>205</v>
      </c>
      <c r="U129" s="544"/>
      <c r="V129" s="542"/>
      <c r="W129" s="541"/>
      <c r="X129" s="224"/>
      <c r="Y129" s="222"/>
      <c r="Z129" s="224"/>
      <c r="AA129" s="46"/>
    </row>
    <row r="130" spans="2:27" x14ac:dyDescent="0.2">
      <c r="B130" s="166">
        <f>'1. LDC Info'!$F$27-3</f>
        <v>2013</v>
      </c>
      <c r="C130" s="44" t="s">
        <v>110</v>
      </c>
      <c r="D130" s="543"/>
      <c r="E130" s="541">
        <v>9230</v>
      </c>
      <c r="F130" s="543"/>
      <c r="G130" s="541">
        <v>1325</v>
      </c>
      <c r="H130" s="544"/>
      <c r="I130" s="541">
        <v>20</v>
      </c>
      <c r="J130" s="544"/>
      <c r="K130" s="541"/>
      <c r="L130" s="523"/>
      <c r="M130" s="542"/>
      <c r="N130" s="541">
        <v>146</v>
      </c>
      <c r="O130" s="523">
        <v>195222.49</v>
      </c>
      <c r="P130" s="542">
        <v>565</v>
      </c>
      <c r="Q130" s="541">
        <v>2794</v>
      </c>
      <c r="R130" s="543"/>
      <c r="S130" s="542"/>
      <c r="T130" s="541">
        <v>205</v>
      </c>
      <c r="U130" s="544"/>
      <c r="V130" s="542"/>
      <c r="W130" s="541"/>
      <c r="X130" s="224"/>
      <c r="Y130" s="222"/>
      <c r="Z130" s="224"/>
      <c r="AA130" s="46"/>
    </row>
    <row r="131" spans="2:27" x14ac:dyDescent="0.2">
      <c r="B131" s="166">
        <f>'1. LDC Info'!$F$27-3</f>
        <v>2013</v>
      </c>
      <c r="C131" s="44" t="s">
        <v>111</v>
      </c>
      <c r="D131" s="543"/>
      <c r="E131" s="541">
        <v>9245</v>
      </c>
      <c r="F131" s="543"/>
      <c r="G131" s="541">
        <v>1323</v>
      </c>
      <c r="H131" s="544"/>
      <c r="I131" s="541">
        <v>20</v>
      </c>
      <c r="J131" s="544"/>
      <c r="K131" s="541"/>
      <c r="L131" s="523"/>
      <c r="M131" s="542"/>
      <c r="N131" s="541">
        <v>146</v>
      </c>
      <c r="O131" s="523">
        <v>227442.43</v>
      </c>
      <c r="P131" s="542">
        <v>564.5</v>
      </c>
      <c r="Q131" s="541">
        <v>2794</v>
      </c>
      <c r="R131" s="543"/>
      <c r="S131" s="542"/>
      <c r="T131" s="541">
        <v>205</v>
      </c>
      <c r="U131" s="544"/>
      <c r="V131" s="542"/>
      <c r="W131" s="541"/>
      <c r="X131" s="224"/>
      <c r="Y131" s="222"/>
      <c r="Z131" s="224"/>
      <c r="AA131" s="46"/>
    </row>
    <row r="132" spans="2:27" x14ac:dyDescent="0.2">
      <c r="B132" s="166">
        <f>'1. LDC Info'!$F$27-3</f>
        <v>2013</v>
      </c>
      <c r="C132" s="44" t="s">
        <v>108</v>
      </c>
      <c r="D132" s="523">
        <v>80138213.859999999</v>
      </c>
      <c r="E132" s="541">
        <v>9250</v>
      </c>
      <c r="F132" s="523">
        <v>31708039.23</v>
      </c>
      <c r="G132" s="541">
        <v>1322</v>
      </c>
      <c r="H132" s="543">
        <v>453470.7</v>
      </c>
      <c r="I132" s="541">
        <v>20</v>
      </c>
      <c r="J132" s="543"/>
      <c r="K132" s="541"/>
      <c r="L132" s="523">
        <v>73596923.409999996</v>
      </c>
      <c r="M132" s="542">
        <v>216501</v>
      </c>
      <c r="N132" s="541">
        <v>146</v>
      </c>
      <c r="O132" s="523">
        <v>242260.29</v>
      </c>
      <c r="P132" s="542">
        <v>564.5</v>
      </c>
      <c r="Q132" s="541">
        <v>2794</v>
      </c>
      <c r="R132" s="543">
        <v>270899.02</v>
      </c>
      <c r="S132" s="542">
        <v>700</v>
      </c>
      <c r="T132" s="541">
        <v>205</v>
      </c>
      <c r="U132" s="543"/>
      <c r="V132" s="542"/>
      <c r="W132" s="541"/>
      <c r="X132" s="224"/>
      <c r="Y132" s="222"/>
      <c r="Z132" s="224"/>
      <c r="AA132" s="46"/>
    </row>
    <row r="133" spans="2:27" x14ac:dyDescent="0.2">
      <c r="B133" s="166">
        <f>'1. LDC Info'!$F$27-2</f>
        <v>2014</v>
      </c>
      <c r="C133" s="44" t="s">
        <v>112</v>
      </c>
      <c r="D133" s="543"/>
      <c r="E133" s="541">
        <v>9252</v>
      </c>
      <c r="F133" s="543"/>
      <c r="G133" s="541">
        <v>1321</v>
      </c>
      <c r="H133" s="544"/>
      <c r="I133" s="541">
        <v>20</v>
      </c>
      <c r="J133" s="544"/>
      <c r="K133" s="541"/>
      <c r="L133" s="523"/>
      <c r="M133" s="542"/>
      <c r="N133" s="541">
        <v>146</v>
      </c>
      <c r="O133" s="523">
        <v>262421.65999999997</v>
      </c>
      <c r="P133" s="542">
        <v>564.6</v>
      </c>
      <c r="Q133" s="541">
        <v>2794</v>
      </c>
      <c r="R133" s="543"/>
      <c r="S133" s="542"/>
      <c r="T133" s="541">
        <v>206</v>
      </c>
      <c r="U133" s="544"/>
      <c r="V133" s="542"/>
      <c r="W133" s="541"/>
      <c r="X133" s="224"/>
      <c r="Y133" s="222"/>
      <c r="Z133" s="224"/>
      <c r="AA133" s="46"/>
    </row>
    <row r="134" spans="2:27" x14ac:dyDescent="0.2">
      <c r="B134" s="166">
        <f>'1. LDC Info'!$F$27-2</f>
        <v>2014</v>
      </c>
      <c r="C134" s="44" t="s">
        <v>113</v>
      </c>
      <c r="D134" s="543"/>
      <c r="E134" s="541">
        <v>9258</v>
      </c>
      <c r="F134" s="543"/>
      <c r="G134" s="541">
        <v>1320</v>
      </c>
      <c r="H134" s="544"/>
      <c r="I134" s="541">
        <v>20</v>
      </c>
      <c r="J134" s="544"/>
      <c r="K134" s="541"/>
      <c r="L134" s="523"/>
      <c r="M134" s="542"/>
      <c r="N134" s="541">
        <v>146</v>
      </c>
      <c r="O134" s="523">
        <v>255671.08</v>
      </c>
      <c r="P134" s="542">
        <v>564.6</v>
      </c>
      <c r="Q134" s="541">
        <v>2794</v>
      </c>
      <c r="R134" s="543"/>
      <c r="S134" s="542"/>
      <c r="T134" s="541">
        <v>206</v>
      </c>
      <c r="U134" s="544"/>
      <c r="V134" s="542"/>
      <c r="W134" s="541"/>
      <c r="X134" s="224"/>
      <c r="Y134" s="222"/>
      <c r="Z134" s="224"/>
      <c r="AA134" s="46"/>
    </row>
    <row r="135" spans="2:27" x14ac:dyDescent="0.2">
      <c r="B135" s="166">
        <f>'1. LDC Info'!$F$27-2</f>
        <v>2014</v>
      </c>
      <c r="C135" s="44" t="s">
        <v>114</v>
      </c>
      <c r="D135" s="543"/>
      <c r="E135" s="541">
        <v>9259</v>
      </c>
      <c r="F135" s="543"/>
      <c r="G135" s="541">
        <v>1318</v>
      </c>
      <c r="H135" s="544"/>
      <c r="I135" s="541">
        <v>20</v>
      </c>
      <c r="J135" s="544"/>
      <c r="K135" s="541"/>
      <c r="L135" s="523"/>
      <c r="M135" s="542"/>
      <c r="N135" s="541">
        <v>146</v>
      </c>
      <c r="O135" s="523">
        <v>212844.69</v>
      </c>
      <c r="P135" s="542">
        <v>564.5</v>
      </c>
      <c r="Q135" s="541">
        <v>2794</v>
      </c>
      <c r="R135" s="543"/>
      <c r="S135" s="542"/>
      <c r="T135" s="541">
        <v>206</v>
      </c>
      <c r="U135" s="544"/>
      <c r="V135" s="542"/>
      <c r="W135" s="541"/>
      <c r="X135" s="224"/>
      <c r="Y135" s="222"/>
      <c r="Z135" s="224"/>
      <c r="AA135" s="46"/>
    </row>
    <row r="136" spans="2:27" x14ac:dyDescent="0.2">
      <c r="B136" s="166">
        <f>'1. LDC Info'!$F$27-2</f>
        <v>2014</v>
      </c>
      <c r="C136" s="44" t="s">
        <v>115</v>
      </c>
      <c r="D136" s="543"/>
      <c r="E136" s="541">
        <v>9263</v>
      </c>
      <c r="F136" s="543"/>
      <c r="G136" s="541">
        <v>1316</v>
      </c>
      <c r="H136" s="544"/>
      <c r="I136" s="541">
        <v>20</v>
      </c>
      <c r="J136" s="544"/>
      <c r="K136" s="541"/>
      <c r="L136" s="523"/>
      <c r="M136" s="542"/>
      <c r="N136" s="541">
        <v>146</v>
      </c>
      <c r="O136" s="523">
        <v>210690.67</v>
      </c>
      <c r="P136" s="542">
        <v>564.4</v>
      </c>
      <c r="Q136" s="541">
        <v>2794</v>
      </c>
      <c r="R136" s="543"/>
      <c r="S136" s="542"/>
      <c r="T136" s="541">
        <v>206</v>
      </c>
      <c r="U136" s="544"/>
      <c r="V136" s="542"/>
      <c r="W136" s="541"/>
      <c r="X136" s="224"/>
      <c r="Y136" s="222"/>
      <c r="Z136" s="224"/>
      <c r="AA136" s="46"/>
    </row>
    <row r="137" spans="2:27" x14ac:dyDescent="0.2">
      <c r="B137" s="166">
        <f>'1. LDC Info'!$F$27-2</f>
        <v>2014</v>
      </c>
      <c r="C137" s="44" t="s">
        <v>116</v>
      </c>
      <c r="D137" s="543"/>
      <c r="E137" s="541">
        <v>9258</v>
      </c>
      <c r="F137" s="543"/>
      <c r="G137" s="541">
        <v>1316</v>
      </c>
      <c r="H137" s="544"/>
      <c r="I137" s="541">
        <v>20</v>
      </c>
      <c r="J137" s="544"/>
      <c r="K137" s="541"/>
      <c r="L137" s="523"/>
      <c r="M137" s="542"/>
      <c r="N137" s="541">
        <v>146</v>
      </c>
      <c r="O137" s="523">
        <v>178663.8</v>
      </c>
      <c r="P137" s="542">
        <v>564.4</v>
      </c>
      <c r="Q137" s="541">
        <v>2794</v>
      </c>
      <c r="R137" s="543"/>
      <c r="S137" s="542"/>
      <c r="T137" s="541">
        <v>206</v>
      </c>
      <c r="U137" s="544"/>
      <c r="V137" s="542"/>
      <c r="W137" s="541"/>
      <c r="X137" s="224"/>
      <c r="Y137" s="222"/>
      <c r="Z137" s="224"/>
      <c r="AA137" s="46"/>
    </row>
    <row r="138" spans="2:27" x14ac:dyDescent="0.2">
      <c r="B138" s="166">
        <f>'1. LDC Info'!$F$27-2</f>
        <v>2014</v>
      </c>
      <c r="C138" s="44" t="s">
        <v>117</v>
      </c>
      <c r="D138" s="543"/>
      <c r="E138" s="541">
        <v>9285</v>
      </c>
      <c r="F138" s="543"/>
      <c r="G138" s="541">
        <v>1315</v>
      </c>
      <c r="H138" s="544"/>
      <c r="I138" s="541">
        <v>20</v>
      </c>
      <c r="J138" s="544"/>
      <c r="K138" s="541"/>
      <c r="L138" s="523"/>
      <c r="M138" s="542"/>
      <c r="N138" s="541">
        <v>145</v>
      </c>
      <c r="O138" s="523">
        <v>164284.17000000001</v>
      </c>
      <c r="P138" s="542">
        <v>564.55999999999995</v>
      </c>
      <c r="Q138" s="541">
        <v>2795</v>
      </c>
      <c r="R138" s="543"/>
      <c r="S138" s="542"/>
      <c r="T138" s="541">
        <v>203</v>
      </c>
      <c r="U138" s="544"/>
      <c r="V138" s="542"/>
      <c r="W138" s="541"/>
      <c r="X138" s="224"/>
      <c r="Y138" s="222"/>
      <c r="Z138" s="224"/>
      <c r="AA138" s="46"/>
    </row>
    <row r="139" spans="2:27" x14ac:dyDescent="0.2">
      <c r="B139" s="166">
        <f>'1. LDC Info'!$F$27-2</f>
        <v>2014</v>
      </c>
      <c r="C139" s="44" t="s">
        <v>118</v>
      </c>
      <c r="D139" s="543"/>
      <c r="E139" s="541">
        <v>9297</v>
      </c>
      <c r="F139" s="543"/>
      <c r="G139" s="541">
        <v>1315</v>
      </c>
      <c r="H139" s="544"/>
      <c r="I139" s="541">
        <v>20</v>
      </c>
      <c r="J139" s="544"/>
      <c r="K139" s="541"/>
      <c r="L139" s="523"/>
      <c r="M139" s="542"/>
      <c r="N139" s="541">
        <v>145</v>
      </c>
      <c r="O139" s="523">
        <v>151351.56</v>
      </c>
      <c r="P139" s="542">
        <v>564.5</v>
      </c>
      <c r="Q139" s="541">
        <v>2795</v>
      </c>
      <c r="R139" s="543"/>
      <c r="S139" s="542"/>
      <c r="T139" s="541">
        <v>203</v>
      </c>
      <c r="U139" s="544"/>
      <c r="V139" s="542"/>
      <c r="W139" s="541"/>
      <c r="X139" s="224"/>
      <c r="Y139" s="222"/>
      <c r="Z139" s="224"/>
      <c r="AA139" s="46"/>
    </row>
    <row r="140" spans="2:27" x14ac:dyDescent="0.2">
      <c r="B140" s="166">
        <f>'1. LDC Info'!$F$27-2</f>
        <v>2014</v>
      </c>
      <c r="C140" s="44" t="s">
        <v>119</v>
      </c>
      <c r="D140" s="543"/>
      <c r="E140" s="541">
        <v>9309</v>
      </c>
      <c r="F140" s="543"/>
      <c r="G140" s="541">
        <v>1315</v>
      </c>
      <c r="H140" s="544"/>
      <c r="I140" s="541">
        <v>20</v>
      </c>
      <c r="J140" s="544"/>
      <c r="K140" s="541"/>
      <c r="L140" s="523"/>
      <c r="M140" s="542"/>
      <c r="N140" s="541">
        <v>145</v>
      </c>
      <c r="O140" s="523">
        <v>163159.57999999999</v>
      </c>
      <c r="P140" s="542">
        <v>564.5</v>
      </c>
      <c r="Q140" s="541">
        <v>2795</v>
      </c>
      <c r="R140" s="543"/>
      <c r="S140" s="542"/>
      <c r="T140" s="541">
        <v>203</v>
      </c>
      <c r="U140" s="544"/>
      <c r="V140" s="542"/>
      <c r="W140" s="541"/>
      <c r="X140" s="224"/>
      <c r="Y140" s="222"/>
      <c r="Z140" s="224"/>
      <c r="AA140" s="46"/>
    </row>
    <row r="141" spans="2:27" x14ac:dyDescent="0.2">
      <c r="B141" s="166">
        <f>'1. LDC Info'!$F$27-2</f>
        <v>2014</v>
      </c>
      <c r="C141" s="44" t="s">
        <v>109</v>
      </c>
      <c r="D141" s="543"/>
      <c r="E141" s="541">
        <v>9322</v>
      </c>
      <c r="F141" s="543"/>
      <c r="G141" s="541">
        <v>1316</v>
      </c>
      <c r="H141" s="544"/>
      <c r="I141" s="541">
        <v>20</v>
      </c>
      <c r="J141" s="544"/>
      <c r="K141" s="541"/>
      <c r="L141" s="523"/>
      <c r="M141" s="542"/>
      <c r="N141" s="541">
        <v>145</v>
      </c>
      <c r="O141" s="523">
        <v>181775.34</v>
      </c>
      <c r="P141" s="542">
        <v>564.37</v>
      </c>
      <c r="Q141" s="541">
        <v>2794</v>
      </c>
      <c r="R141" s="543"/>
      <c r="S141" s="542"/>
      <c r="T141" s="541">
        <v>203</v>
      </c>
      <c r="U141" s="544"/>
      <c r="V141" s="542"/>
      <c r="W141" s="541"/>
      <c r="X141" s="224"/>
      <c r="Y141" s="222"/>
      <c r="Z141" s="224"/>
      <c r="AA141" s="46"/>
    </row>
    <row r="142" spans="2:27" x14ac:dyDescent="0.2">
      <c r="B142" s="166">
        <f>'1. LDC Info'!$F$27-2</f>
        <v>2014</v>
      </c>
      <c r="C142" s="44" t="s">
        <v>110</v>
      </c>
      <c r="D142" s="543"/>
      <c r="E142" s="541">
        <v>9324</v>
      </c>
      <c r="F142" s="543"/>
      <c r="G142" s="541">
        <v>1314</v>
      </c>
      <c r="H142" s="544"/>
      <c r="I142" s="541">
        <v>20</v>
      </c>
      <c r="J142" s="544"/>
      <c r="K142" s="541"/>
      <c r="L142" s="523"/>
      <c r="M142" s="542"/>
      <c r="N142" s="541">
        <v>146</v>
      </c>
      <c r="O142" s="523">
        <v>197343.16</v>
      </c>
      <c r="P142" s="542">
        <v>564.32000000000005</v>
      </c>
      <c r="Q142" s="541">
        <v>2794</v>
      </c>
      <c r="R142" s="543"/>
      <c r="S142" s="542"/>
      <c r="T142" s="541">
        <v>202</v>
      </c>
      <c r="U142" s="544"/>
      <c r="V142" s="542"/>
      <c r="W142" s="541"/>
      <c r="X142" s="224"/>
      <c r="Y142" s="222"/>
      <c r="Z142" s="224"/>
      <c r="AA142" s="46"/>
    </row>
    <row r="143" spans="2:27" x14ac:dyDescent="0.2">
      <c r="B143" s="166">
        <f>'1. LDC Info'!$F$27-2</f>
        <v>2014</v>
      </c>
      <c r="C143" s="44" t="s">
        <v>111</v>
      </c>
      <c r="D143" s="543"/>
      <c r="E143" s="541">
        <v>9342</v>
      </c>
      <c r="F143" s="543"/>
      <c r="G143" s="541">
        <v>1316</v>
      </c>
      <c r="H143" s="544"/>
      <c r="I143" s="541">
        <v>20</v>
      </c>
      <c r="J143" s="544"/>
      <c r="K143" s="541"/>
      <c r="L143" s="523"/>
      <c r="M143" s="542"/>
      <c r="N143" s="541">
        <v>147</v>
      </c>
      <c r="O143" s="523">
        <v>225975.94</v>
      </c>
      <c r="P143" s="542">
        <v>562.16</v>
      </c>
      <c r="Q143" s="541">
        <v>2794</v>
      </c>
      <c r="R143" s="543"/>
      <c r="S143" s="542"/>
      <c r="T143" s="541">
        <v>202</v>
      </c>
      <c r="U143" s="544"/>
      <c r="V143" s="542"/>
      <c r="W143" s="541"/>
      <c r="X143" s="224"/>
      <c r="Y143" s="222"/>
      <c r="Z143" s="224"/>
      <c r="AA143" s="46"/>
    </row>
    <row r="144" spans="2:27" x14ac:dyDescent="0.2">
      <c r="B144" s="166">
        <f>'1. LDC Info'!$F$27-2</f>
        <v>2014</v>
      </c>
      <c r="C144" s="44" t="s">
        <v>108</v>
      </c>
      <c r="D144" s="523">
        <v>79483998.230000004</v>
      </c>
      <c r="E144" s="541">
        <v>9358</v>
      </c>
      <c r="F144" s="523">
        <v>31649726.120000001</v>
      </c>
      <c r="G144" s="541">
        <v>1315</v>
      </c>
      <c r="H144" s="543">
        <v>454406.25</v>
      </c>
      <c r="I144" s="541">
        <v>20</v>
      </c>
      <c r="J144" s="543"/>
      <c r="K144" s="541"/>
      <c r="L144" s="523">
        <v>72512848.979999989</v>
      </c>
      <c r="M144" s="542">
        <v>206399</v>
      </c>
      <c r="N144" s="541">
        <v>147</v>
      </c>
      <c r="O144" s="523">
        <v>235609.92</v>
      </c>
      <c r="P144" s="542">
        <v>563.04999999999995</v>
      </c>
      <c r="Q144" s="541">
        <v>2811</v>
      </c>
      <c r="R144" s="543">
        <v>245570.47</v>
      </c>
      <c r="S144" s="542">
        <v>683.5</v>
      </c>
      <c r="T144" s="541">
        <v>202</v>
      </c>
      <c r="U144" s="543"/>
      <c r="V144" s="542"/>
      <c r="W144" s="541"/>
      <c r="X144" s="224"/>
      <c r="Y144" s="222"/>
      <c r="Z144" s="224"/>
      <c r="AA144" s="46"/>
    </row>
    <row r="145" spans="2:27" x14ac:dyDescent="0.2">
      <c r="B145" s="166">
        <f>'1. LDC Info'!$F$27-1</f>
        <v>2015</v>
      </c>
      <c r="C145" s="44" t="s">
        <v>112</v>
      </c>
      <c r="D145" s="2"/>
      <c r="E145" s="222"/>
      <c r="F145" s="2"/>
      <c r="G145" s="222"/>
      <c r="H145" s="224"/>
      <c r="I145" s="222"/>
      <c r="J145" s="284"/>
      <c r="K145" s="284"/>
      <c r="L145" s="45"/>
      <c r="M145" s="48"/>
      <c r="N145" s="222"/>
      <c r="O145" s="45"/>
      <c r="P145" s="48"/>
      <c r="Q145" s="222"/>
      <c r="R145" s="2"/>
      <c r="S145" s="27"/>
      <c r="T145" s="222"/>
      <c r="U145" s="224"/>
      <c r="V145" s="521"/>
      <c r="W145" s="222"/>
      <c r="X145" s="224"/>
      <c r="Y145" s="222"/>
      <c r="Z145" s="224"/>
      <c r="AA145" s="46"/>
    </row>
    <row r="146" spans="2:27" x14ac:dyDescent="0.2">
      <c r="B146" s="166">
        <f>'1. LDC Info'!$F$27-1</f>
        <v>2015</v>
      </c>
      <c r="C146" s="44" t="s">
        <v>113</v>
      </c>
      <c r="D146" s="2"/>
      <c r="E146" s="222"/>
      <c r="F146" s="2"/>
      <c r="G146" s="222"/>
      <c r="H146" s="224"/>
      <c r="I146" s="222"/>
      <c r="J146" s="284"/>
      <c r="K146" s="284"/>
      <c r="L146" s="45"/>
      <c r="M146" s="48"/>
      <c r="N146" s="222"/>
      <c r="O146" s="45"/>
      <c r="P146" s="48"/>
      <c r="Q146" s="222"/>
      <c r="R146" s="2"/>
      <c r="S146" s="27"/>
      <c r="T146" s="222"/>
      <c r="U146" s="224"/>
      <c r="V146" s="521"/>
      <c r="W146" s="222"/>
      <c r="X146" s="224"/>
      <c r="Y146" s="222"/>
      <c r="Z146" s="224"/>
      <c r="AA146" s="46"/>
    </row>
    <row r="147" spans="2:27" x14ac:dyDescent="0.2">
      <c r="B147" s="166">
        <f>'1. LDC Info'!$F$27-1</f>
        <v>2015</v>
      </c>
      <c r="C147" s="44" t="s">
        <v>114</v>
      </c>
      <c r="D147" s="2"/>
      <c r="E147" s="222"/>
      <c r="F147" s="2"/>
      <c r="G147" s="222"/>
      <c r="H147" s="224"/>
      <c r="I147" s="222"/>
      <c r="J147" s="284"/>
      <c r="K147" s="284"/>
      <c r="L147" s="45"/>
      <c r="M147" s="48"/>
      <c r="N147" s="222"/>
      <c r="O147" s="45"/>
      <c r="P147" s="48"/>
      <c r="Q147" s="222"/>
      <c r="R147" s="2"/>
      <c r="S147" s="27"/>
      <c r="T147" s="222"/>
      <c r="U147" s="224"/>
      <c r="V147" s="521"/>
      <c r="W147" s="222"/>
      <c r="X147" s="224"/>
      <c r="Y147" s="222"/>
      <c r="Z147" s="224"/>
      <c r="AA147" s="46"/>
    </row>
    <row r="148" spans="2:27" x14ac:dyDescent="0.2">
      <c r="B148" s="166">
        <f>'1. LDC Info'!$F$27-1</f>
        <v>2015</v>
      </c>
      <c r="C148" s="44" t="s">
        <v>115</v>
      </c>
      <c r="D148" s="2"/>
      <c r="E148" s="222"/>
      <c r="F148" s="2"/>
      <c r="G148" s="222"/>
      <c r="H148" s="224"/>
      <c r="I148" s="222"/>
      <c r="J148" s="284"/>
      <c r="K148" s="284"/>
      <c r="L148" s="45"/>
      <c r="M148" s="48"/>
      <c r="N148" s="222"/>
      <c r="O148" s="45"/>
      <c r="P148" s="48"/>
      <c r="Q148" s="222"/>
      <c r="R148" s="2"/>
      <c r="S148" s="27"/>
      <c r="T148" s="222"/>
      <c r="U148" s="224"/>
      <c r="V148" s="521"/>
      <c r="W148" s="222"/>
      <c r="X148" s="224"/>
      <c r="Y148" s="222"/>
      <c r="Z148" s="224"/>
      <c r="AA148" s="46"/>
    </row>
    <row r="149" spans="2:27" x14ac:dyDescent="0.2">
      <c r="B149" s="166">
        <f>'1. LDC Info'!$F$27-1</f>
        <v>2015</v>
      </c>
      <c r="C149" s="44" t="s">
        <v>116</v>
      </c>
      <c r="D149" s="2"/>
      <c r="E149" s="222"/>
      <c r="F149" s="2"/>
      <c r="G149" s="222"/>
      <c r="H149" s="224"/>
      <c r="I149" s="222"/>
      <c r="J149" s="284"/>
      <c r="K149" s="284"/>
      <c r="L149" s="45"/>
      <c r="M149" s="48"/>
      <c r="N149" s="222"/>
      <c r="O149" s="45"/>
      <c r="P149" s="48"/>
      <c r="Q149" s="222"/>
      <c r="R149" s="2"/>
      <c r="S149" s="27"/>
      <c r="T149" s="222"/>
      <c r="U149" s="224"/>
      <c r="V149" s="521"/>
      <c r="W149" s="222"/>
      <c r="X149" s="224"/>
      <c r="Y149" s="222"/>
      <c r="Z149" s="224"/>
      <c r="AA149" s="46"/>
    </row>
    <row r="150" spans="2:27" x14ac:dyDescent="0.2">
      <c r="B150" s="166">
        <f>'1. LDC Info'!$F$27-1</f>
        <v>2015</v>
      </c>
      <c r="C150" s="44" t="s">
        <v>117</v>
      </c>
      <c r="D150" s="2"/>
      <c r="E150" s="222"/>
      <c r="F150" s="2"/>
      <c r="G150" s="222"/>
      <c r="H150" s="224"/>
      <c r="I150" s="222"/>
      <c r="J150" s="284"/>
      <c r="K150" s="284"/>
      <c r="L150" s="45"/>
      <c r="M150" s="48"/>
      <c r="N150" s="222"/>
      <c r="O150" s="2"/>
      <c r="P150" s="27"/>
      <c r="Q150" s="222"/>
      <c r="R150" s="2"/>
      <c r="S150" s="27"/>
      <c r="T150" s="222"/>
      <c r="U150" s="224"/>
      <c r="V150" s="521"/>
      <c r="W150" s="222"/>
      <c r="X150" s="224"/>
      <c r="Y150" s="222"/>
      <c r="Z150" s="224"/>
      <c r="AA150" s="46"/>
    </row>
    <row r="151" spans="2:27" x14ac:dyDescent="0.2">
      <c r="B151" s="166">
        <f>'1. LDC Info'!$F$27-1</f>
        <v>2015</v>
      </c>
      <c r="C151" s="44" t="s">
        <v>118</v>
      </c>
      <c r="D151" s="2"/>
      <c r="E151" s="222"/>
      <c r="F151" s="2"/>
      <c r="G151" s="222"/>
      <c r="H151" s="224"/>
      <c r="I151" s="222"/>
      <c r="J151" s="284"/>
      <c r="K151" s="284"/>
      <c r="L151" s="45"/>
      <c r="M151" s="48"/>
      <c r="N151" s="222"/>
      <c r="O151" s="2"/>
      <c r="P151" s="27"/>
      <c r="Q151" s="222"/>
      <c r="R151" s="2"/>
      <c r="S151" s="27"/>
      <c r="T151" s="222"/>
      <c r="U151" s="224"/>
      <c r="V151" s="521"/>
      <c r="W151" s="222"/>
      <c r="X151" s="224"/>
      <c r="Y151" s="222"/>
      <c r="Z151" s="224"/>
      <c r="AA151" s="46"/>
    </row>
    <row r="152" spans="2:27" x14ac:dyDescent="0.2">
      <c r="B152" s="166">
        <f>'1. LDC Info'!$F$27-1</f>
        <v>2015</v>
      </c>
      <c r="C152" s="44" t="s">
        <v>119</v>
      </c>
      <c r="D152" s="2"/>
      <c r="E152" s="222"/>
      <c r="F152" s="2"/>
      <c r="G152" s="222"/>
      <c r="H152" s="224"/>
      <c r="I152" s="222"/>
      <c r="J152" s="284"/>
      <c r="K152" s="284"/>
      <c r="L152" s="45"/>
      <c r="M152" s="48"/>
      <c r="N152" s="222"/>
      <c r="O152" s="2"/>
      <c r="P152" s="27"/>
      <c r="Q152" s="222"/>
      <c r="R152" s="2"/>
      <c r="S152" s="27"/>
      <c r="T152" s="222"/>
      <c r="U152" s="224"/>
      <c r="V152" s="521"/>
      <c r="W152" s="222"/>
      <c r="X152" s="224"/>
      <c r="Y152" s="222"/>
      <c r="Z152" s="224"/>
      <c r="AA152" s="46"/>
    </row>
    <row r="153" spans="2:27" x14ac:dyDescent="0.2">
      <c r="B153" s="166">
        <f>'1. LDC Info'!$F$27-1</f>
        <v>2015</v>
      </c>
      <c r="C153" s="44" t="s">
        <v>109</v>
      </c>
      <c r="D153" s="2"/>
      <c r="E153" s="222"/>
      <c r="F153" s="2"/>
      <c r="G153" s="222"/>
      <c r="H153" s="224"/>
      <c r="I153" s="222"/>
      <c r="J153" s="284"/>
      <c r="K153" s="284"/>
      <c r="L153" s="45"/>
      <c r="M153" s="48"/>
      <c r="N153" s="222"/>
      <c r="O153" s="2"/>
      <c r="P153" s="27"/>
      <c r="Q153" s="222"/>
      <c r="R153" s="2"/>
      <c r="S153" s="27"/>
      <c r="T153" s="222"/>
      <c r="U153" s="224"/>
      <c r="V153" s="521"/>
      <c r="W153" s="222"/>
      <c r="X153" s="224"/>
      <c r="Y153" s="222"/>
      <c r="Z153" s="224"/>
      <c r="AA153" s="46"/>
    </row>
    <row r="154" spans="2:27" x14ac:dyDescent="0.2">
      <c r="B154" s="166">
        <f>'1. LDC Info'!$F$27-1</f>
        <v>2015</v>
      </c>
      <c r="C154" s="44" t="s">
        <v>110</v>
      </c>
      <c r="D154" s="2"/>
      <c r="E154" s="222"/>
      <c r="F154" s="50"/>
      <c r="G154" s="222"/>
      <c r="H154" s="224"/>
      <c r="I154" s="222"/>
      <c r="J154" s="284"/>
      <c r="K154" s="284"/>
      <c r="L154" s="45"/>
      <c r="M154" s="48"/>
      <c r="N154" s="222"/>
      <c r="O154" s="2"/>
      <c r="P154" s="27"/>
      <c r="Q154" s="222"/>
      <c r="R154" s="2"/>
      <c r="S154" s="27"/>
      <c r="T154" s="222"/>
      <c r="U154" s="224"/>
      <c r="V154" s="521"/>
      <c r="W154" s="222"/>
      <c r="X154" s="224"/>
      <c r="Y154" s="222"/>
      <c r="Z154" s="224"/>
      <c r="AA154" s="46"/>
    </row>
    <row r="155" spans="2:27" x14ac:dyDescent="0.2">
      <c r="B155" s="166">
        <f>'1. LDC Info'!$F$27-1</f>
        <v>2015</v>
      </c>
      <c r="C155" s="44" t="s">
        <v>111</v>
      </c>
      <c r="D155" s="2"/>
      <c r="E155" s="222"/>
      <c r="F155" s="2"/>
      <c r="G155" s="222"/>
      <c r="H155" s="224"/>
      <c r="I155" s="222"/>
      <c r="J155" s="284"/>
      <c r="K155" s="284"/>
      <c r="L155" s="45"/>
      <c r="M155" s="48"/>
      <c r="N155" s="222"/>
      <c r="O155" s="2"/>
      <c r="P155" s="27"/>
      <c r="Q155" s="222"/>
      <c r="R155" s="2"/>
      <c r="S155" s="27"/>
      <c r="T155" s="222"/>
      <c r="U155" s="224"/>
      <c r="V155" s="521"/>
      <c r="W155" s="222"/>
      <c r="X155" s="224"/>
      <c r="Y155" s="222"/>
      <c r="Z155" s="224"/>
      <c r="AA155" s="46"/>
    </row>
    <row r="156" spans="2:27" x14ac:dyDescent="0.2">
      <c r="B156" s="166">
        <f>'1. LDC Info'!$F$27-1</f>
        <v>2015</v>
      </c>
      <c r="C156" s="44" t="s">
        <v>108</v>
      </c>
      <c r="D156" s="523"/>
      <c r="E156" s="222"/>
      <c r="F156" s="523"/>
      <c r="G156" s="541"/>
      <c r="H156" s="543"/>
      <c r="I156" s="222"/>
      <c r="J156" s="543"/>
      <c r="K156" s="541"/>
      <c r="L156" s="523"/>
      <c r="M156" s="542"/>
      <c r="N156" s="541"/>
      <c r="O156" s="543"/>
      <c r="P156" s="542"/>
      <c r="Q156" s="222"/>
      <c r="R156" s="543"/>
      <c r="S156" s="542"/>
      <c r="T156" s="541"/>
      <c r="U156" s="543"/>
      <c r="V156" s="542"/>
      <c r="W156" s="541"/>
      <c r="X156" s="224"/>
      <c r="Y156" s="222"/>
      <c r="Z156" s="224"/>
      <c r="AA156" s="46"/>
    </row>
    <row r="157" spans="2:27" x14ac:dyDescent="0.2">
      <c r="B157" s="166" t="str">
        <f>'1. LDC Info'!$F$27</f>
        <v>2016</v>
      </c>
      <c r="C157" s="44" t="s">
        <v>112</v>
      </c>
      <c r="D157" s="45"/>
      <c r="E157" s="222"/>
      <c r="F157" s="45"/>
      <c r="G157" s="222"/>
      <c r="H157" s="224"/>
      <c r="I157" s="222"/>
      <c r="J157" s="284"/>
      <c r="K157" s="284"/>
      <c r="L157" s="45"/>
      <c r="M157" s="48"/>
      <c r="N157" s="222"/>
      <c r="O157" s="2"/>
      <c r="P157" s="27"/>
      <c r="Q157" s="222"/>
      <c r="R157" s="45"/>
      <c r="S157" s="27"/>
      <c r="T157" s="222"/>
      <c r="U157" s="224"/>
      <c r="V157" s="521"/>
      <c r="W157" s="222"/>
      <c r="X157" s="224"/>
      <c r="Y157" s="222"/>
      <c r="Z157" s="224"/>
      <c r="AA157" s="46"/>
    </row>
    <row r="158" spans="2:27" x14ac:dyDescent="0.2">
      <c r="B158" s="166" t="str">
        <f>'1. LDC Info'!$F$27</f>
        <v>2016</v>
      </c>
      <c r="C158" s="44" t="s">
        <v>113</v>
      </c>
      <c r="D158" s="45"/>
      <c r="E158" s="46"/>
      <c r="F158" s="45"/>
      <c r="G158" s="46"/>
      <c r="H158" s="224"/>
      <c r="I158" s="222"/>
      <c r="J158" s="284"/>
      <c r="K158" s="284"/>
      <c r="L158" s="45"/>
      <c r="M158" s="48"/>
      <c r="N158" s="46"/>
      <c r="O158" s="2"/>
      <c r="P158" s="27"/>
      <c r="Q158" s="46"/>
      <c r="R158" s="45"/>
      <c r="S158" s="27"/>
      <c r="T158" s="46"/>
      <c r="U158" s="47"/>
      <c r="V158" s="521"/>
      <c r="W158" s="46"/>
      <c r="X158" s="47"/>
      <c r="Y158" s="46"/>
      <c r="Z158" s="47"/>
      <c r="AA158" s="46"/>
    </row>
    <row r="159" spans="2:27" x14ac:dyDescent="0.2">
      <c r="B159" s="166" t="str">
        <f>'1. LDC Info'!$F$27</f>
        <v>2016</v>
      </c>
      <c r="C159" s="44" t="s">
        <v>114</v>
      </c>
      <c r="D159" s="51"/>
      <c r="E159" s="46"/>
      <c r="F159" s="51"/>
      <c r="G159" s="46"/>
      <c r="H159" s="224"/>
      <c r="I159" s="222"/>
      <c r="J159" s="284"/>
      <c r="K159" s="284"/>
      <c r="L159" s="45"/>
      <c r="M159" s="48"/>
      <c r="N159" s="46"/>
      <c r="O159" s="2"/>
      <c r="P159" s="27"/>
      <c r="Q159" s="46"/>
      <c r="R159" s="51"/>
      <c r="S159" s="27"/>
      <c r="T159" s="46"/>
      <c r="U159" s="47"/>
      <c r="V159" s="521"/>
      <c r="W159" s="46"/>
      <c r="X159" s="47"/>
      <c r="Y159" s="46"/>
      <c r="Z159" s="47"/>
      <c r="AA159" s="46"/>
    </row>
    <row r="160" spans="2:27" x14ac:dyDescent="0.2">
      <c r="B160" s="166" t="str">
        <f>'1. LDC Info'!$F$27</f>
        <v>2016</v>
      </c>
      <c r="C160" s="44" t="s">
        <v>115</v>
      </c>
      <c r="D160" s="45"/>
      <c r="E160" s="46"/>
      <c r="F160" s="45"/>
      <c r="G160" s="46"/>
      <c r="H160" s="224"/>
      <c r="I160" s="222"/>
      <c r="J160" s="284"/>
      <c r="K160" s="284"/>
      <c r="L160" s="45"/>
      <c r="M160" s="48"/>
      <c r="N160" s="46"/>
      <c r="O160" s="2"/>
      <c r="P160" s="27"/>
      <c r="Q160" s="46"/>
      <c r="R160" s="45"/>
      <c r="S160" s="27"/>
      <c r="T160" s="46"/>
      <c r="U160" s="47"/>
      <c r="V160" s="521"/>
      <c r="W160" s="46"/>
      <c r="X160" s="47"/>
      <c r="Y160" s="46"/>
      <c r="Z160" s="47"/>
      <c r="AA160" s="46"/>
    </row>
    <row r="161" spans="2:27" x14ac:dyDescent="0.2">
      <c r="B161" s="166" t="str">
        <f>'1. LDC Info'!$F$27</f>
        <v>2016</v>
      </c>
      <c r="C161" s="44" t="s">
        <v>116</v>
      </c>
      <c r="D161" s="45"/>
      <c r="E161" s="46"/>
      <c r="F161" s="45"/>
      <c r="G161" s="46"/>
      <c r="H161" s="224"/>
      <c r="I161" s="222"/>
      <c r="J161" s="284"/>
      <c r="K161" s="284"/>
      <c r="L161" s="45"/>
      <c r="M161" s="48"/>
      <c r="N161" s="46"/>
      <c r="O161" s="2"/>
      <c r="P161" s="27"/>
      <c r="Q161" s="46"/>
      <c r="R161" s="45"/>
      <c r="S161" s="27"/>
      <c r="T161" s="46"/>
      <c r="U161" s="47"/>
      <c r="V161" s="521"/>
      <c r="W161" s="46"/>
      <c r="X161" s="47"/>
      <c r="Y161" s="46"/>
      <c r="Z161" s="47"/>
      <c r="AA161" s="46"/>
    </row>
    <row r="162" spans="2:27" x14ac:dyDescent="0.2">
      <c r="B162" s="166" t="str">
        <f>'1. LDC Info'!$F$27</f>
        <v>2016</v>
      </c>
      <c r="C162" s="44" t="s">
        <v>117</v>
      </c>
      <c r="D162" s="45"/>
      <c r="E162" s="46"/>
      <c r="F162" s="45"/>
      <c r="G162" s="46"/>
      <c r="H162" s="224"/>
      <c r="I162" s="222"/>
      <c r="J162" s="284"/>
      <c r="K162" s="284"/>
      <c r="L162" s="45"/>
      <c r="M162" s="48"/>
      <c r="N162" s="46"/>
      <c r="O162" s="2"/>
      <c r="P162" s="27"/>
      <c r="Q162" s="46"/>
      <c r="R162" s="45"/>
      <c r="S162" s="27"/>
      <c r="T162" s="46"/>
      <c r="U162" s="47"/>
      <c r="V162" s="521"/>
      <c r="W162" s="46"/>
      <c r="X162" s="47"/>
      <c r="Y162" s="46"/>
      <c r="Z162" s="47"/>
      <c r="AA162" s="46"/>
    </row>
    <row r="163" spans="2:27" x14ac:dyDescent="0.2">
      <c r="B163" s="166" t="str">
        <f>'1. LDC Info'!$F$27</f>
        <v>2016</v>
      </c>
      <c r="C163" s="44" t="s">
        <v>118</v>
      </c>
      <c r="D163" s="45"/>
      <c r="E163" s="46"/>
      <c r="F163" s="45"/>
      <c r="G163" s="46"/>
      <c r="H163" s="224"/>
      <c r="I163" s="222"/>
      <c r="J163" s="284"/>
      <c r="K163" s="284"/>
      <c r="L163" s="45"/>
      <c r="M163" s="48"/>
      <c r="N163" s="46"/>
      <c r="O163" s="2"/>
      <c r="P163" s="27"/>
      <c r="Q163" s="46"/>
      <c r="R163" s="45"/>
      <c r="S163" s="27"/>
      <c r="T163" s="46"/>
      <c r="U163" s="47"/>
      <c r="V163" s="521"/>
      <c r="W163" s="46"/>
      <c r="X163" s="47"/>
      <c r="Y163" s="46"/>
      <c r="Z163" s="47"/>
      <c r="AA163" s="46"/>
    </row>
    <row r="164" spans="2:27" x14ac:dyDescent="0.2">
      <c r="B164" s="166" t="str">
        <f>'1. LDC Info'!$F$27</f>
        <v>2016</v>
      </c>
      <c r="C164" s="44" t="s">
        <v>119</v>
      </c>
      <c r="D164" s="45"/>
      <c r="E164" s="46"/>
      <c r="F164" s="45"/>
      <c r="G164" s="46"/>
      <c r="H164" s="224"/>
      <c r="I164" s="222"/>
      <c r="J164" s="284"/>
      <c r="K164" s="284"/>
      <c r="L164" s="45"/>
      <c r="M164" s="48"/>
      <c r="N164" s="46"/>
      <c r="O164" s="2"/>
      <c r="P164" s="27"/>
      <c r="Q164" s="46"/>
      <c r="R164" s="45"/>
      <c r="S164" s="27"/>
      <c r="T164" s="46"/>
      <c r="U164" s="47"/>
      <c r="V164" s="521"/>
      <c r="W164" s="46"/>
      <c r="X164" s="47"/>
      <c r="Y164" s="46"/>
      <c r="Z164" s="47"/>
      <c r="AA164" s="46"/>
    </row>
    <row r="165" spans="2:27" x14ac:dyDescent="0.2">
      <c r="B165" s="166" t="str">
        <f>'1. LDC Info'!$F$27</f>
        <v>2016</v>
      </c>
      <c r="C165" s="44" t="s">
        <v>109</v>
      </c>
      <c r="D165" s="52"/>
      <c r="E165" s="46"/>
      <c r="F165" s="52"/>
      <c r="G165" s="46"/>
      <c r="H165" s="224"/>
      <c r="I165" s="222"/>
      <c r="J165" s="284"/>
      <c r="K165" s="284"/>
      <c r="L165" s="45"/>
      <c r="M165" s="48"/>
      <c r="N165" s="46"/>
      <c r="O165" s="2"/>
      <c r="P165" s="27"/>
      <c r="Q165" s="46"/>
      <c r="R165" s="52"/>
      <c r="S165" s="27"/>
      <c r="T165" s="46"/>
      <c r="U165" s="47"/>
      <c r="V165" s="521"/>
      <c r="W165" s="46"/>
      <c r="X165" s="47"/>
      <c r="Y165" s="46"/>
      <c r="Z165" s="47"/>
      <c r="AA165" s="46"/>
    </row>
    <row r="166" spans="2:27" x14ac:dyDescent="0.2">
      <c r="B166" s="166" t="str">
        <f>'1. LDC Info'!$F$27</f>
        <v>2016</v>
      </c>
      <c r="C166" s="44" t="s">
        <v>110</v>
      </c>
      <c r="D166" s="45"/>
      <c r="E166" s="46"/>
      <c r="F166" s="45"/>
      <c r="G166" s="46"/>
      <c r="H166" s="224"/>
      <c r="I166" s="222"/>
      <c r="J166" s="284"/>
      <c r="K166" s="284"/>
      <c r="L166" s="45"/>
      <c r="M166" s="48"/>
      <c r="N166" s="46"/>
      <c r="O166" s="2"/>
      <c r="P166" s="27"/>
      <c r="Q166" s="46"/>
      <c r="R166" s="45"/>
      <c r="S166" s="27"/>
      <c r="T166" s="46"/>
      <c r="U166" s="47"/>
      <c r="V166" s="521"/>
      <c r="W166" s="46"/>
      <c r="X166" s="47"/>
      <c r="Y166" s="46"/>
      <c r="Z166" s="47"/>
      <c r="AA166" s="46"/>
    </row>
    <row r="167" spans="2:27" x14ac:dyDescent="0.2">
      <c r="B167" s="166" t="str">
        <f>'1. LDC Info'!$F$27</f>
        <v>2016</v>
      </c>
      <c r="C167" s="44" t="s">
        <v>111</v>
      </c>
      <c r="D167" s="45"/>
      <c r="E167" s="46"/>
      <c r="F167" s="45"/>
      <c r="G167" s="46"/>
      <c r="H167" s="224"/>
      <c r="I167" s="222"/>
      <c r="J167" s="284"/>
      <c r="K167" s="284"/>
      <c r="L167" s="45"/>
      <c r="M167" s="48"/>
      <c r="N167" s="46"/>
      <c r="O167" s="2"/>
      <c r="P167" s="27"/>
      <c r="Q167" s="46"/>
      <c r="R167" s="45"/>
      <c r="S167" s="27"/>
      <c r="T167" s="46"/>
      <c r="U167" s="47"/>
      <c r="V167" s="521"/>
      <c r="W167" s="46"/>
      <c r="X167" s="47"/>
      <c r="Y167" s="46"/>
      <c r="Z167" s="47"/>
      <c r="AA167" s="46"/>
    </row>
    <row r="168" spans="2:27" ht="13.5" thickBot="1" x14ac:dyDescent="0.25">
      <c r="B168" s="166" t="str">
        <f>'1. LDC Info'!$F$27</f>
        <v>2016</v>
      </c>
      <c r="C168" s="44" t="s">
        <v>108</v>
      </c>
      <c r="D168" s="53"/>
      <c r="E168" s="54"/>
      <c r="F168" s="53"/>
      <c r="G168" s="54"/>
      <c r="H168" s="56"/>
      <c r="I168" s="54"/>
      <c r="J168" s="285"/>
      <c r="K168" s="285"/>
      <c r="L168" s="53"/>
      <c r="M168" s="55"/>
      <c r="N168" s="54"/>
      <c r="O168" s="144"/>
      <c r="P168" s="28"/>
      <c r="Q168" s="54"/>
      <c r="R168" s="53"/>
      <c r="S168" s="28"/>
      <c r="T168" s="54"/>
      <c r="U168" s="56"/>
      <c r="V168" s="516"/>
      <c r="W168" s="54"/>
      <c r="X168" s="56"/>
      <c r="Y168" s="54"/>
      <c r="Z168" s="56"/>
      <c r="AA168" s="54"/>
    </row>
    <row r="169" spans="2:27" x14ac:dyDescent="0.2">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2:27" x14ac:dyDescent="0.2">
      <c r="D170" s="57"/>
    </row>
    <row r="171" spans="2:27" x14ac:dyDescent="0.2">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row>
    <row r="172" spans="2:27" x14ac:dyDescent="0.2">
      <c r="D172" s="236"/>
      <c r="E172" s="237"/>
      <c r="F172" s="236"/>
      <c r="G172" s="237"/>
      <c r="H172" s="236"/>
      <c r="I172" s="237"/>
      <c r="J172" s="237"/>
      <c r="K172" s="237"/>
      <c r="L172" s="236"/>
      <c r="M172" s="236"/>
      <c r="N172" s="237"/>
      <c r="O172" s="236"/>
      <c r="P172" s="236"/>
      <c r="Q172" s="237"/>
      <c r="R172" s="236"/>
      <c r="S172" s="236"/>
      <c r="T172" s="237"/>
    </row>
    <row r="173" spans="2:27" x14ac:dyDescent="0.2">
      <c r="D173" s="236"/>
      <c r="E173" s="237"/>
      <c r="F173" s="236"/>
      <c r="G173" s="237"/>
      <c r="H173" s="236"/>
      <c r="I173" s="237"/>
      <c r="J173" s="237"/>
      <c r="K173" s="237"/>
      <c r="L173" s="236"/>
      <c r="M173" s="236"/>
      <c r="N173" s="237"/>
      <c r="O173" s="236"/>
      <c r="P173" s="236"/>
      <c r="Q173" s="237"/>
      <c r="R173" s="236"/>
      <c r="S173" s="236"/>
      <c r="T173" s="237"/>
    </row>
    <row r="174" spans="2:27" x14ac:dyDescent="0.2">
      <c r="D174" s="236"/>
      <c r="E174" s="237"/>
      <c r="F174" s="236"/>
      <c r="G174" s="237"/>
      <c r="H174" s="236"/>
      <c r="I174" s="237"/>
      <c r="J174" s="237"/>
      <c r="K174" s="237"/>
      <c r="L174" s="236"/>
      <c r="M174" s="236"/>
      <c r="N174" s="237"/>
      <c r="O174" s="236"/>
      <c r="P174" s="236"/>
      <c r="Q174" s="237"/>
      <c r="R174" s="236"/>
      <c r="S174" s="236"/>
      <c r="T174" s="237"/>
    </row>
  </sheetData>
  <mergeCells count="21">
    <mergeCell ref="H21:I21"/>
    <mergeCell ref="J20:K20"/>
    <mergeCell ref="J21:K21"/>
    <mergeCell ref="D21:E21"/>
    <mergeCell ref="F21:G21"/>
    <mergeCell ref="B10:I10"/>
    <mergeCell ref="R20:T20"/>
    <mergeCell ref="O20:Q20"/>
    <mergeCell ref="Z20:AA20"/>
    <mergeCell ref="X21:Y21"/>
    <mergeCell ref="Z21:AA21"/>
    <mergeCell ref="U20:W20"/>
    <mergeCell ref="U21:W21"/>
    <mergeCell ref="X20:Y20"/>
    <mergeCell ref="R21:T21"/>
    <mergeCell ref="O21:Q21"/>
    <mergeCell ref="L21:N21"/>
    <mergeCell ref="D20:E20"/>
    <mergeCell ref="F20:G20"/>
    <mergeCell ref="L20:N20"/>
    <mergeCell ref="H20:I20"/>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W49"/>
  <sheetViews>
    <sheetView showGridLines="0" zoomScaleNormal="100" workbookViewId="0">
      <selection activeCell="E32" sqref="E32"/>
    </sheetView>
  </sheetViews>
  <sheetFormatPr defaultRowHeight="12.75" x14ac:dyDescent="0.2"/>
  <cols>
    <col min="1" max="1" width="13.6640625" style="1" customWidth="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0" width="14" style="1" customWidth="1"/>
    <col min="21" max="21" width="9.33203125" style="1"/>
    <col min="22" max="22" width="20.33203125" style="1" customWidth="1"/>
    <col min="23" max="23" width="13.33203125" style="1" bestFit="1" customWidth="1"/>
    <col min="24" max="16384" width="9.33203125" style="1"/>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809"/>
      <c r="C10" s="809"/>
      <c r="D10" s="809"/>
      <c r="E10" s="809"/>
      <c r="F10" s="809"/>
      <c r="G10" s="809"/>
      <c r="H10" s="809"/>
      <c r="I10" s="809"/>
      <c r="J10" s="514"/>
      <c r="K10" s="514"/>
      <c r="L10" s="514"/>
      <c r="M10" s="514"/>
    </row>
    <row r="11" spans="1:23" ht="23.25" x14ac:dyDescent="0.2">
      <c r="B11" s="133" t="s">
        <v>86</v>
      </c>
    </row>
    <row r="12" spans="1:23" s="536" customFormat="1" ht="15" x14ac:dyDescent="0.2">
      <c r="B12" s="63" t="s">
        <v>64</v>
      </c>
    </row>
    <row r="13" spans="1:23" ht="14.25" x14ac:dyDescent="0.2">
      <c r="B13" s="100" t="s">
        <v>247</v>
      </c>
      <c r="C13" s="536"/>
      <c r="D13" s="536"/>
      <c r="E13" s="536"/>
      <c r="F13" s="536"/>
      <c r="G13" s="536"/>
      <c r="H13" s="536"/>
      <c r="I13" s="536"/>
      <c r="J13" s="311"/>
      <c r="K13" s="312"/>
    </row>
    <row r="14" spans="1:23" ht="13.5" customHeight="1" thickBot="1" x14ac:dyDescent="0.25">
      <c r="B14" s="133"/>
      <c r="J14" s="311"/>
      <c r="K14" s="312"/>
    </row>
    <row r="15" spans="1:23" ht="24.75" customHeight="1" thickBot="1" x14ac:dyDescent="0.25">
      <c r="B15" s="4"/>
      <c r="C15" s="831" t="str">
        <f>'2. Customer Classes'!B14</f>
        <v>Residential</v>
      </c>
      <c r="D15" s="832"/>
      <c r="E15" s="831" t="str">
        <f>'2. Customer Classes'!B15</f>
        <v>General Service &lt; 50 kW</v>
      </c>
      <c r="F15" s="832"/>
      <c r="G15" s="831" t="str">
        <f>'2. Customer Classes'!B16</f>
        <v>Unmetered Scattered Load</v>
      </c>
      <c r="H15" s="832"/>
      <c r="I15" s="831">
        <f>'2. Customer Classes'!B17</f>
        <v>0</v>
      </c>
      <c r="J15" s="832"/>
      <c r="K15" s="831" t="str">
        <f>'2. Customer Classes'!B18</f>
        <v>General Service &gt; 50 kW - 4999 kW</v>
      </c>
      <c r="L15" s="832"/>
      <c r="M15" s="831" t="str">
        <f>'2. Customer Classes'!B19</f>
        <v>Streetlighting</v>
      </c>
      <c r="N15" s="832"/>
      <c r="O15" s="839" t="str">
        <f>'2. Customer Classes'!B20</f>
        <v>Sentinel Lighting</v>
      </c>
      <c r="P15" s="832"/>
      <c r="Q15" s="831">
        <f>'2. Customer Classes'!B21</f>
        <v>0</v>
      </c>
      <c r="R15" s="832"/>
      <c r="S15" s="836" t="str">
        <f>'2. Customer Classes'!B22</f>
        <v>other</v>
      </c>
      <c r="T15" s="838"/>
      <c r="V15" s="836" t="s">
        <v>164</v>
      </c>
      <c r="W15" s="837"/>
    </row>
    <row r="16" spans="1:23" ht="39" thickBot="1" x14ac:dyDescent="0.25">
      <c r="B16" s="5" t="s">
        <v>3</v>
      </c>
      <c r="C16" s="170" t="s">
        <v>120</v>
      </c>
      <c r="D16" s="6" t="s">
        <v>5</v>
      </c>
      <c r="E16" s="170" t="s">
        <v>120</v>
      </c>
      <c r="F16" s="6" t="s">
        <v>5</v>
      </c>
      <c r="G16" s="170" t="s">
        <v>120</v>
      </c>
      <c r="H16" s="6" t="s">
        <v>5</v>
      </c>
      <c r="I16" s="170"/>
      <c r="J16" s="6"/>
      <c r="K16" s="170" t="s">
        <v>120</v>
      </c>
      <c r="L16" s="5" t="s">
        <v>5</v>
      </c>
      <c r="M16" s="170" t="s">
        <v>120</v>
      </c>
      <c r="N16" s="5" t="s">
        <v>5</v>
      </c>
      <c r="O16" s="170" t="s">
        <v>120</v>
      </c>
      <c r="P16" s="7" t="s">
        <v>5</v>
      </c>
      <c r="Q16" s="170" t="s">
        <v>120</v>
      </c>
      <c r="R16" s="6" t="s">
        <v>5</v>
      </c>
      <c r="S16" s="170" t="s">
        <v>120</v>
      </c>
      <c r="T16" s="7" t="s">
        <v>5</v>
      </c>
      <c r="V16" s="170" t="s">
        <v>174</v>
      </c>
      <c r="W16" s="7" t="s">
        <v>5</v>
      </c>
    </row>
    <row r="17" spans="2:23" x14ac:dyDescent="0.2">
      <c r="B17" s="8">
        <f>'1. LDC Info'!F25-10</f>
        <v>2005</v>
      </c>
      <c r="C17" s="200">
        <f>AVERAGE('3. Consumption by Rate Class'!E25,'3. Consumption by Rate Class'!E36)</f>
        <v>8625</v>
      </c>
      <c r="D17" s="169"/>
      <c r="E17" s="200">
        <f>AVERAGE('3. Consumption by Rate Class'!G25,'3. Consumption by Rate Class'!G36)</f>
        <v>1496</v>
      </c>
      <c r="F17" s="169"/>
      <c r="G17" s="171">
        <f>AVERAGE('3. Consumption by Rate Class'!I25,'3. Consumption by Rate Class'!I36)</f>
        <v>17</v>
      </c>
      <c r="H17" s="169"/>
      <c r="I17" s="200"/>
      <c r="J17" s="169"/>
      <c r="K17" s="171">
        <f>AVERAGE('3. Consumption by Rate Class'!N25,'3. Consumption by Rate Class'!N36)</f>
        <v>134</v>
      </c>
      <c r="L17" s="169"/>
      <c r="M17" s="200">
        <f>IF(SUM('3. Consumption by Rate Class'!Q25:Q36)&gt;0,+AVERAGE('3. Consumption by Rate Class'!Q25,'3. Consumption by Rate Class'!Q36),0)</f>
        <v>2604</v>
      </c>
      <c r="N17" s="169"/>
      <c r="O17" s="200">
        <f>AVERAGE('3. Consumption by Rate Class'!T25,'3. Consumption by Rate Class'!T36)</f>
        <v>250</v>
      </c>
      <c r="P17" s="172"/>
      <c r="Q17" s="388"/>
      <c r="R17" s="169"/>
      <c r="S17" s="388"/>
      <c r="T17" s="169"/>
      <c r="V17" s="241">
        <f>+C17+E17+G17+I17+K17+M17+O17+Q17</f>
        <v>13126</v>
      </c>
      <c r="W17" s="242"/>
    </row>
    <row r="18" spans="2:23" x14ac:dyDescent="0.2">
      <c r="B18" s="8">
        <f>'1. LDC Info'!F25-9</f>
        <v>2006</v>
      </c>
      <c r="C18" s="201">
        <f>AVERAGE('3. Consumption by Rate Class'!E37,'3. Consumption by Rate Class'!E48)</f>
        <v>8696</v>
      </c>
      <c r="D18" s="173">
        <f>C18/C17</f>
        <v>1.0082318840579709</v>
      </c>
      <c r="E18" s="201">
        <f>AVERAGE('3. Consumption by Rate Class'!G37,'3. Consumption by Rate Class'!G48)</f>
        <v>1449</v>
      </c>
      <c r="F18" s="173">
        <f>E18/E17</f>
        <v>0.9685828877005348</v>
      </c>
      <c r="G18" s="18">
        <f>AVERAGE('3. Consumption by Rate Class'!I37,'3. Consumption by Rate Class'!I48)</f>
        <v>20</v>
      </c>
      <c r="H18" s="173">
        <f t="shared" ref="H18:H26" si="0">G18/G17</f>
        <v>1.1764705882352942</v>
      </c>
      <c r="I18" s="200"/>
      <c r="J18" s="173"/>
      <c r="K18" s="18">
        <f>AVERAGE('3. Consumption by Rate Class'!N37,'3. Consumption by Rate Class'!N48)</f>
        <v>136</v>
      </c>
      <c r="L18" s="173">
        <f t="shared" ref="L18:L26" si="1">K18/K17</f>
        <v>1.0149253731343284</v>
      </c>
      <c r="M18" s="200">
        <f>IF(SUM('3. Consumption by Rate Class'!Q37:Q48)&gt;0,+AVERAGE('3. Consumption by Rate Class'!Q37,'3. Consumption by Rate Class'!Q48),0)</f>
        <v>2635</v>
      </c>
      <c r="N18" s="173">
        <f>IF(M18&gt;0,+M18/M17,0)</f>
        <v>1.0119047619047619</v>
      </c>
      <c r="O18" s="201">
        <f>AVERAGE('3. Consumption by Rate Class'!T37,'3. Consumption by Rate Class'!T48)</f>
        <v>225</v>
      </c>
      <c r="P18" s="174">
        <f>O18/O17</f>
        <v>0.9</v>
      </c>
      <c r="Q18" s="388"/>
      <c r="R18" s="173"/>
      <c r="S18" s="388"/>
      <c r="T18" s="173"/>
      <c r="V18" s="399">
        <f t="shared" ref="V18:V26" si="2">+C18+E18+G18+I18+K18+M18+O18+Q18</f>
        <v>13161</v>
      </c>
      <c r="W18" s="240">
        <f t="shared" ref="W18:W26" si="3">V18/V17</f>
        <v>1.0026664635075422</v>
      </c>
    </row>
    <row r="19" spans="2:23" x14ac:dyDescent="0.2">
      <c r="B19" s="8">
        <f>'1. LDC Info'!F25-8</f>
        <v>2007</v>
      </c>
      <c r="C19" s="201">
        <f>AVERAGE('3. Consumption by Rate Class'!E49,'3. Consumption by Rate Class'!E60)</f>
        <v>8809</v>
      </c>
      <c r="D19" s="173">
        <f t="shared" ref="D19:F26" si="4">C19/C18</f>
        <v>1.0129944802207911</v>
      </c>
      <c r="E19" s="201">
        <f>AVERAGE('3. Consumption by Rate Class'!G49,'3. Consumption by Rate Class'!G60)</f>
        <v>1442</v>
      </c>
      <c r="F19" s="173">
        <f t="shared" si="4"/>
        <v>0.99516908212560384</v>
      </c>
      <c r="G19" s="18">
        <f>AVERAGE('3. Consumption by Rate Class'!I49,'3. Consumption by Rate Class'!I60)</f>
        <v>20</v>
      </c>
      <c r="H19" s="173">
        <f t="shared" si="0"/>
        <v>1</v>
      </c>
      <c r="I19" s="200"/>
      <c r="J19" s="173"/>
      <c r="K19" s="18">
        <f>AVERAGE('3. Consumption by Rate Class'!N49,'3. Consumption by Rate Class'!N60)</f>
        <v>136</v>
      </c>
      <c r="L19" s="173">
        <f t="shared" si="1"/>
        <v>1</v>
      </c>
      <c r="M19" s="200">
        <f>IF(SUM('3. Consumption by Rate Class'!Q49:Q60)&gt;0,+AVERAGE('3. Consumption by Rate Class'!Q49,'3. Consumption by Rate Class'!Q60),0)</f>
        <v>2648</v>
      </c>
      <c r="N19" s="173">
        <f t="shared" ref="N19:N26" si="5">IF(M19&gt;0,+M19/M18,0)</f>
        <v>1.0049335863377609</v>
      </c>
      <c r="O19" s="201">
        <f>AVERAGE('3. Consumption by Rate Class'!T49,'3. Consumption by Rate Class'!T60)</f>
        <v>225</v>
      </c>
      <c r="P19" s="174">
        <f t="shared" ref="P19:P26" si="6">O19/O18</f>
        <v>1</v>
      </c>
      <c r="Q19" s="388"/>
      <c r="R19" s="173"/>
      <c r="S19" s="388"/>
      <c r="T19" s="173"/>
      <c r="V19" s="399">
        <f t="shared" si="2"/>
        <v>13280</v>
      </c>
      <c r="W19" s="240">
        <f t="shared" si="3"/>
        <v>1.0090418661195957</v>
      </c>
    </row>
    <row r="20" spans="2:23" x14ac:dyDescent="0.2">
      <c r="B20" s="8">
        <f>'1. LDC Info'!F25-7</f>
        <v>2008</v>
      </c>
      <c r="C20" s="201">
        <f>AVERAGE('3. Consumption by Rate Class'!E61,'3. Consumption by Rate Class'!E72)</f>
        <v>8809</v>
      </c>
      <c r="D20" s="173">
        <f t="shared" si="4"/>
        <v>1</v>
      </c>
      <c r="E20" s="201">
        <f>AVERAGE('3. Consumption by Rate Class'!G61,'3. Consumption by Rate Class'!G72)</f>
        <v>1409</v>
      </c>
      <c r="F20" s="173">
        <f t="shared" si="4"/>
        <v>0.97711511789181693</v>
      </c>
      <c r="G20" s="18">
        <f>AVERAGE('3. Consumption by Rate Class'!I61,'3. Consumption by Rate Class'!I72)</f>
        <v>20</v>
      </c>
      <c r="H20" s="173">
        <f t="shared" si="0"/>
        <v>1</v>
      </c>
      <c r="I20" s="200"/>
      <c r="J20" s="173"/>
      <c r="K20" s="18">
        <f>AVERAGE('3. Consumption by Rate Class'!N61,'3. Consumption by Rate Class'!N72)</f>
        <v>143</v>
      </c>
      <c r="L20" s="173">
        <f t="shared" si="1"/>
        <v>1.0514705882352942</v>
      </c>
      <c r="M20" s="200">
        <f>IF(SUM('3. Consumption by Rate Class'!Q61:Q72)&gt;0,+AVERAGE('3. Consumption by Rate Class'!Q61,'3. Consumption by Rate Class'!Q72),0)</f>
        <v>2653</v>
      </c>
      <c r="N20" s="173">
        <f t="shared" si="5"/>
        <v>1.0018882175226587</v>
      </c>
      <c r="O20" s="201">
        <f>AVERAGE('3. Consumption by Rate Class'!T61,'3. Consumption by Rate Class'!T72)</f>
        <v>226</v>
      </c>
      <c r="P20" s="174">
        <f t="shared" si="6"/>
        <v>1.0044444444444445</v>
      </c>
      <c r="Q20" s="388"/>
      <c r="R20" s="173"/>
      <c r="S20" s="388"/>
      <c r="T20" s="173"/>
      <c r="V20" s="399">
        <f t="shared" si="2"/>
        <v>13260</v>
      </c>
      <c r="W20" s="240">
        <f t="shared" si="3"/>
        <v>0.99849397590361444</v>
      </c>
    </row>
    <row r="21" spans="2:23" x14ac:dyDescent="0.2">
      <c r="B21" s="8">
        <f>'1. LDC Info'!F25-6</f>
        <v>2009</v>
      </c>
      <c r="C21" s="201">
        <f>AVERAGE('3. Consumption by Rate Class'!E73,'3. Consumption by Rate Class'!E84)</f>
        <v>8941</v>
      </c>
      <c r="D21" s="173">
        <f t="shared" si="4"/>
        <v>1.0149846747644455</v>
      </c>
      <c r="E21" s="201">
        <f>AVERAGE('3. Consumption by Rate Class'!G73,'3. Consumption by Rate Class'!G84)</f>
        <v>1394</v>
      </c>
      <c r="F21" s="173">
        <f t="shared" si="4"/>
        <v>0.98935415188076647</v>
      </c>
      <c r="G21" s="18">
        <f>AVERAGE('3. Consumption by Rate Class'!I73,'3. Consumption by Rate Class'!I84)</f>
        <v>20</v>
      </c>
      <c r="H21" s="173">
        <f t="shared" si="0"/>
        <v>1</v>
      </c>
      <c r="I21" s="200"/>
      <c r="J21" s="173"/>
      <c r="K21" s="18">
        <f>AVERAGE('3. Consumption by Rate Class'!N73,'3. Consumption by Rate Class'!N84)</f>
        <v>144</v>
      </c>
      <c r="L21" s="173">
        <f t="shared" si="1"/>
        <v>1.0069930069930071</v>
      </c>
      <c r="M21" s="200">
        <f>IF(SUM('3. Consumption by Rate Class'!Q73:Q84)&gt;0,+AVERAGE('3. Consumption by Rate Class'!Q73,'3. Consumption by Rate Class'!Q84),0)</f>
        <v>2701</v>
      </c>
      <c r="N21" s="173">
        <f t="shared" si="5"/>
        <v>1.0180927252167358</v>
      </c>
      <c r="O21" s="201">
        <f>AVERAGE('3. Consumption by Rate Class'!T73,'3. Consumption by Rate Class'!T84)</f>
        <v>226</v>
      </c>
      <c r="P21" s="174">
        <f t="shared" si="6"/>
        <v>1</v>
      </c>
      <c r="Q21" s="388"/>
      <c r="R21" s="173"/>
      <c r="S21" s="388"/>
      <c r="T21" s="173"/>
      <c r="V21" s="399">
        <f t="shared" si="2"/>
        <v>13426</v>
      </c>
      <c r="W21" s="240">
        <f t="shared" si="3"/>
        <v>1.0125188536953242</v>
      </c>
    </row>
    <row r="22" spans="2:23" x14ac:dyDescent="0.2">
      <c r="B22" s="8">
        <f>'1. LDC Info'!F25-5</f>
        <v>2010</v>
      </c>
      <c r="C22" s="201">
        <f>AVERAGE('3. Consumption by Rate Class'!E85,'3. Consumption by Rate Class'!E96)</f>
        <v>8955</v>
      </c>
      <c r="D22" s="173">
        <f t="shared" si="4"/>
        <v>1.0015658203780338</v>
      </c>
      <c r="E22" s="201">
        <f>AVERAGE('3. Consumption by Rate Class'!G85,'3. Consumption by Rate Class'!G96)</f>
        <v>1372</v>
      </c>
      <c r="F22" s="173">
        <f t="shared" si="4"/>
        <v>0.98421807747489243</v>
      </c>
      <c r="G22" s="18">
        <f>AVERAGE('3. Consumption by Rate Class'!I85,'3. Consumption by Rate Class'!I96)</f>
        <v>20</v>
      </c>
      <c r="H22" s="173">
        <f t="shared" si="0"/>
        <v>1</v>
      </c>
      <c r="I22" s="200"/>
      <c r="J22" s="173"/>
      <c r="K22" s="18">
        <f>AVERAGE('3. Consumption by Rate Class'!N85,'3. Consumption by Rate Class'!N96)</f>
        <v>148</v>
      </c>
      <c r="L22" s="173">
        <f t="shared" si="1"/>
        <v>1.0277777777777777</v>
      </c>
      <c r="M22" s="200">
        <f>IF(SUM('3. Consumption by Rate Class'!Q85:Q96)&gt;0,+AVERAGE('3. Consumption by Rate Class'!Q85,'3. Consumption by Rate Class'!Q96),0)</f>
        <v>2713</v>
      </c>
      <c r="N22" s="173">
        <f t="shared" si="5"/>
        <v>1.0044427989633469</v>
      </c>
      <c r="O22" s="201">
        <f>AVERAGE('3. Consumption by Rate Class'!T85,'3. Consumption by Rate Class'!T96)</f>
        <v>216</v>
      </c>
      <c r="P22" s="174">
        <f t="shared" si="6"/>
        <v>0.95575221238938057</v>
      </c>
      <c r="Q22" s="388"/>
      <c r="R22" s="173"/>
      <c r="S22" s="388"/>
      <c r="T22" s="173"/>
      <c r="V22" s="399">
        <f t="shared" si="2"/>
        <v>13424</v>
      </c>
      <c r="W22" s="240">
        <f t="shared" si="3"/>
        <v>0.99985103530463282</v>
      </c>
    </row>
    <row r="23" spans="2:23" x14ac:dyDescent="0.2">
      <c r="B23" s="8">
        <f>'1. LDC Info'!F25-4</f>
        <v>2011</v>
      </c>
      <c r="C23" s="201">
        <f>AVERAGE('3. Consumption by Rate Class'!E97,'3. Consumption by Rate Class'!E108)</f>
        <v>9030</v>
      </c>
      <c r="D23" s="173">
        <f t="shared" si="4"/>
        <v>1.0083752093802345</v>
      </c>
      <c r="E23" s="201">
        <f>AVERAGE('3. Consumption by Rate Class'!G97,'3. Consumption by Rate Class'!G108)</f>
        <v>1370</v>
      </c>
      <c r="F23" s="173">
        <f t="shared" si="4"/>
        <v>0.99854227405247808</v>
      </c>
      <c r="G23" s="18">
        <f>AVERAGE('3. Consumption by Rate Class'!I97,'3. Consumption by Rate Class'!I108)</f>
        <v>20</v>
      </c>
      <c r="H23" s="173">
        <f t="shared" si="0"/>
        <v>1</v>
      </c>
      <c r="I23" s="200"/>
      <c r="J23" s="173"/>
      <c r="K23" s="18">
        <f>AVERAGE('3. Consumption by Rate Class'!N97,'3. Consumption by Rate Class'!N108)</f>
        <v>145</v>
      </c>
      <c r="L23" s="173">
        <f t="shared" si="1"/>
        <v>0.97972972972972971</v>
      </c>
      <c r="M23" s="200">
        <f>IF(SUM('3. Consumption by Rate Class'!Q97:Q108)&gt;0,+AVERAGE('3. Consumption by Rate Class'!Q97,'3. Consumption by Rate Class'!Q108),0)</f>
        <v>2769</v>
      </c>
      <c r="N23" s="173">
        <f t="shared" si="5"/>
        <v>1.0206413564319941</v>
      </c>
      <c r="O23" s="201">
        <f>AVERAGE('3. Consumption by Rate Class'!T97,'3. Consumption by Rate Class'!T108)</f>
        <v>209</v>
      </c>
      <c r="P23" s="174">
        <f t="shared" si="6"/>
        <v>0.96759259259259256</v>
      </c>
      <c r="Q23" s="388"/>
      <c r="R23" s="173"/>
      <c r="S23" s="388"/>
      <c r="T23" s="173"/>
      <c r="V23" s="399">
        <f t="shared" si="2"/>
        <v>13543</v>
      </c>
      <c r="W23" s="240">
        <f t="shared" si="3"/>
        <v>1.0088647199046483</v>
      </c>
    </row>
    <row r="24" spans="2:23" x14ac:dyDescent="0.2">
      <c r="B24" s="8">
        <f>'1. LDC Info'!F25-3</f>
        <v>2012</v>
      </c>
      <c r="C24" s="201">
        <f>AVERAGE('3. Consumption by Rate Class'!E109,'3. Consumption by Rate Class'!E120)</f>
        <v>9086.5</v>
      </c>
      <c r="D24" s="173">
        <f t="shared" si="4"/>
        <v>1.0062569213732004</v>
      </c>
      <c r="E24" s="201">
        <f>AVERAGE('3. Consumption by Rate Class'!G109,'3. Consumption by Rate Class'!G120)</f>
        <v>1361.5</v>
      </c>
      <c r="F24" s="173">
        <f t="shared" si="4"/>
        <v>0.99379562043795622</v>
      </c>
      <c r="G24" s="18">
        <f>AVERAGE('3. Consumption by Rate Class'!I109,'3. Consumption by Rate Class'!I120)</f>
        <v>20</v>
      </c>
      <c r="H24" s="173">
        <f t="shared" si="0"/>
        <v>1</v>
      </c>
      <c r="I24" s="200"/>
      <c r="J24" s="173"/>
      <c r="K24" s="18">
        <f>AVERAGE('3. Consumption by Rate Class'!N109,'3. Consumption by Rate Class'!N120)</f>
        <v>145</v>
      </c>
      <c r="L24" s="173">
        <f t="shared" si="1"/>
        <v>1</v>
      </c>
      <c r="M24" s="200">
        <f>IF(SUM('3. Consumption by Rate Class'!Q109:Q120)&gt;0,+AVERAGE('3. Consumption by Rate Class'!Q109,'3. Consumption by Rate Class'!Q120),0)</f>
        <v>2774.5</v>
      </c>
      <c r="N24" s="173">
        <f t="shared" si="5"/>
        <v>1.0019862766341641</v>
      </c>
      <c r="O24" s="201">
        <f>AVERAGE('3. Consumption by Rate Class'!T109,'3. Consumption by Rate Class'!T120)</f>
        <v>208.5</v>
      </c>
      <c r="P24" s="174">
        <f t="shared" si="6"/>
        <v>0.99760765550239239</v>
      </c>
      <c r="Q24" s="388"/>
      <c r="R24" s="173"/>
      <c r="S24" s="388"/>
      <c r="T24" s="173"/>
      <c r="V24" s="399">
        <f t="shared" si="2"/>
        <v>13596</v>
      </c>
      <c r="W24" s="240">
        <f t="shared" si="3"/>
        <v>1.0039134608284723</v>
      </c>
    </row>
    <row r="25" spans="2:23" x14ac:dyDescent="0.2">
      <c r="B25" s="8">
        <f>'1. LDC Info'!F25-2</f>
        <v>2013</v>
      </c>
      <c r="C25" s="201">
        <f>AVERAGE('3. Consumption by Rate Class'!E121,'3. Consumption by Rate Class'!E132)</f>
        <v>9195</v>
      </c>
      <c r="D25" s="173">
        <f t="shared" si="4"/>
        <v>1.0119407912837726</v>
      </c>
      <c r="E25" s="201">
        <f>AVERAGE('3. Consumption by Rate Class'!G121,'3. Consumption by Rate Class'!G132)</f>
        <v>1332.5</v>
      </c>
      <c r="F25" s="173">
        <f t="shared" si="4"/>
        <v>0.97869996327579878</v>
      </c>
      <c r="G25" s="18">
        <f>AVERAGE('3. Consumption by Rate Class'!I121,'3. Consumption by Rate Class'!I132)</f>
        <v>20</v>
      </c>
      <c r="H25" s="173">
        <f t="shared" si="0"/>
        <v>1</v>
      </c>
      <c r="I25" s="200"/>
      <c r="J25" s="173"/>
      <c r="K25" s="18">
        <f>AVERAGE('3. Consumption by Rate Class'!N121,'3. Consumption by Rate Class'!N132)</f>
        <v>145.5</v>
      </c>
      <c r="L25" s="173">
        <f t="shared" si="1"/>
        <v>1.0034482758620689</v>
      </c>
      <c r="M25" s="200">
        <f>IF(SUM('3. Consumption by Rate Class'!Q121:Q132)&gt;0,+AVERAGE('3. Consumption by Rate Class'!Q121,'3. Consumption by Rate Class'!Q132),0)</f>
        <v>2787</v>
      </c>
      <c r="N25" s="173">
        <f t="shared" si="5"/>
        <v>1.0045053162732023</v>
      </c>
      <c r="O25" s="201">
        <f>AVERAGE('3. Consumption by Rate Class'!T121,'3. Consumption by Rate Class'!T132)</f>
        <v>206.5</v>
      </c>
      <c r="P25" s="174">
        <f t="shared" si="6"/>
        <v>0.99040767386091122</v>
      </c>
      <c r="Q25" s="388"/>
      <c r="R25" s="173"/>
      <c r="S25" s="388"/>
      <c r="T25" s="173"/>
      <c r="V25" s="399">
        <f t="shared" si="2"/>
        <v>13686.5</v>
      </c>
      <c r="W25" s="240">
        <f t="shared" si="3"/>
        <v>1.0066563695204471</v>
      </c>
    </row>
    <row r="26" spans="2:23" x14ac:dyDescent="0.2">
      <c r="B26" s="8">
        <f>'1. LDC Info'!F25-1</f>
        <v>2014</v>
      </c>
      <c r="C26" s="201">
        <f>AVERAGE('3. Consumption by Rate Class'!E133,'3. Consumption by Rate Class'!E144)</f>
        <v>9305</v>
      </c>
      <c r="D26" s="173">
        <f t="shared" si="4"/>
        <v>1.011963023382273</v>
      </c>
      <c r="E26" s="201">
        <f>AVERAGE('3. Consumption by Rate Class'!G133,'3. Consumption by Rate Class'!G144)</f>
        <v>1318</v>
      </c>
      <c r="F26" s="173">
        <f t="shared" si="4"/>
        <v>0.98911819887429642</v>
      </c>
      <c r="G26" s="18">
        <f>AVERAGE('3. Consumption by Rate Class'!I133,'3. Consumption by Rate Class'!I144)</f>
        <v>20</v>
      </c>
      <c r="H26" s="173">
        <f t="shared" si="0"/>
        <v>1</v>
      </c>
      <c r="I26" s="200"/>
      <c r="J26" s="173"/>
      <c r="K26" s="18">
        <f>AVERAGE('3. Consumption by Rate Class'!N133,'3. Consumption by Rate Class'!N144)</f>
        <v>146.5</v>
      </c>
      <c r="L26" s="173">
        <f t="shared" si="1"/>
        <v>1.006872852233677</v>
      </c>
      <c r="M26" s="200">
        <f>IF(SUM('3. Consumption by Rate Class'!Q132:Q144)&gt;0,+AVERAGE('3. Consumption by Rate Class'!Q133,'3. Consumption by Rate Class'!Q144),0)</f>
        <v>2802.5</v>
      </c>
      <c r="N26" s="173">
        <f t="shared" si="5"/>
        <v>1.0055615357014711</v>
      </c>
      <c r="O26" s="201">
        <f>AVERAGE('3. Consumption by Rate Class'!T133,'3. Consumption by Rate Class'!T144)</f>
        <v>204</v>
      </c>
      <c r="P26" s="174">
        <f t="shared" si="6"/>
        <v>0.98789346246973364</v>
      </c>
      <c r="Q26" s="388"/>
      <c r="R26" s="173"/>
      <c r="S26" s="388"/>
      <c r="T26" s="173"/>
      <c r="V26" s="399">
        <f t="shared" si="2"/>
        <v>13796</v>
      </c>
      <c r="W26" s="240">
        <f t="shared" si="3"/>
        <v>1.0080005845175903</v>
      </c>
    </row>
    <row r="27" spans="2:23" x14ac:dyDescent="0.2">
      <c r="B27" s="12"/>
      <c r="C27" s="295"/>
      <c r="D27" s="10"/>
      <c r="E27" s="295"/>
      <c r="F27" s="10"/>
      <c r="G27" s="13"/>
      <c r="H27" s="10"/>
      <c r="I27" s="295"/>
      <c r="J27" s="10"/>
      <c r="K27" s="13"/>
      <c r="L27" s="10"/>
      <c r="M27" s="295"/>
      <c r="N27" s="10"/>
      <c r="O27" s="295"/>
      <c r="P27" s="11"/>
      <c r="Q27" s="295"/>
      <c r="R27" s="10"/>
      <c r="S27" s="295"/>
      <c r="T27" s="10"/>
      <c r="V27" s="241"/>
      <c r="W27" s="242"/>
    </row>
    <row r="28" spans="2:23" x14ac:dyDescent="0.2">
      <c r="B28" s="14" t="s">
        <v>4</v>
      </c>
      <c r="C28" s="295"/>
      <c r="D28" s="15">
        <f>GEOMEAN(D18:D26)</f>
        <v>1.0084675292283103</v>
      </c>
      <c r="E28" s="297"/>
      <c r="F28" s="15">
        <f>GEOMEAN(F18:F26)</f>
        <v>0.98602310290180539</v>
      </c>
      <c r="G28" s="16"/>
      <c r="H28" s="15">
        <f>GEOMEAN(H18:H26)</f>
        <v>1.0182216841713987</v>
      </c>
      <c r="I28" s="297"/>
      <c r="J28" s="15"/>
      <c r="K28" s="16"/>
      <c r="L28" s="15">
        <f>GEOMEAN(L18:L26)</f>
        <v>1.0099587761008677</v>
      </c>
      <c r="M28" s="297"/>
      <c r="N28" s="15">
        <f>IF(SUM(N18:N26)&gt;0,+GEOMEAN(N18:N26),0)</f>
        <v>1.0081959770234488</v>
      </c>
      <c r="O28" s="297"/>
      <c r="P28" s="17">
        <f>GEOMEAN(P18:P26)</f>
        <v>0.97765988429467043</v>
      </c>
      <c r="Q28" s="297"/>
      <c r="R28" s="15"/>
      <c r="S28" s="297"/>
      <c r="T28" s="15"/>
      <c r="V28" s="241"/>
      <c r="W28" s="17">
        <f>GEOMEAN(W18:W26)</f>
        <v>1.0055468492298496</v>
      </c>
    </row>
    <row r="29" spans="2:23" x14ac:dyDescent="0.2">
      <c r="B29" s="14"/>
      <c r="C29" s="295"/>
      <c r="D29" s="15"/>
      <c r="E29" s="297"/>
      <c r="F29" s="15"/>
      <c r="G29" s="16"/>
      <c r="H29" s="15"/>
      <c r="I29" s="297"/>
      <c r="J29" s="15"/>
      <c r="K29" s="16"/>
      <c r="L29" s="15"/>
      <c r="M29" s="297"/>
      <c r="N29" s="15"/>
      <c r="O29" s="297"/>
      <c r="P29" s="17"/>
      <c r="Q29" s="297"/>
      <c r="R29" s="15"/>
      <c r="S29" s="297"/>
      <c r="T29" s="15"/>
      <c r="V29" s="241"/>
      <c r="W29" s="242"/>
    </row>
    <row r="30" spans="2:23" x14ac:dyDescent="0.2">
      <c r="B30" s="9" t="str">
        <f>'1. LDC Info'!F25</f>
        <v>2015</v>
      </c>
      <c r="C30" s="748">
        <f>C26*D28</f>
        <v>9383.7903594694271</v>
      </c>
      <c r="D30" s="10" t="s">
        <v>30</v>
      </c>
      <c r="E30" s="748">
        <f>E26*F28</f>
        <v>1299.5784496245794</v>
      </c>
      <c r="F30" s="19"/>
      <c r="G30" s="750">
        <f>G26*H28</f>
        <v>20.364433683427976</v>
      </c>
      <c r="H30" s="19"/>
      <c r="I30" s="201"/>
      <c r="J30" s="19"/>
      <c r="K30" s="750">
        <f>K26*L28</f>
        <v>147.9589606987771</v>
      </c>
      <c r="L30" s="19"/>
      <c r="M30" s="748">
        <f>M26*N28</f>
        <v>2825.4692256082153</v>
      </c>
      <c r="N30" s="19"/>
      <c r="O30" s="748">
        <f>O26*P28</f>
        <v>199.44261639611278</v>
      </c>
      <c r="P30" s="20"/>
      <c r="Q30" s="390"/>
      <c r="R30" s="19"/>
      <c r="S30" s="390"/>
      <c r="T30" s="756"/>
      <c r="V30" s="241">
        <f>+C30+E30+G30+I30+K30+M30+O30+Q30</f>
        <v>13876.604045480539</v>
      </c>
      <c r="W30" s="242"/>
    </row>
    <row r="31" spans="2:23" ht="13.5" thickBot="1" x14ac:dyDescent="0.25">
      <c r="B31" s="21" t="str">
        <f>'1. LDC Info'!F27</f>
        <v>2016</v>
      </c>
      <c r="C31" s="749">
        <f>C30*D28</f>
        <v>9463.2478786105712</v>
      </c>
      <c r="D31" s="22" t="s">
        <v>30</v>
      </c>
      <c r="E31" s="749">
        <f>E30*F28</f>
        <v>1281.4143753631454</v>
      </c>
      <c r="F31" s="23"/>
      <c r="G31" s="751">
        <f>G30*H28</f>
        <v>20.735507962336793</v>
      </c>
      <c r="H31" s="23"/>
      <c r="I31" s="296"/>
      <c r="J31" s="23"/>
      <c r="K31" s="751">
        <f>K30*L28</f>
        <v>149.4324508604933</v>
      </c>
      <c r="L31" s="23"/>
      <c r="M31" s="749">
        <f>M30*N28</f>
        <v>2848.6267064617618</v>
      </c>
      <c r="N31" s="23"/>
      <c r="O31" s="749">
        <f>O30*P28</f>
        <v>194.98704526924996</v>
      </c>
      <c r="P31" s="24"/>
      <c r="Q31" s="296"/>
      <c r="R31" s="23"/>
      <c r="S31" s="296"/>
      <c r="T31" s="757"/>
      <c r="V31" s="399">
        <f>+C31+E31+G31+I31+K31+M31+O31+Q31</f>
        <v>13958.44396452756</v>
      </c>
      <c r="W31" s="194"/>
    </row>
    <row r="32" spans="2:23" x14ac:dyDescent="0.2">
      <c r="Q32" s="536"/>
      <c r="R32" s="536"/>
      <c r="V32" s="239"/>
    </row>
    <row r="33" spans="2:23" x14ac:dyDescent="0.2">
      <c r="B33" s="177" t="s">
        <v>175</v>
      </c>
      <c r="Q33" s="536"/>
      <c r="R33" s="536"/>
      <c r="V33" s="239"/>
    </row>
    <row r="34" spans="2:23" ht="13.5" thickBot="1" x14ac:dyDescent="0.25">
      <c r="Q34" s="536"/>
      <c r="R34" s="536"/>
      <c r="V34" s="239"/>
    </row>
    <row r="35" spans="2:23" x14ac:dyDescent="0.2">
      <c r="B35" s="278" t="s">
        <v>31</v>
      </c>
      <c r="C35" s="25"/>
      <c r="D35" s="25"/>
      <c r="E35" s="25"/>
      <c r="F35" s="25"/>
      <c r="G35" s="25"/>
      <c r="H35" s="25"/>
      <c r="I35" s="25"/>
      <c r="J35" s="25"/>
      <c r="K35" s="25"/>
      <c r="L35" s="25"/>
      <c r="M35" s="25"/>
      <c r="N35" s="25"/>
      <c r="O35" s="25"/>
      <c r="P35" s="26"/>
      <c r="Q35" s="25"/>
      <c r="R35" s="25"/>
      <c r="S35" s="25"/>
      <c r="T35" s="26"/>
      <c r="V35" s="829" t="s">
        <v>31</v>
      </c>
      <c r="W35" s="830"/>
    </row>
    <row r="36" spans="2:23" x14ac:dyDescent="0.2">
      <c r="B36" s="168" t="str">
        <f>'1. LDC Info'!F25</f>
        <v>2015</v>
      </c>
      <c r="C36" s="298"/>
      <c r="D36" s="10">
        <f>C36/C26</f>
        <v>0</v>
      </c>
      <c r="E36" s="298"/>
      <c r="F36" s="10">
        <f>E36/E26</f>
        <v>0</v>
      </c>
      <c r="G36" s="298">
        <v>20</v>
      </c>
      <c r="H36" s="10">
        <f>G36/G26</f>
        <v>1</v>
      </c>
      <c r="I36" s="298"/>
      <c r="J36" s="173">
        <f>IF(I36&gt;0,+I36/I26,0)</f>
        <v>0</v>
      </c>
      <c r="K36" s="298">
        <v>146</v>
      </c>
      <c r="L36" s="10">
        <f>K36/K26</f>
        <v>0.9965870307167235</v>
      </c>
      <c r="M36" s="298"/>
      <c r="N36" s="173">
        <f>IF(M36&gt;0,+M36/M26,0)</f>
        <v>0</v>
      </c>
      <c r="O36" s="298"/>
      <c r="P36" s="11">
        <f>O36/O26</f>
        <v>0</v>
      </c>
      <c r="Q36" s="528">
        <v>0</v>
      </c>
      <c r="R36" s="173" t="e">
        <f>Q36/Q26</f>
        <v>#DIV/0!</v>
      </c>
      <c r="S36" s="27"/>
      <c r="T36" s="11"/>
      <c r="V36" s="399">
        <f>+C36+E36+G36+I36+K36+M36+O36</f>
        <v>166</v>
      </c>
      <c r="W36" s="174">
        <f>V36/V26</f>
        <v>1.2032473180632067E-2</v>
      </c>
    </row>
    <row r="37" spans="2:23" ht="13.5" thickBot="1" x14ac:dyDescent="0.25">
      <c r="B37" s="167" t="str">
        <f>'1. LDC Info'!F27</f>
        <v>2016</v>
      </c>
      <c r="C37" s="299"/>
      <c r="D37" s="293">
        <f>IF(C37&gt;0,+C37/C36,0)</f>
        <v>0</v>
      </c>
      <c r="E37" s="299"/>
      <c r="F37" s="293">
        <f>IF(E37&gt;0,+E37/E36,0)</f>
        <v>0</v>
      </c>
      <c r="G37" s="299">
        <v>20</v>
      </c>
      <c r="H37" s="293">
        <f>IF(G37&gt;0,+G37/G36,0)</f>
        <v>1</v>
      </c>
      <c r="I37" s="299"/>
      <c r="J37" s="293">
        <f>IF(I37&gt;0,+I37/I36,0)</f>
        <v>0</v>
      </c>
      <c r="K37" s="299">
        <v>148</v>
      </c>
      <c r="L37" s="293">
        <f>IF(K37&gt;0,+K37/K36,0)</f>
        <v>1.0136986301369864</v>
      </c>
      <c r="M37" s="299"/>
      <c r="N37" s="293">
        <f>IF(M37&gt;0,+M37/M36,0)</f>
        <v>0</v>
      </c>
      <c r="O37" s="299"/>
      <c r="P37" s="243">
        <f>IF(O37&gt;0,+O37/O36,0)</f>
        <v>0</v>
      </c>
      <c r="Q37" s="299">
        <v>0</v>
      </c>
      <c r="R37" s="293">
        <f>IF(Q37&gt;0,+Q37/Q36,0)</f>
        <v>0</v>
      </c>
      <c r="S37" s="28"/>
      <c r="T37" s="29"/>
      <c r="V37" s="400">
        <f>+C37+E37+G37+I37+K37+M37+O37</f>
        <v>168</v>
      </c>
      <c r="W37" s="243">
        <f>IF(V37&gt;0,+V37/V36,0)</f>
        <v>1.0120481927710843</v>
      </c>
    </row>
    <row r="38" spans="2:23" x14ac:dyDescent="0.2">
      <c r="C38" s="182" t="s">
        <v>30</v>
      </c>
      <c r="V38" s="239"/>
    </row>
    <row r="39" spans="2:23" x14ac:dyDescent="0.2">
      <c r="B39" s="1" t="s">
        <v>130</v>
      </c>
      <c r="V39" s="239"/>
    </row>
    <row r="40" spans="2:23" ht="13.5" thickBot="1" x14ac:dyDescent="0.25">
      <c r="V40" s="239"/>
    </row>
    <row r="41" spans="2:23" x14ac:dyDescent="0.2">
      <c r="B41" s="833" t="s">
        <v>159</v>
      </c>
      <c r="C41" s="834"/>
      <c r="D41" s="834"/>
      <c r="E41" s="834"/>
      <c r="F41" s="834"/>
      <c r="G41" s="834"/>
      <c r="H41" s="834"/>
      <c r="I41" s="834"/>
      <c r="J41" s="834"/>
      <c r="K41" s="834"/>
      <c r="L41" s="834"/>
      <c r="M41" s="834"/>
      <c r="N41" s="834"/>
      <c r="O41" s="834"/>
      <c r="P41" s="834"/>
      <c r="Q41" s="834"/>
      <c r="R41" s="835"/>
      <c r="V41" s="829" t="s">
        <v>31</v>
      </c>
      <c r="W41" s="830"/>
    </row>
    <row r="42" spans="2:23" ht="13.5" thickBot="1" x14ac:dyDescent="0.25">
      <c r="B42" s="550">
        <v>2014</v>
      </c>
      <c r="C42" s="752">
        <f>IF(C36&gt;0,+C36,C30)</f>
        <v>9383.7903594694271</v>
      </c>
      <c r="D42" s="520">
        <f>IF(D36&gt;0,+D36,D28)</f>
        <v>1.0084675292283103</v>
      </c>
      <c r="E42" s="752">
        <f>IF(E36&gt;0,+E36,E30)</f>
        <v>1299.5784496245794</v>
      </c>
      <c r="F42" s="520">
        <f>IF(F36&gt;0,+F36,F28)</f>
        <v>0.98602310290180539</v>
      </c>
      <c r="G42" s="752">
        <f>IF(G36&gt;0,+G36,G30)</f>
        <v>20</v>
      </c>
      <c r="H42" s="520">
        <f>IF(H36&gt;0,+H36,H28)</f>
        <v>1</v>
      </c>
      <c r="I42" s="517">
        <f>IF(I36&gt;0,+I36,I30)</f>
        <v>0</v>
      </c>
      <c r="J42" s="520">
        <f>IF(J36&gt;0,+J36,J28)</f>
        <v>0</v>
      </c>
      <c r="K42" s="752">
        <f>IF(K36&gt;0,+K36,K30)</f>
        <v>146</v>
      </c>
      <c r="L42" s="520">
        <f>IF(L36&gt;0,+L36,L28)</f>
        <v>0.9965870307167235</v>
      </c>
      <c r="M42" s="752">
        <f>IF(M36&gt;0,+M36,M30)</f>
        <v>2825.4692256082153</v>
      </c>
      <c r="N42" s="520">
        <f>IF(N36&gt;0,+N36,N28)</f>
        <v>1.0081959770234488</v>
      </c>
      <c r="O42" s="752">
        <f>IF(O36&gt;0,+O36,O30)</f>
        <v>199.44261639611278</v>
      </c>
      <c r="P42" s="520">
        <f>IF(P36&gt;0,+P36,P28)</f>
        <v>0.97765988429467043</v>
      </c>
      <c r="Q42" s="517">
        <f>IF(Q36&gt;0,+Q36,Q30)</f>
        <v>0</v>
      </c>
      <c r="R42" s="754" t="e">
        <f>IF(R36&gt;0,+R36,R28)</f>
        <v>#DIV/0!</v>
      </c>
      <c r="V42" s="399">
        <f>+C42+E42+G42+I42+K42+M42+O42</f>
        <v>13874.280651098334</v>
      </c>
      <c r="W42" s="257">
        <f>IF(V36&gt;1,+W36,W28)</f>
        <v>1.2032473180632067E-2</v>
      </c>
    </row>
    <row r="43" spans="2:23" ht="13.5" thickBot="1" x14ac:dyDescent="0.25">
      <c r="B43" s="220">
        <v>2015</v>
      </c>
      <c r="C43" s="753">
        <f>IF(C37&gt;0,+C37,C31)</f>
        <v>9463.2478786105712</v>
      </c>
      <c r="D43" s="223">
        <f>IF(D37&gt;0,+D37,D28)</f>
        <v>1.0084675292283103</v>
      </c>
      <c r="E43" s="753">
        <f>IF(E37&gt;0,+E37,E31)</f>
        <v>1281.4143753631454</v>
      </c>
      <c r="F43" s="223">
        <f>IF(F37&gt;0,+F37,F28)</f>
        <v>0.98602310290180539</v>
      </c>
      <c r="G43" s="753">
        <f>IF(G37&gt;0,+G37,G31)</f>
        <v>20</v>
      </c>
      <c r="H43" s="223">
        <f>IF(H37&gt;0,+H37,H28)</f>
        <v>1</v>
      </c>
      <c r="I43" s="294">
        <f>IF(I37&gt;0,+I37,I31)</f>
        <v>0</v>
      </c>
      <c r="J43" s="223">
        <f>IF(J37&gt;0,+J37,J28)</f>
        <v>0</v>
      </c>
      <c r="K43" s="753">
        <f>IF(K37&gt;0,+K37,K31)</f>
        <v>148</v>
      </c>
      <c r="L43" s="223">
        <f>IF(L37&gt;0,+L37,L28)</f>
        <v>1.0136986301369864</v>
      </c>
      <c r="M43" s="753">
        <f>IF(M37&gt;0,+M37,M31)</f>
        <v>2848.6267064617618</v>
      </c>
      <c r="N43" s="223">
        <f>IF(N37&gt;0,+N37,N28)</f>
        <v>1.0081959770234488</v>
      </c>
      <c r="O43" s="753">
        <f>IF(O37&gt;0,+O37,O31)</f>
        <v>194.98704526924996</v>
      </c>
      <c r="P43" s="223">
        <f>IF(P37&gt;0,+P37,P28)</f>
        <v>0.97765988429467043</v>
      </c>
      <c r="Q43" s="294">
        <f>IF(Q37&gt;0,+Q37,Q31)</f>
        <v>0</v>
      </c>
      <c r="R43" s="755">
        <f>IF(R37&gt;0,+R37,R28)</f>
        <v>0</v>
      </c>
      <c r="V43" s="400">
        <f>+C43+E43+G43+I43+K43+M43+O43</f>
        <v>13956.276005704729</v>
      </c>
      <c r="W43" s="258">
        <f>IF(W37&gt;1,+W37,W28)</f>
        <v>1.0120481927710843</v>
      </c>
    </row>
    <row r="48" spans="2:23" x14ac:dyDescent="0.2">
      <c r="C48" s="300"/>
    </row>
    <row r="49" spans="3:3" x14ac:dyDescent="0.2">
      <c r="C49" s="300"/>
    </row>
  </sheetData>
  <mergeCells count="14">
    <mergeCell ref="V41:W41"/>
    <mergeCell ref="M15:N15"/>
    <mergeCell ref="B41:R41"/>
    <mergeCell ref="B10:I10"/>
    <mergeCell ref="C15:D15"/>
    <mergeCell ref="E15:F15"/>
    <mergeCell ref="G15:H15"/>
    <mergeCell ref="K15:L15"/>
    <mergeCell ref="I15:J15"/>
    <mergeCell ref="V15:W15"/>
    <mergeCell ref="V35:W35"/>
    <mergeCell ref="Q15:R15"/>
    <mergeCell ref="S15:T15"/>
    <mergeCell ref="O15:P15"/>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Z132"/>
  <sheetViews>
    <sheetView showGridLines="0" zoomScaleNormal="100" zoomScaleSheetLayoutView="100" workbookViewId="0">
      <selection activeCell="U48" sqref="U48"/>
    </sheetView>
  </sheetViews>
  <sheetFormatPr defaultRowHeight="12.75" x14ac:dyDescent="0.2"/>
  <cols>
    <col min="1" max="1" width="13.6640625" style="1" customWidth="1"/>
    <col min="2" max="2" width="24.83203125" style="58" customWidth="1"/>
    <col min="3" max="14" width="14.83203125" style="58" customWidth="1"/>
    <col min="15" max="15" width="16.6640625" style="1" customWidth="1"/>
    <col min="16" max="25" width="9.33203125" style="1"/>
    <col min="26" max="26" width="19.33203125" style="1" customWidth="1"/>
    <col min="27" max="16384" width="9.33203125" style="1"/>
  </cols>
  <sheetData>
    <row r="1" spans="1:15" s="536" customFormat="1" x14ac:dyDescent="0.2">
      <c r="A1" s="758" t="s">
        <v>272</v>
      </c>
      <c r="B1" s="58"/>
      <c r="C1" s="58"/>
      <c r="D1" s="58"/>
      <c r="E1" s="58"/>
      <c r="F1" s="58"/>
      <c r="G1" s="58"/>
      <c r="H1" s="58"/>
      <c r="I1" s="58"/>
      <c r="J1" s="58"/>
      <c r="K1" s="58"/>
      <c r="L1" s="58"/>
      <c r="M1" s="58"/>
      <c r="N1" s="58"/>
    </row>
    <row r="2" spans="1:15" s="536" customFormat="1" x14ac:dyDescent="0.2">
      <c r="B2" s="58"/>
      <c r="C2" s="58"/>
      <c r="D2" s="58"/>
      <c r="E2" s="58"/>
      <c r="F2" s="58"/>
      <c r="G2" s="58"/>
      <c r="H2" s="58"/>
      <c r="I2" s="58"/>
      <c r="J2" s="58"/>
      <c r="K2" s="58"/>
      <c r="L2" s="58"/>
      <c r="M2" s="58"/>
      <c r="N2" s="58"/>
    </row>
    <row r="3" spans="1:15" s="536" customFormat="1" x14ac:dyDescent="0.2">
      <c r="B3" s="58"/>
      <c r="C3" s="58"/>
      <c r="D3" s="58"/>
      <c r="E3" s="58"/>
      <c r="F3" s="58"/>
      <c r="G3" s="58"/>
      <c r="H3" s="58"/>
      <c r="I3" s="58"/>
      <c r="J3" s="58"/>
      <c r="K3" s="58"/>
      <c r="L3" s="58"/>
      <c r="M3" s="58"/>
      <c r="N3" s="58"/>
    </row>
    <row r="4" spans="1:15" s="536" customFormat="1" x14ac:dyDescent="0.2">
      <c r="B4" s="58"/>
      <c r="C4" s="58"/>
      <c r="D4" s="58"/>
      <c r="E4" s="58"/>
      <c r="F4" s="58"/>
      <c r="G4" s="58"/>
      <c r="H4" s="58"/>
      <c r="I4" s="58"/>
      <c r="J4" s="58"/>
      <c r="K4" s="58"/>
      <c r="L4" s="58"/>
      <c r="M4" s="58"/>
      <c r="N4" s="58"/>
    </row>
    <row r="5" spans="1:15" s="536" customFormat="1" x14ac:dyDescent="0.2">
      <c r="B5" s="58"/>
      <c r="C5" s="58"/>
      <c r="D5" s="58"/>
      <c r="E5" s="58"/>
      <c r="F5" s="58"/>
      <c r="G5" s="58"/>
      <c r="H5" s="58"/>
      <c r="I5" s="58"/>
      <c r="J5" s="58"/>
      <c r="K5" s="58"/>
      <c r="L5" s="58"/>
      <c r="M5" s="58"/>
      <c r="N5" s="58"/>
    </row>
    <row r="6" spans="1:15" s="536" customFormat="1" x14ac:dyDescent="0.2">
      <c r="B6" s="58"/>
      <c r="C6" s="58"/>
      <c r="D6" s="58"/>
      <c r="E6" s="58"/>
      <c r="F6" s="58"/>
      <c r="G6" s="58"/>
      <c r="H6" s="58"/>
      <c r="I6" s="58"/>
      <c r="J6" s="58"/>
      <c r="K6" s="58"/>
      <c r="L6" s="58"/>
      <c r="M6" s="58"/>
      <c r="N6" s="58"/>
    </row>
    <row r="7" spans="1:15" s="536" customFormat="1" x14ac:dyDescent="0.2">
      <c r="B7" s="58"/>
      <c r="C7" s="58"/>
      <c r="D7" s="58"/>
      <c r="E7" s="58"/>
      <c r="F7" s="58"/>
      <c r="G7" s="58"/>
      <c r="H7" s="58"/>
      <c r="I7" s="58"/>
      <c r="J7" s="58"/>
      <c r="K7" s="58"/>
      <c r="L7" s="58"/>
      <c r="M7" s="58"/>
      <c r="N7" s="58"/>
    </row>
    <row r="8" spans="1:15" s="536" customFormat="1" x14ac:dyDescent="0.2">
      <c r="B8" s="58"/>
      <c r="C8" s="58"/>
      <c r="D8" s="58"/>
      <c r="E8" s="58"/>
      <c r="F8" s="58"/>
      <c r="G8" s="58"/>
      <c r="H8" s="58"/>
      <c r="I8" s="58"/>
      <c r="J8" s="58"/>
      <c r="K8" s="58"/>
      <c r="L8" s="58"/>
      <c r="M8" s="58"/>
      <c r="N8" s="58"/>
    </row>
    <row r="9" spans="1:15" s="536" customFormat="1" x14ac:dyDescent="0.2">
      <c r="B9" s="58"/>
      <c r="C9" s="58"/>
      <c r="D9" s="58"/>
      <c r="E9" s="58"/>
      <c r="F9" s="58"/>
      <c r="G9" s="58"/>
      <c r="H9" s="58"/>
      <c r="I9" s="58"/>
      <c r="J9" s="58"/>
      <c r="K9" s="58"/>
      <c r="L9" s="58"/>
      <c r="M9" s="58"/>
      <c r="N9" s="58"/>
    </row>
    <row r="10" spans="1:15" x14ac:dyDescent="0.2">
      <c r="A10" s="245"/>
      <c r="B10" s="246"/>
      <c r="C10" s="246"/>
      <c r="D10" s="246"/>
      <c r="E10" s="246"/>
      <c r="F10" s="246"/>
      <c r="G10" s="246"/>
      <c r="H10" s="246"/>
      <c r="I10" s="246"/>
      <c r="J10" s="246"/>
      <c r="K10" s="246"/>
      <c r="L10" s="246"/>
      <c r="M10" s="246"/>
      <c r="N10" s="246"/>
      <c r="O10" s="245"/>
    </row>
    <row r="11" spans="1:15" ht="23.25" x14ac:dyDescent="0.35">
      <c r="A11" s="245"/>
      <c r="B11" s="247" t="s">
        <v>149</v>
      </c>
      <c r="C11" s="246"/>
      <c r="D11" s="246"/>
      <c r="E11" s="246"/>
      <c r="F11" s="246"/>
      <c r="G11" s="246"/>
      <c r="H11" s="246"/>
      <c r="I11" s="246"/>
      <c r="J11" s="246"/>
      <c r="K11" s="246"/>
      <c r="L11" s="246"/>
      <c r="M11" s="245"/>
      <c r="N11" s="1"/>
    </row>
    <row r="12" spans="1:15" ht="15" x14ac:dyDescent="0.2">
      <c r="A12" s="245"/>
      <c r="B12" s="63" t="s">
        <v>64</v>
      </c>
      <c r="C12" s="246"/>
      <c r="D12" s="246"/>
      <c r="E12" s="246"/>
      <c r="F12" s="246"/>
      <c r="G12" s="246"/>
      <c r="H12" s="246"/>
      <c r="I12" s="246"/>
      <c r="J12" s="246"/>
      <c r="K12" s="246"/>
      <c r="L12" s="246"/>
      <c r="M12" s="246"/>
      <c r="N12" s="246"/>
      <c r="O12" s="245"/>
    </row>
    <row r="13" spans="1:15" ht="14.25" x14ac:dyDescent="0.2">
      <c r="A13" s="245"/>
      <c r="B13" s="100" t="s">
        <v>248</v>
      </c>
      <c r="C13" s="246"/>
      <c r="D13" s="246"/>
      <c r="E13" s="246"/>
      <c r="F13" s="246"/>
      <c r="G13" s="246"/>
      <c r="H13" s="246"/>
      <c r="I13" s="246"/>
      <c r="J13" s="246"/>
      <c r="K13" s="246"/>
      <c r="L13" s="246"/>
      <c r="M13" s="246"/>
      <c r="N13" s="246"/>
      <c r="O13" s="245"/>
    </row>
    <row r="14" spans="1:15" ht="14.25" x14ac:dyDescent="0.2">
      <c r="A14" s="245"/>
      <c r="B14" s="746" t="s">
        <v>249</v>
      </c>
      <c r="C14" s="246"/>
      <c r="D14" s="246"/>
      <c r="E14" s="246"/>
      <c r="F14" s="246"/>
      <c r="G14" s="246"/>
      <c r="H14" s="246"/>
      <c r="I14" s="246"/>
      <c r="J14" s="246"/>
      <c r="K14" s="246"/>
      <c r="L14" s="246"/>
      <c r="M14" s="246"/>
      <c r="N14" s="246"/>
      <c r="O14" s="245"/>
    </row>
    <row r="15" spans="1:15" x14ac:dyDescent="0.2">
      <c r="A15" s="245"/>
      <c r="B15" s="246"/>
      <c r="C15" s="246"/>
      <c r="D15" s="246"/>
      <c r="E15" s="246"/>
      <c r="F15" s="246"/>
      <c r="G15" s="246"/>
      <c r="H15" s="246"/>
      <c r="I15" s="246"/>
      <c r="J15" s="246"/>
      <c r="K15" s="246"/>
      <c r="L15" s="246"/>
      <c r="M15" s="246"/>
      <c r="N15" s="246"/>
      <c r="O15" s="245"/>
    </row>
    <row r="16" spans="1:15" x14ac:dyDescent="0.2">
      <c r="A16" s="245"/>
      <c r="B16" s="244" t="s">
        <v>1</v>
      </c>
      <c r="C16" s="249" t="s">
        <v>137</v>
      </c>
      <c r="D16" s="249" t="s">
        <v>138</v>
      </c>
      <c r="E16" s="249" t="s">
        <v>139</v>
      </c>
      <c r="F16" s="249" t="s">
        <v>140</v>
      </c>
      <c r="G16" s="249" t="s">
        <v>116</v>
      </c>
      <c r="H16" s="249" t="s">
        <v>141</v>
      </c>
      <c r="I16" s="249" t="s">
        <v>142</v>
      </c>
      <c r="J16" s="249" t="s">
        <v>143</v>
      </c>
      <c r="K16" s="249" t="s">
        <v>144</v>
      </c>
      <c r="L16" s="249" t="s">
        <v>147</v>
      </c>
      <c r="M16" s="249" t="s">
        <v>145</v>
      </c>
      <c r="N16" s="249" t="s">
        <v>146</v>
      </c>
      <c r="O16" s="245"/>
    </row>
    <row r="17" spans="1:26" x14ac:dyDescent="0.2">
      <c r="A17" s="248"/>
      <c r="B17" s="250" t="s">
        <v>244</v>
      </c>
      <c r="C17" s="525"/>
      <c r="D17" s="525"/>
      <c r="E17" s="525"/>
      <c r="F17" s="525"/>
      <c r="G17" s="525"/>
      <c r="H17" s="525"/>
      <c r="I17" s="525"/>
      <c r="J17" s="525"/>
      <c r="K17" s="525"/>
      <c r="L17" s="525"/>
      <c r="M17" s="525"/>
      <c r="N17" s="525"/>
      <c r="O17" s="245"/>
    </row>
    <row r="18" spans="1:26" ht="12" customHeight="1" x14ac:dyDescent="0.2">
      <c r="A18" s="245"/>
      <c r="B18" s="250">
        <f>'1. LDC Info'!F27-20</f>
        <v>1996</v>
      </c>
      <c r="C18" s="525"/>
      <c r="D18" s="525"/>
      <c r="E18" s="525"/>
      <c r="F18" s="525"/>
      <c r="G18" s="525"/>
      <c r="H18" s="525"/>
      <c r="I18" s="525"/>
      <c r="J18" s="525"/>
      <c r="K18" s="525"/>
      <c r="L18" s="525"/>
      <c r="M18" s="525"/>
      <c r="N18" s="525"/>
      <c r="O18" s="245"/>
    </row>
    <row r="19" spans="1:26" ht="12" customHeight="1" x14ac:dyDescent="0.2">
      <c r="A19" s="245"/>
      <c r="B19" s="250">
        <f>'1. LDC Info'!F27-19</f>
        <v>1997</v>
      </c>
      <c r="C19" s="525"/>
      <c r="D19" s="525"/>
      <c r="E19" s="525"/>
      <c r="F19" s="525"/>
      <c r="G19" s="525"/>
      <c r="H19" s="525"/>
      <c r="I19" s="525"/>
      <c r="J19" s="525"/>
      <c r="K19" s="525"/>
      <c r="L19" s="525"/>
      <c r="M19" s="525"/>
      <c r="N19" s="525"/>
      <c r="O19" s="245"/>
    </row>
    <row r="20" spans="1:26" ht="12" customHeight="1" x14ac:dyDescent="0.2">
      <c r="A20" s="245"/>
      <c r="B20" s="250">
        <f>'1. LDC Info'!F27-18</f>
        <v>1998</v>
      </c>
      <c r="C20" s="525"/>
      <c r="D20" s="525"/>
      <c r="E20" s="525"/>
      <c r="F20" s="525"/>
      <c r="G20" s="525"/>
      <c r="H20" s="525"/>
      <c r="I20" s="525"/>
      <c r="J20" s="525"/>
      <c r="K20" s="525"/>
      <c r="L20" s="525"/>
      <c r="M20" s="525"/>
      <c r="N20" s="525"/>
      <c r="O20" s="245"/>
    </row>
    <row r="21" spans="1:26" ht="12" customHeight="1" x14ac:dyDescent="0.2">
      <c r="A21" s="245"/>
      <c r="B21" s="250">
        <f>'1. LDC Info'!F27-17</f>
        <v>1999</v>
      </c>
      <c r="C21" s="525"/>
      <c r="D21" s="525"/>
      <c r="E21" s="525"/>
      <c r="F21" s="525"/>
      <c r="G21" s="525"/>
      <c r="H21" s="525"/>
      <c r="I21" s="525"/>
      <c r="J21" s="525"/>
      <c r="K21" s="525"/>
      <c r="L21" s="525"/>
      <c r="M21" s="525"/>
      <c r="N21" s="525"/>
      <c r="O21" s="245"/>
    </row>
    <row r="22" spans="1:26" ht="12" customHeight="1" x14ac:dyDescent="0.2">
      <c r="A22" s="245"/>
      <c r="B22" s="250">
        <f>'1. LDC Info'!F27-16</f>
        <v>2000</v>
      </c>
      <c r="C22" s="525"/>
      <c r="D22" s="525"/>
      <c r="E22" s="525"/>
      <c r="F22" s="525"/>
      <c r="G22" s="525"/>
      <c r="H22" s="525"/>
      <c r="I22" s="525"/>
      <c r="J22" s="525"/>
      <c r="K22" s="525"/>
      <c r="L22" s="525"/>
      <c r="M22" s="525"/>
      <c r="N22" s="525"/>
      <c r="O22" s="245"/>
    </row>
    <row r="23" spans="1:26" ht="12" customHeight="1" x14ac:dyDescent="0.2">
      <c r="A23" s="245"/>
      <c r="B23" s="250">
        <f>'1. LDC Info'!F27-15</f>
        <v>2001</v>
      </c>
      <c r="C23" s="525"/>
      <c r="D23" s="525"/>
      <c r="E23" s="525"/>
      <c r="F23" s="525"/>
      <c r="G23" s="525"/>
      <c r="H23" s="525"/>
      <c r="I23" s="525"/>
      <c r="J23" s="525"/>
      <c r="K23" s="525"/>
      <c r="L23" s="525"/>
      <c r="M23" s="525"/>
      <c r="N23" s="525"/>
      <c r="O23" s="245"/>
    </row>
    <row r="24" spans="1:26" ht="12" customHeight="1" x14ac:dyDescent="0.2">
      <c r="A24" s="245"/>
      <c r="B24" s="250">
        <f>'1. LDC Info'!F27-14</f>
        <v>2002</v>
      </c>
      <c r="C24" s="525"/>
      <c r="D24" s="525"/>
      <c r="E24" s="525"/>
      <c r="F24" s="525"/>
      <c r="G24" s="525"/>
      <c r="H24" s="525"/>
      <c r="I24" s="525"/>
      <c r="J24" s="525"/>
      <c r="K24" s="525"/>
      <c r="L24" s="525"/>
      <c r="M24" s="525"/>
      <c r="N24" s="525"/>
      <c r="O24" s="245"/>
    </row>
    <row r="25" spans="1:26" ht="12" customHeight="1" x14ac:dyDescent="0.2">
      <c r="A25" s="245"/>
      <c r="B25" s="250">
        <f>'1. LDC Info'!F27-13</f>
        <v>2003</v>
      </c>
      <c r="C25" s="525"/>
      <c r="D25" s="525"/>
      <c r="E25" s="525"/>
      <c r="F25" s="525"/>
      <c r="G25" s="525"/>
      <c r="H25" s="525"/>
      <c r="I25" s="525"/>
      <c r="J25" s="525"/>
      <c r="K25" s="525"/>
      <c r="L25" s="525"/>
      <c r="M25" s="525"/>
      <c r="N25" s="525"/>
      <c r="O25" s="245"/>
    </row>
    <row r="26" spans="1:26" ht="12" customHeight="1" x14ac:dyDescent="0.2">
      <c r="A26" s="245"/>
      <c r="B26" s="250">
        <f>'1. LDC Info'!F27-12</f>
        <v>2004</v>
      </c>
      <c r="C26" s="525">
        <v>1045.3</v>
      </c>
      <c r="D26" s="525">
        <v>750</v>
      </c>
      <c r="E26" s="525">
        <v>559.20000000000005</v>
      </c>
      <c r="F26" s="525">
        <v>377.8</v>
      </c>
      <c r="G26" s="525">
        <v>166.2</v>
      </c>
      <c r="H26" s="525">
        <v>54</v>
      </c>
      <c r="I26" s="525">
        <v>1.8</v>
      </c>
      <c r="J26" s="525">
        <v>29.8</v>
      </c>
      <c r="K26" s="525">
        <v>66.8</v>
      </c>
      <c r="L26" s="525">
        <v>287</v>
      </c>
      <c r="M26" s="525">
        <v>484.3</v>
      </c>
      <c r="N26" s="525">
        <v>814.9</v>
      </c>
      <c r="O26" s="245"/>
    </row>
    <row r="27" spans="1:26" x14ac:dyDescent="0.2">
      <c r="A27" s="245"/>
      <c r="B27" s="250">
        <f>'1. LDC Info'!F27-11</f>
        <v>2005</v>
      </c>
      <c r="C27" s="525">
        <v>920.7</v>
      </c>
      <c r="D27" s="525">
        <v>700.6</v>
      </c>
      <c r="E27" s="525">
        <v>668.8</v>
      </c>
      <c r="F27" s="525">
        <v>324.8</v>
      </c>
      <c r="G27" s="525">
        <v>205</v>
      </c>
      <c r="H27" s="525">
        <v>16.100000000000001</v>
      </c>
      <c r="I27" s="525">
        <v>2.9</v>
      </c>
      <c r="J27" s="525">
        <v>8.4</v>
      </c>
      <c r="K27" s="525">
        <v>59.2</v>
      </c>
      <c r="L27" s="525">
        <v>269.7</v>
      </c>
      <c r="M27" s="525">
        <v>484.2</v>
      </c>
      <c r="N27" s="525">
        <v>762</v>
      </c>
      <c r="O27" s="245"/>
      <c r="Z27" s="218" t="str">
        <f>+$B$16</f>
        <v>HDD</v>
      </c>
    </row>
    <row r="28" spans="1:26" x14ac:dyDescent="0.2">
      <c r="A28" s="245"/>
      <c r="B28" s="250">
        <f>'1. LDC Info'!F27-10</f>
        <v>2006</v>
      </c>
      <c r="C28" s="525">
        <v>733.5</v>
      </c>
      <c r="D28" s="525">
        <v>720.9</v>
      </c>
      <c r="E28" s="525">
        <v>600.4</v>
      </c>
      <c r="F28" s="525">
        <v>321.60000000000002</v>
      </c>
      <c r="G28" s="525">
        <v>128.19999999999999</v>
      </c>
      <c r="H28" s="525">
        <v>27.6</v>
      </c>
      <c r="I28" s="525">
        <v>0.3</v>
      </c>
      <c r="J28" s="525">
        <v>18.2</v>
      </c>
      <c r="K28" s="525">
        <v>121</v>
      </c>
      <c r="L28" s="525">
        <v>335.7</v>
      </c>
      <c r="M28" s="525">
        <v>417.3</v>
      </c>
      <c r="N28" s="525">
        <v>610</v>
      </c>
      <c r="O28" s="245"/>
      <c r="Z28" s="218" t="str">
        <f>+B39</f>
        <v>CDD</v>
      </c>
    </row>
    <row r="29" spans="1:26" x14ac:dyDescent="0.2">
      <c r="A29" s="245"/>
      <c r="B29" s="250">
        <f>'1. LDC Info'!F27-9</f>
        <v>2007</v>
      </c>
      <c r="C29" s="525">
        <v>797.1</v>
      </c>
      <c r="D29" s="525">
        <v>820</v>
      </c>
      <c r="E29" s="525">
        <v>643</v>
      </c>
      <c r="F29" s="525">
        <v>361.1</v>
      </c>
      <c r="G29" s="525">
        <v>157.30000000000001</v>
      </c>
      <c r="H29" s="525">
        <v>34.200000000000003</v>
      </c>
      <c r="I29" s="525">
        <v>11.8</v>
      </c>
      <c r="J29" s="525">
        <v>20.100000000000001</v>
      </c>
      <c r="K29" s="525">
        <v>76</v>
      </c>
      <c r="L29" s="525">
        <v>227.5</v>
      </c>
      <c r="M29" s="525">
        <v>517</v>
      </c>
      <c r="N29" s="525">
        <v>787.7</v>
      </c>
      <c r="O29" s="245"/>
      <c r="Z29" s="218" t="str">
        <f>+B62</f>
        <v>Number of Days in Month</v>
      </c>
    </row>
    <row r="30" spans="1:26" x14ac:dyDescent="0.2">
      <c r="A30" s="245"/>
      <c r="B30" s="250">
        <f>'1. LDC Info'!F27-8</f>
        <v>2008</v>
      </c>
      <c r="C30" s="525">
        <v>754.2</v>
      </c>
      <c r="D30" s="525">
        <v>774.3</v>
      </c>
      <c r="E30" s="525">
        <v>721.1</v>
      </c>
      <c r="F30" s="525">
        <v>299.60000000000002</v>
      </c>
      <c r="G30" s="525">
        <v>185.4</v>
      </c>
      <c r="H30" s="525">
        <v>22.4</v>
      </c>
      <c r="I30" s="525">
        <v>0.3</v>
      </c>
      <c r="J30" s="525">
        <v>14.4</v>
      </c>
      <c r="K30" s="525">
        <v>95.4</v>
      </c>
      <c r="L30" s="525">
        <v>321.8</v>
      </c>
      <c r="M30" s="525">
        <v>502.8</v>
      </c>
      <c r="N30" s="525">
        <v>796.7</v>
      </c>
      <c r="O30" s="245"/>
      <c r="Z30" s="218" t="str">
        <f>+B76</f>
        <v>Employment Stats</v>
      </c>
    </row>
    <row r="31" spans="1:26" x14ac:dyDescent="0.2">
      <c r="A31" s="245"/>
      <c r="B31" s="250">
        <f>'1. LDC Info'!F27-7</f>
        <v>2009</v>
      </c>
      <c r="C31" s="525">
        <v>979.5</v>
      </c>
      <c r="D31" s="525">
        <v>711.5</v>
      </c>
      <c r="E31" s="525">
        <v>598.29999999999995</v>
      </c>
      <c r="F31" s="525">
        <v>334.3</v>
      </c>
      <c r="G31" s="525">
        <v>181.6</v>
      </c>
      <c r="H31" s="525">
        <v>50.4</v>
      </c>
      <c r="I31" s="525">
        <v>13.1</v>
      </c>
      <c r="J31" s="525">
        <v>26.1</v>
      </c>
      <c r="K31" s="525">
        <v>106.5</v>
      </c>
      <c r="L31" s="525">
        <v>355.5</v>
      </c>
      <c r="M31" s="525">
        <v>417.4</v>
      </c>
      <c r="N31" s="525">
        <v>759.4</v>
      </c>
      <c r="O31" s="245"/>
      <c r="Z31" s="218" t="str">
        <f>+B90</f>
        <v>Winter Flag</v>
      </c>
    </row>
    <row r="32" spans="1:26" x14ac:dyDescent="0.2">
      <c r="A32" s="245"/>
      <c r="B32" s="250">
        <f>'1. LDC Info'!F27-6</f>
        <v>2010</v>
      </c>
      <c r="C32" s="525">
        <v>789.2</v>
      </c>
      <c r="D32" s="525">
        <v>655.8</v>
      </c>
      <c r="E32" s="525">
        <v>460.7</v>
      </c>
      <c r="F32" s="525">
        <v>258.10000000000002</v>
      </c>
      <c r="G32" s="525">
        <v>112.3</v>
      </c>
      <c r="H32" s="525">
        <v>37.6</v>
      </c>
      <c r="I32" s="525">
        <v>4.5</v>
      </c>
      <c r="J32" s="525">
        <v>14.7</v>
      </c>
      <c r="K32" s="525">
        <v>112</v>
      </c>
      <c r="L32" s="525">
        <v>311</v>
      </c>
      <c r="M32" s="525">
        <v>491.6</v>
      </c>
      <c r="N32" s="525">
        <v>731.4</v>
      </c>
      <c r="O32" s="245"/>
    </row>
    <row r="33" spans="1:15" x14ac:dyDescent="0.2">
      <c r="A33" s="245"/>
      <c r="B33" s="250">
        <f>'1. LDC Info'!F27-5</f>
        <v>2011</v>
      </c>
      <c r="C33" s="525">
        <v>888.7</v>
      </c>
      <c r="D33" s="525">
        <v>731.6</v>
      </c>
      <c r="E33" s="525">
        <v>634.6</v>
      </c>
      <c r="F33" s="525">
        <v>347.4</v>
      </c>
      <c r="G33" s="525">
        <v>142.80000000000001</v>
      </c>
      <c r="H33" s="525">
        <v>18.5</v>
      </c>
      <c r="I33" s="525">
        <v>0</v>
      </c>
      <c r="J33" s="525">
        <v>2.2999999999999998</v>
      </c>
      <c r="K33" s="525">
        <v>55.4</v>
      </c>
      <c r="L33" s="525">
        <v>259.10000000000002</v>
      </c>
      <c r="M33" s="525">
        <v>392.9</v>
      </c>
      <c r="N33" s="525">
        <v>256.39999999999998</v>
      </c>
      <c r="O33" s="245"/>
    </row>
    <row r="34" spans="1:15" x14ac:dyDescent="0.2">
      <c r="A34" s="245"/>
      <c r="B34" s="250">
        <f>'1. LDC Info'!F27-4</f>
        <v>2012</v>
      </c>
      <c r="C34" s="525">
        <v>831</v>
      </c>
      <c r="D34" s="525">
        <v>671.4</v>
      </c>
      <c r="E34" s="525">
        <v>460.3</v>
      </c>
      <c r="F34" s="525">
        <v>363.3</v>
      </c>
      <c r="G34" s="525">
        <v>96</v>
      </c>
      <c r="H34" s="525">
        <v>31.4</v>
      </c>
      <c r="I34" s="525">
        <v>0</v>
      </c>
      <c r="J34" s="525">
        <v>8.4</v>
      </c>
      <c r="K34" s="525">
        <v>127.3</v>
      </c>
      <c r="L34" s="525">
        <v>243.1</v>
      </c>
      <c r="M34" s="525">
        <v>541.70000000000005</v>
      </c>
      <c r="N34" s="525">
        <v>680.6</v>
      </c>
      <c r="O34" s="245"/>
    </row>
    <row r="35" spans="1:15" x14ac:dyDescent="0.2">
      <c r="A35" s="245"/>
      <c r="B35" s="250">
        <f>'1. LDC Info'!F27-3</f>
        <v>2013</v>
      </c>
      <c r="C35" s="525">
        <v>839.9</v>
      </c>
      <c r="D35" s="525">
        <v>728.5</v>
      </c>
      <c r="E35" s="525">
        <v>579.6</v>
      </c>
      <c r="F35" s="525">
        <v>285.5</v>
      </c>
      <c r="G35" s="525">
        <v>105.7</v>
      </c>
      <c r="H35" s="525">
        <v>54.1</v>
      </c>
      <c r="I35" s="525">
        <v>7.7</v>
      </c>
      <c r="J35" s="525">
        <v>13.4</v>
      </c>
      <c r="K35" s="525">
        <v>133.19999999999999</v>
      </c>
      <c r="L35" s="525">
        <v>235.8</v>
      </c>
      <c r="M35" s="525">
        <v>560.79999999999995</v>
      </c>
      <c r="N35" s="525">
        <v>858.2</v>
      </c>
      <c r="O35" s="245"/>
    </row>
    <row r="36" spans="1:15" x14ac:dyDescent="0.2">
      <c r="A36" s="245"/>
      <c r="B36" s="250">
        <f>'1. LDC Info'!F27-2</f>
        <v>2014</v>
      </c>
      <c r="C36" s="525">
        <v>918.30000000000007</v>
      </c>
      <c r="D36" s="525">
        <v>793.2</v>
      </c>
      <c r="E36" s="525">
        <v>783.6</v>
      </c>
      <c r="F36" s="525">
        <v>384.20000000000005</v>
      </c>
      <c r="G36" s="525">
        <v>127.3</v>
      </c>
      <c r="H36" s="525">
        <v>20.299999999999997</v>
      </c>
      <c r="I36" s="525">
        <v>8.8000000000000007</v>
      </c>
      <c r="J36" s="525">
        <v>21.400000000000002</v>
      </c>
      <c r="K36" s="525">
        <v>110.3</v>
      </c>
      <c r="L36" s="525">
        <v>257.90000000000003</v>
      </c>
      <c r="M36" s="525">
        <v>510.6</v>
      </c>
      <c r="N36" s="525">
        <v>696.39999999999986</v>
      </c>
      <c r="O36" s="245"/>
    </row>
    <row r="37" spans="1:15" x14ac:dyDescent="0.2">
      <c r="A37" s="245"/>
      <c r="O37" s="245"/>
    </row>
    <row r="38" spans="1:15" x14ac:dyDescent="0.2">
      <c r="A38" s="245"/>
      <c r="B38" s="251"/>
      <c r="C38" s="246"/>
      <c r="D38" s="246"/>
      <c r="E38" s="246"/>
      <c r="F38" s="246"/>
      <c r="G38" s="246"/>
      <c r="H38" s="246"/>
      <c r="I38" s="246"/>
      <c r="J38" s="246"/>
      <c r="K38" s="246"/>
      <c r="L38" s="246"/>
      <c r="M38" s="246"/>
      <c r="N38" s="246"/>
      <c r="O38" s="245"/>
    </row>
    <row r="39" spans="1:15" x14ac:dyDescent="0.2">
      <c r="A39" s="245"/>
      <c r="B39" s="244" t="s">
        <v>2</v>
      </c>
      <c r="C39" s="249" t="s">
        <v>137</v>
      </c>
      <c r="D39" s="249" t="s">
        <v>138</v>
      </c>
      <c r="E39" s="249" t="s">
        <v>139</v>
      </c>
      <c r="F39" s="249" t="s">
        <v>140</v>
      </c>
      <c r="G39" s="249" t="s">
        <v>116</v>
      </c>
      <c r="H39" s="249" t="s">
        <v>141</v>
      </c>
      <c r="I39" s="249" t="s">
        <v>142</v>
      </c>
      <c r="J39" s="249" t="s">
        <v>143</v>
      </c>
      <c r="K39" s="249" t="s">
        <v>144</v>
      </c>
      <c r="L39" s="249" t="s">
        <v>147</v>
      </c>
      <c r="M39" s="249" t="s">
        <v>145</v>
      </c>
      <c r="N39" s="249" t="s">
        <v>146</v>
      </c>
      <c r="O39" s="245"/>
    </row>
    <row r="40" spans="1:15" x14ac:dyDescent="0.2">
      <c r="A40" s="245"/>
      <c r="B40" s="252" t="str">
        <f t="shared" ref="B40:B59" si="0">B17</f>
        <v>1995</v>
      </c>
      <c r="C40" s="529"/>
      <c r="D40" s="529"/>
      <c r="E40" s="529"/>
      <c r="F40" s="529"/>
      <c r="G40" s="529"/>
      <c r="H40" s="529"/>
      <c r="I40" s="529"/>
      <c r="J40" s="529"/>
      <c r="K40" s="529"/>
      <c r="L40" s="529"/>
      <c r="M40" s="529"/>
      <c r="N40" s="529"/>
      <c r="O40" s="245"/>
    </row>
    <row r="41" spans="1:15" x14ac:dyDescent="0.2">
      <c r="A41" s="245"/>
      <c r="B41" s="252">
        <f t="shared" si="0"/>
        <v>1996</v>
      </c>
      <c r="C41" s="529"/>
      <c r="D41" s="529"/>
      <c r="E41" s="529"/>
      <c r="F41" s="529"/>
      <c r="G41" s="529"/>
      <c r="H41" s="529"/>
      <c r="I41" s="529"/>
      <c r="J41" s="529"/>
      <c r="K41" s="529"/>
      <c r="L41" s="529"/>
      <c r="M41" s="529"/>
      <c r="N41" s="529"/>
      <c r="O41" s="245"/>
    </row>
    <row r="42" spans="1:15" x14ac:dyDescent="0.2">
      <c r="A42" s="245"/>
      <c r="B42" s="252">
        <f t="shared" si="0"/>
        <v>1997</v>
      </c>
      <c r="C42" s="529"/>
      <c r="D42" s="529"/>
      <c r="E42" s="529"/>
      <c r="F42" s="529"/>
      <c r="G42" s="529"/>
      <c r="H42" s="529"/>
      <c r="I42" s="529"/>
      <c r="J42" s="529"/>
      <c r="K42" s="529"/>
      <c r="L42" s="529"/>
      <c r="M42" s="529"/>
      <c r="N42" s="529"/>
      <c r="O42" s="245"/>
    </row>
    <row r="43" spans="1:15" x14ac:dyDescent="0.2">
      <c r="A43" s="245"/>
      <c r="B43" s="252">
        <f t="shared" si="0"/>
        <v>1998</v>
      </c>
      <c r="C43" s="529"/>
      <c r="D43" s="529"/>
      <c r="E43" s="529"/>
      <c r="F43" s="529"/>
      <c r="G43" s="529"/>
      <c r="H43" s="529"/>
      <c r="I43" s="529"/>
      <c r="J43" s="529"/>
      <c r="K43" s="529"/>
      <c r="L43" s="529"/>
      <c r="M43" s="529"/>
      <c r="N43" s="529"/>
      <c r="O43" s="245"/>
    </row>
    <row r="44" spans="1:15" x14ac:dyDescent="0.2">
      <c r="A44" s="245"/>
      <c r="B44" s="252">
        <f t="shared" si="0"/>
        <v>1999</v>
      </c>
      <c r="C44" s="529"/>
      <c r="D44" s="529"/>
      <c r="E44" s="529"/>
      <c r="F44" s="529"/>
      <c r="G44" s="529"/>
      <c r="H44" s="529"/>
      <c r="I44" s="529"/>
      <c r="J44" s="529"/>
      <c r="K44" s="529"/>
      <c r="L44" s="529"/>
      <c r="M44" s="529"/>
      <c r="N44" s="529"/>
      <c r="O44" s="245"/>
    </row>
    <row r="45" spans="1:15" x14ac:dyDescent="0.2">
      <c r="A45" s="245"/>
      <c r="B45" s="252">
        <f t="shared" si="0"/>
        <v>2000</v>
      </c>
      <c r="C45" s="529"/>
      <c r="D45" s="529"/>
      <c r="E45" s="529"/>
      <c r="F45" s="529"/>
      <c r="G45" s="529"/>
      <c r="H45" s="529"/>
      <c r="I45" s="529"/>
      <c r="J45" s="529"/>
      <c r="K45" s="529"/>
      <c r="L45" s="529"/>
      <c r="M45" s="529"/>
      <c r="N45" s="529"/>
      <c r="O45" s="245"/>
    </row>
    <row r="46" spans="1:15" x14ac:dyDescent="0.2">
      <c r="A46" s="245"/>
      <c r="B46" s="252">
        <f t="shared" si="0"/>
        <v>2001</v>
      </c>
      <c r="C46" s="529"/>
      <c r="D46" s="529"/>
      <c r="E46" s="529"/>
      <c r="F46" s="529"/>
      <c r="G46" s="529"/>
      <c r="H46" s="529"/>
      <c r="I46" s="529"/>
      <c r="J46" s="529"/>
      <c r="K46" s="529"/>
      <c r="L46" s="529"/>
      <c r="M46" s="529"/>
      <c r="N46" s="529"/>
      <c r="O46" s="245"/>
    </row>
    <row r="47" spans="1:15" x14ac:dyDescent="0.2">
      <c r="A47" s="245"/>
      <c r="B47" s="252">
        <f t="shared" si="0"/>
        <v>2002</v>
      </c>
      <c r="C47" s="529"/>
      <c r="D47" s="529"/>
      <c r="E47" s="529"/>
      <c r="F47" s="529"/>
      <c r="G47" s="529"/>
      <c r="H47" s="529"/>
      <c r="I47" s="529"/>
      <c r="J47" s="529"/>
      <c r="K47" s="529"/>
      <c r="L47" s="529"/>
      <c r="M47" s="529"/>
      <c r="N47" s="529"/>
      <c r="O47" s="245"/>
    </row>
    <row r="48" spans="1:15" x14ac:dyDescent="0.2">
      <c r="A48" s="245"/>
      <c r="B48" s="252">
        <f t="shared" si="0"/>
        <v>2003</v>
      </c>
      <c r="C48" s="529"/>
      <c r="D48" s="529"/>
      <c r="E48" s="529"/>
      <c r="F48" s="529"/>
      <c r="G48" s="529"/>
      <c r="H48" s="529"/>
      <c r="I48" s="529"/>
      <c r="J48" s="529"/>
      <c r="K48" s="529"/>
      <c r="L48" s="529"/>
      <c r="M48" s="529"/>
      <c r="N48" s="529"/>
      <c r="O48" s="245"/>
    </row>
    <row r="49" spans="1:15" x14ac:dyDescent="0.2">
      <c r="A49" s="245"/>
      <c r="B49" s="252">
        <f t="shared" si="0"/>
        <v>2004</v>
      </c>
      <c r="C49" s="529">
        <v>0</v>
      </c>
      <c r="D49" s="529">
        <v>0</v>
      </c>
      <c r="E49" s="529">
        <v>0</v>
      </c>
      <c r="F49" s="529">
        <v>1.9</v>
      </c>
      <c r="G49" s="529">
        <v>4</v>
      </c>
      <c r="H49" s="529">
        <v>27.1</v>
      </c>
      <c r="I49" s="529">
        <v>86.5</v>
      </c>
      <c r="J49" s="529">
        <v>47.5</v>
      </c>
      <c r="K49" s="529">
        <v>11.1</v>
      </c>
      <c r="L49" s="529">
        <v>0</v>
      </c>
      <c r="M49" s="529">
        <v>0</v>
      </c>
      <c r="N49" s="529">
        <v>0</v>
      </c>
      <c r="O49" s="245"/>
    </row>
    <row r="50" spans="1:15" x14ac:dyDescent="0.2">
      <c r="A50" s="245"/>
      <c r="B50" s="252">
        <f t="shared" si="0"/>
        <v>2005</v>
      </c>
      <c r="C50" s="529">
        <v>0</v>
      </c>
      <c r="D50" s="529">
        <v>0</v>
      </c>
      <c r="E50" s="529">
        <v>0</v>
      </c>
      <c r="F50" s="529">
        <v>0</v>
      </c>
      <c r="G50" s="529">
        <v>1.9</v>
      </c>
      <c r="H50" s="529">
        <v>111.6</v>
      </c>
      <c r="I50" s="529">
        <v>128.6</v>
      </c>
      <c r="J50" s="529">
        <v>115.4</v>
      </c>
      <c r="K50" s="529">
        <v>33.1</v>
      </c>
      <c r="L50" s="529">
        <v>6.4</v>
      </c>
      <c r="M50" s="529">
        <v>0</v>
      </c>
      <c r="N50" s="529">
        <v>0</v>
      </c>
      <c r="O50" s="245"/>
    </row>
    <row r="51" spans="1:15" x14ac:dyDescent="0.2">
      <c r="A51" s="245"/>
      <c r="B51" s="252">
        <f t="shared" si="0"/>
        <v>2006</v>
      </c>
      <c r="C51" s="529">
        <v>0</v>
      </c>
      <c r="D51" s="529">
        <v>0</v>
      </c>
      <c r="E51" s="529">
        <v>0</v>
      </c>
      <c r="F51" s="529">
        <v>0</v>
      </c>
      <c r="G51" s="529">
        <v>16.899999999999999</v>
      </c>
      <c r="H51" s="529">
        <v>48.2</v>
      </c>
      <c r="I51" s="529">
        <v>130.6</v>
      </c>
      <c r="J51" s="529">
        <v>68.099999999999994</v>
      </c>
      <c r="K51" s="529">
        <v>5.3</v>
      </c>
      <c r="L51" s="529">
        <v>0</v>
      </c>
      <c r="M51" s="529">
        <v>0</v>
      </c>
      <c r="N51" s="529">
        <v>0</v>
      </c>
      <c r="O51" s="245"/>
    </row>
    <row r="52" spans="1:15" x14ac:dyDescent="0.2">
      <c r="A52" s="245"/>
      <c r="B52" s="252">
        <f t="shared" si="0"/>
        <v>2007</v>
      </c>
      <c r="C52" s="529">
        <v>0</v>
      </c>
      <c r="D52" s="529">
        <v>0</v>
      </c>
      <c r="E52" s="529">
        <v>0</v>
      </c>
      <c r="F52" s="529">
        <v>0</v>
      </c>
      <c r="G52" s="529">
        <v>17.3</v>
      </c>
      <c r="H52" s="529">
        <v>66.900000000000006</v>
      </c>
      <c r="I52" s="529">
        <v>65.099999999999994</v>
      </c>
      <c r="J52" s="529">
        <v>79.3</v>
      </c>
      <c r="K52" s="529">
        <v>25.7</v>
      </c>
      <c r="L52" s="529">
        <v>1.9</v>
      </c>
      <c r="M52" s="529">
        <v>0</v>
      </c>
      <c r="N52" s="529">
        <v>0</v>
      </c>
      <c r="O52" s="245"/>
    </row>
    <row r="53" spans="1:15" x14ac:dyDescent="0.2">
      <c r="A53" s="245"/>
      <c r="B53" s="252">
        <f t="shared" si="0"/>
        <v>2008</v>
      </c>
      <c r="C53" s="529">
        <v>0</v>
      </c>
      <c r="D53" s="529">
        <v>0</v>
      </c>
      <c r="E53" s="529">
        <v>0</v>
      </c>
      <c r="F53" s="529">
        <v>0</v>
      </c>
      <c r="G53" s="529">
        <v>0</v>
      </c>
      <c r="H53" s="529">
        <v>60.5</v>
      </c>
      <c r="I53" s="529">
        <v>78.900000000000006</v>
      </c>
      <c r="J53" s="529">
        <v>49.5</v>
      </c>
      <c r="K53" s="529">
        <v>25</v>
      </c>
      <c r="L53" s="529">
        <v>0</v>
      </c>
      <c r="M53" s="529">
        <v>0</v>
      </c>
      <c r="N53" s="529">
        <v>0</v>
      </c>
      <c r="O53" s="245"/>
    </row>
    <row r="54" spans="1:15" x14ac:dyDescent="0.2">
      <c r="A54" s="245"/>
      <c r="B54" s="252">
        <f t="shared" si="0"/>
        <v>2009</v>
      </c>
      <c r="C54" s="529">
        <v>0</v>
      </c>
      <c r="D54" s="529">
        <v>0</v>
      </c>
      <c r="E54" s="529">
        <v>0</v>
      </c>
      <c r="F54" s="529">
        <v>2.5</v>
      </c>
      <c r="G54" s="529">
        <v>3.2</v>
      </c>
      <c r="H54" s="529">
        <v>44.9</v>
      </c>
      <c r="I54" s="529">
        <v>42.9</v>
      </c>
      <c r="J54" s="529">
        <v>82.1</v>
      </c>
      <c r="K54" s="529">
        <v>5</v>
      </c>
      <c r="L54" s="529">
        <v>0</v>
      </c>
      <c r="M54" s="529">
        <v>0</v>
      </c>
      <c r="N54" s="529">
        <v>0</v>
      </c>
      <c r="O54" s="245"/>
    </row>
    <row r="55" spans="1:15" x14ac:dyDescent="0.2">
      <c r="A55" s="245"/>
      <c r="B55" s="252">
        <f t="shared" si="0"/>
        <v>2010</v>
      </c>
      <c r="C55" s="529">
        <v>0</v>
      </c>
      <c r="D55" s="529">
        <v>0</v>
      </c>
      <c r="E55" s="529">
        <v>0</v>
      </c>
      <c r="F55" s="529">
        <v>1.6</v>
      </c>
      <c r="G55" s="529">
        <v>38.200000000000003</v>
      </c>
      <c r="H55" s="529">
        <v>33.4</v>
      </c>
      <c r="I55" s="529">
        <v>150.80000000000001</v>
      </c>
      <c r="J55" s="529">
        <v>93</v>
      </c>
      <c r="K55" s="529">
        <v>26.2</v>
      </c>
      <c r="L55" s="529">
        <v>0</v>
      </c>
      <c r="M55" s="529">
        <v>0</v>
      </c>
      <c r="N55" s="529">
        <v>0</v>
      </c>
      <c r="O55" s="245"/>
    </row>
    <row r="56" spans="1:15" x14ac:dyDescent="0.2">
      <c r="A56" s="245"/>
      <c r="B56" s="252">
        <f t="shared" si="0"/>
        <v>2011</v>
      </c>
      <c r="C56" s="530">
        <v>0</v>
      </c>
      <c r="D56" s="530">
        <v>0</v>
      </c>
      <c r="E56" s="530">
        <v>0</v>
      </c>
      <c r="F56" s="530">
        <v>0</v>
      </c>
      <c r="G56" s="530">
        <v>16.7</v>
      </c>
      <c r="H56" s="530">
        <v>59.1</v>
      </c>
      <c r="I56" s="530">
        <v>137.5</v>
      </c>
      <c r="J56" s="530">
        <v>82.3</v>
      </c>
      <c r="K56" s="530">
        <v>32.9</v>
      </c>
      <c r="L56" s="530">
        <v>1.4</v>
      </c>
      <c r="M56" s="530">
        <v>0</v>
      </c>
      <c r="N56" s="530">
        <v>0</v>
      </c>
      <c r="O56" s="245"/>
    </row>
    <row r="57" spans="1:15" x14ac:dyDescent="0.2">
      <c r="A57" s="245"/>
      <c r="B57" s="252">
        <f t="shared" si="0"/>
        <v>2012</v>
      </c>
      <c r="C57" s="529">
        <v>0</v>
      </c>
      <c r="D57" s="529">
        <v>0</v>
      </c>
      <c r="E57" s="529">
        <v>0</v>
      </c>
      <c r="F57" s="529">
        <v>3.2</v>
      </c>
      <c r="G57" s="529">
        <v>21</v>
      </c>
      <c r="H57" s="529">
        <v>70.400000000000006</v>
      </c>
      <c r="I57" s="529">
        <v>142.19999999999999</v>
      </c>
      <c r="J57" s="529">
        <v>97.6</v>
      </c>
      <c r="K57" s="529">
        <v>20.6</v>
      </c>
      <c r="L57" s="529">
        <v>0</v>
      </c>
      <c r="M57" s="529">
        <v>0</v>
      </c>
      <c r="N57" s="529">
        <v>0</v>
      </c>
      <c r="O57" s="245"/>
    </row>
    <row r="58" spans="1:15" x14ac:dyDescent="0.2">
      <c r="A58" s="245"/>
      <c r="B58" s="252">
        <f t="shared" si="0"/>
        <v>2013</v>
      </c>
      <c r="C58" s="529">
        <v>0</v>
      </c>
      <c r="D58" s="529">
        <v>0</v>
      </c>
      <c r="E58" s="529">
        <v>0</v>
      </c>
      <c r="F58" s="529">
        <v>0</v>
      </c>
      <c r="G58" s="529">
        <v>15.3</v>
      </c>
      <c r="H58" s="529">
        <v>39.4</v>
      </c>
      <c r="I58" s="529">
        <v>111.1</v>
      </c>
      <c r="J58" s="529">
        <v>57.2</v>
      </c>
      <c r="K58" s="529">
        <v>10.1</v>
      </c>
      <c r="L58" s="529">
        <v>0.7</v>
      </c>
      <c r="M58" s="529">
        <v>0</v>
      </c>
      <c r="N58" s="529">
        <v>0</v>
      </c>
      <c r="O58" s="245"/>
    </row>
    <row r="59" spans="1:15" x14ac:dyDescent="0.2">
      <c r="A59" s="245"/>
      <c r="B59" s="252">
        <f t="shared" si="0"/>
        <v>2014</v>
      </c>
      <c r="C59" s="529">
        <v>0</v>
      </c>
      <c r="D59" s="529">
        <v>0</v>
      </c>
      <c r="E59" s="529">
        <v>0</v>
      </c>
      <c r="F59" s="529">
        <v>0</v>
      </c>
      <c r="G59" s="529">
        <v>8.8000000000000007</v>
      </c>
      <c r="H59" s="529">
        <v>54.9</v>
      </c>
      <c r="I59" s="529">
        <v>62.800000000000011</v>
      </c>
      <c r="J59" s="529">
        <v>55.800000000000004</v>
      </c>
      <c r="K59" s="529">
        <v>21.600000000000005</v>
      </c>
      <c r="L59" s="529">
        <v>3.1</v>
      </c>
      <c r="M59" s="529">
        <v>0</v>
      </c>
      <c r="N59" s="529">
        <v>0</v>
      </c>
      <c r="O59" s="245"/>
    </row>
    <row r="60" spans="1:15" x14ac:dyDescent="0.2">
      <c r="A60" s="245"/>
      <c r="B60" s="246"/>
      <c r="C60" s="246"/>
      <c r="D60" s="246"/>
      <c r="E60" s="246"/>
      <c r="F60" s="246"/>
      <c r="G60" s="246"/>
      <c r="H60" s="246"/>
      <c r="I60" s="246"/>
      <c r="J60" s="246"/>
      <c r="K60" s="246"/>
      <c r="L60" s="246"/>
      <c r="M60" s="246"/>
      <c r="N60" s="246"/>
      <c r="O60" s="245"/>
    </row>
    <row r="61" spans="1:15" x14ac:dyDescent="0.2">
      <c r="A61" s="245"/>
      <c r="B61" s="246"/>
      <c r="C61" s="246"/>
      <c r="D61" s="246"/>
      <c r="E61" s="246"/>
      <c r="F61" s="246"/>
      <c r="G61" s="246"/>
      <c r="H61" s="246"/>
      <c r="I61" s="246"/>
      <c r="J61" s="246"/>
      <c r="K61" s="246"/>
      <c r="L61" s="246"/>
      <c r="M61" s="246"/>
      <c r="N61" s="246"/>
      <c r="O61" s="245"/>
    </row>
    <row r="62" spans="1:15" ht="25.5" x14ac:dyDescent="0.2">
      <c r="A62" s="245"/>
      <c r="B62" s="253" t="s">
        <v>243</v>
      </c>
      <c r="C62" s="246"/>
      <c r="D62" s="246"/>
      <c r="E62" s="246"/>
      <c r="F62" s="246"/>
      <c r="G62" s="246"/>
      <c r="H62" s="246"/>
      <c r="I62" s="246"/>
      <c r="J62" s="246"/>
      <c r="K62" s="246"/>
      <c r="L62" s="246"/>
      <c r="M62" s="246"/>
      <c r="N62" s="246"/>
      <c r="O62" s="245"/>
    </row>
    <row r="63" spans="1:15" x14ac:dyDescent="0.2">
      <c r="A63" s="245"/>
      <c r="B63" s="245"/>
      <c r="C63" s="249" t="s">
        <v>137</v>
      </c>
      <c r="D63" s="249" t="s">
        <v>138</v>
      </c>
      <c r="E63" s="249" t="s">
        <v>139</v>
      </c>
      <c r="F63" s="249" t="s">
        <v>140</v>
      </c>
      <c r="G63" s="249" t="s">
        <v>116</v>
      </c>
      <c r="H63" s="249" t="s">
        <v>141</v>
      </c>
      <c r="I63" s="249" t="s">
        <v>142</v>
      </c>
      <c r="J63" s="249" t="s">
        <v>143</v>
      </c>
      <c r="K63" s="249" t="s">
        <v>144</v>
      </c>
      <c r="L63" s="249" t="s">
        <v>147</v>
      </c>
      <c r="M63" s="249" t="s">
        <v>145</v>
      </c>
      <c r="N63" s="249" t="s">
        <v>146</v>
      </c>
      <c r="O63" s="245"/>
    </row>
    <row r="64" spans="1:15" x14ac:dyDescent="0.2">
      <c r="A64" s="245"/>
      <c r="B64" s="250">
        <f t="shared" ref="B64:B73" si="1">B50</f>
        <v>2005</v>
      </c>
      <c r="C64" s="526">
        <v>31</v>
      </c>
      <c r="D64" s="526">
        <v>28</v>
      </c>
      <c r="E64" s="526">
        <v>31</v>
      </c>
      <c r="F64" s="526">
        <v>30</v>
      </c>
      <c r="G64" s="526">
        <v>31</v>
      </c>
      <c r="H64" s="526">
        <v>30</v>
      </c>
      <c r="I64" s="526">
        <v>31</v>
      </c>
      <c r="J64" s="526">
        <v>31</v>
      </c>
      <c r="K64" s="526">
        <v>30</v>
      </c>
      <c r="L64" s="526">
        <v>31</v>
      </c>
      <c r="M64" s="526">
        <v>30</v>
      </c>
      <c r="N64" s="526">
        <v>31</v>
      </c>
      <c r="O64" s="245"/>
    </row>
    <row r="65" spans="1:15" x14ac:dyDescent="0.2">
      <c r="A65" s="245"/>
      <c r="B65" s="250">
        <f t="shared" si="1"/>
        <v>2006</v>
      </c>
      <c r="C65" s="526">
        <v>31</v>
      </c>
      <c r="D65" s="526">
        <v>28</v>
      </c>
      <c r="E65" s="526">
        <v>31</v>
      </c>
      <c r="F65" s="526">
        <v>30</v>
      </c>
      <c r="G65" s="526">
        <v>31</v>
      </c>
      <c r="H65" s="526">
        <v>30</v>
      </c>
      <c r="I65" s="526">
        <v>31</v>
      </c>
      <c r="J65" s="526">
        <v>31</v>
      </c>
      <c r="K65" s="526">
        <v>30</v>
      </c>
      <c r="L65" s="526">
        <v>31</v>
      </c>
      <c r="M65" s="526">
        <v>30</v>
      </c>
      <c r="N65" s="526">
        <v>31</v>
      </c>
      <c r="O65" s="245"/>
    </row>
    <row r="66" spans="1:15" x14ac:dyDescent="0.2">
      <c r="A66" s="245"/>
      <c r="B66" s="250">
        <f t="shared" si="1"/>
        <v>2007</v>
      </c>
      <c r="C66" s="526">
        <v>31</v>
      </c>
      <c r="D66" s="526">
        <v>28</v>
      </c>
      <c r="E66" s="526">
        <v>31</v>
      </c>
      <c r="F66" s="526">
        <v>30</v>
      </c>
      <c r="G66" s="526">
        <v>31</v>
      </c>
      <c r="H66" s="526">
        <v>30</v>
      </c>
      <c r="I66" s="526">
        <v>31</v>
      </c>
      <c r="J66" s="526">
        <v>31</v>
      </c>
      <c r="K66" s="526">
        <v>30</v>
      </c>
      <c r="L66" s="526">
        <v>31</v>
      </c>
      <c r="M66" s="526">
        <v>30</v>
      </c>
      <c r="N66" s="526">
        <v>31</v>
      </c>
      <c r="O66" s="245"/>
    </row>
    <row r="67" spans="1:15" x14ac:dyDescent="0.2">
      <c r="A67" s="245"/>
      <c r="B67" s="250">
        <f t="shared" si="1"/>
        <v>2008</v>
      </c>
      <c r="C67" s="526">
        <v>31</v>
      </c>
      <c r="D67" s="526">
        <v>29</v>
      </c>
      <c r="E67" s="526">
        <v>31</v>
      </c>
      <c r="F67" s="526">
        <v>30</v>
      </c>
      <c r="G67" s="526">
        <v>31</v>
      </c>
      <c r="H67" s="526">
        <v>30</v>
      </c>
      <c r="I67" s="526">
        <v>31</v>
      </c>
      <c r="J67" s="526">
        <v>31</v>
      </c>
      <c r="K67" s="526">
        <v>30</v>
      </c>
      <c r="L67" s="526">
        <v>31</v>
      </c>
      <c r="M67" s="526">
        <v>30</v>
      </c>
      <c r="N67" s="526">
        <v>31</v>
      </c>
      <c r="O67" s="245"/>
    </row>
    <row r="68" spans="1:15" x14ac:dyDescent="0.2">
      <c r="A68" s="245"/>
      <c r="B68" s="250">
        <f t="shared" si="1"/>
        <v>2009</v>
      </c>
      <c r="C68" s="526">
        <v>31</v>
      </c>
      <c r="D68" s="526">
        <v>28</v>
      </c>
      <c r="E68" s="526">
        <v>31</v>
      </c>
      <c r="F68" s="526">
        <v>30</v>
      </c>
      <c r="G68" s="526">
        <v>31</v>
      </c>
      <c r="H68" s="526">
        <v>30</v>
      </c>
      <c r="I68" s="526">
        <v>31</v>
      </c>
      <c r="J68" s="526">
        <v>31</v>
      </c>
      <c r="K68" s="526">
        <v>30</v>
      </c>
      <c r="L68" s="526">
        <v>31</v>
      </c>
      <c r="M68" s="526">
        <v>30</v>
      </c>
      <c r="N68" s="526">
        <v>31</v>
      </c>
      <c r="O68" s="245"/>
    </row>
    <row r="69" spans="1:15" x14ac:dyDescent="0.2">
      <c r="A69" s="245"/>
      <c r="B69" s="250">
        <f t="shared" si="1"/>
        <v>2010</v>
      </c>
      <c r="C69" s="526">
        <v>31</v>
      </c>
      <c r="D69" s="526">
        <v>28</v>
      </c>
      <c r="E69" s="526">
        <v>31</v>
      </c>
      <c r="F69" s="526">
        <v>30</v>
      </c>
      <c r="G69" s="526">
        <v>31</v>
      </c>
      <c r="H69" s="526">
        <v>30</v>
      </c>
      <c r="I69" s="526">
        <v>31</v>
      </c>
      <c r="J69" s="526">
        <v>31</v>
      </c>
      <c r="K69" s="526">
        <v>30</v>
      </c>
      <c r="L69" s="526">
        <v>31</v>
      </c>
      <c r="M69" s="526">
        <v>30</v>
      </c>
      <c r="N69" s="526">
        <v>31</v>
      </c>
      <c r="O69" s="245"/>
    </row>
    <row r="70" spans="1:15" x14ac:dyDescent="0.2">
      <c r="A70" s="245"/>
      <c r="B70" s="250">
        <f t="shared" si="1"/>
        <v>2011</v>
      </c>
      <c r="C70" s="526">
        <v>31</v>
      </c>
      <c r="D70" s="526">
        <v>28</v>
      </c>
      <c r="E70" s="526">
        <v>31</v>
      </c>
      <c r="F70" s="526">
        <v>30</v>
      </c>
      <c r="G70" s="526">
        <v>31</v>
      </c>
      <c r="H70" s="526">
        <v>30</v>
      </c>
      <c r="I70" s="526">
        <v>31</v>
      </c>
      <c r="J70" s="526">
        <v>31</v>
      </c>
      <c r="K70" s="526">
        <v>30</v>
      </c>
      <c r="L70" s="526">
        <v>31</v>
      </c>
      <c r="M70" s="526">
        <v>30</v>
      </c>
      <c r="N70" s="526">
        <v>31</v>
      </c>
      <c r="O70" s="245"/>
    </row>
    <row r="71" spans="1:15" x14ac:dyDescent="0.2">
      <c r="A71" s="245"/>
      <c r="B71" s="250">
        <f t="shared" si="1"/>
        <v>2012</v>
      </c>
      <c r="C71" s="526">
        <v>31</v>
      </c>
      <c r="D71" s="526">
        <v>29</v>
      </c>
      <c r="E71" s="526">
        <v>31</v>
      </c>
      <c r="F71" s="526">
        <v>30</v>
      </c>
      <c r="G71" s="526">
        <v>31</v>
      </c>
      <c r="H71" s="526">
        <v>30</v>
      </c>
      <c r="I71" s="526">
        <v>31</v>
      </c>
      <c r="J71" s="526">
        <v>31</v>
      </c>
      <c r="K71" s="526">
        <v>30</v>
      </c>
      <c r="L71" s="526">
        <v>31</v>
      </c>
      <c r="M71" s="526">
        <v>30</v>
      </c>
      <c r="N71" s="526">
        <v>31</v>
      </c>
      <c r="O71" s="245"/>
    </row>
    <row r="72" spans="1:15" x14ac:dyDescent="0.2">
      <c r="A72" s="245"/>
      <c r="B72" s="250">
        <f t="shared" si="1"/>
        <v>2013</v>
      </c>
      <c r="C72" s="526">
        <v>31</v>
      </c>
      <c r="D72" s="526">
        <v>28</v>
      </c>
      <c r="E72" s="526">
        <v>31</v>
      </c>
      <c r="F72" s="526">
        <v>30</v>
      </c>
      <c r="G72" s="526">
        <v>31</v>
      </c>
      <c r="H72" s="526">
        <v>30</v>
      </c>
      <c r="I72" s="526">
        <v>31</v>
      </c>
      <c r="J72" s="526">
        <v>31</v>
      </c>
      <c r="K72" s="526">
        <v>30</v>
      </c>
      <c r="L72" s="526">
        <v>31</v>
      </c>
      <c r="M72" s="526">
        <v>30</v>
      </c>
      <c r="N72" s="526">
        <v>31</v>
      </c>
      <c r="O72" s="245"/>
    </row>
    <row r="73" spans="1:15" x14ac:dyDescent="0.2">
      <c r="A73" s="245"/>
      <c r="B73" s="250">
        <f t="shared" si="1"/>
        <v>2014</v>
      </c>
      <c r="C73" s="526">
        <v>31</v>
      </c>
      <c r="D73" s="526">
        <v>28</v>
      </c>
      <c r="E73" s="526">
        <v>31</v>
      </c>
      <c r="F73" s="526">
        <v>30</v>
      </c>
      <c r="G73" s="526">
        <v>31</v>
      </c>
      <c r="H73" s="526">
        <v>30</v>
      </c>
      <c r="I73" s="526">
        <v>31</v>
      </c>
      <c r="J73" s="526">
        <v>31</v>
      </c>
      <c r="K73" s="526">
        <v>30</v>
      </c>
      <c r="L73" s="526">
        <v>31</v>
      </c>
      <c r="M73" s="526">
        <v>30</v>
      </c>
      <c r="N73" s="526">
        <v>31</v>
      </c>
      <c r="O73" s="245"/>
    </row>
    <row r="74" spans="1:15" x14ac:dyDescent="0.2">
      <c r="A74" s="245"/>
      <c r="B74" s="246"/>
      <c r="C74" s="246"/>
      <c r="D74" s="246"/>
      <c r="E74" s="246"/>
      <c r="F74" s="246"/>
      <c r="G74" s="246"/>
      <c r="H74" s="246"/>
      <c r="I74" s="246"/>
      <c r="J74" s="246"/>
      <c r="K74" s="246"/>
      <c r="L74" s="246"/>
      <c r="M74" s="246"/>
      <c r="N74" s="246"/>
      <c r="O74" s="245"/>
    </row>
    <row r="75" spans="1:15" x14ac:dyDescent="0.2">
      <c r="A75" s="245"/>
      <c r="B75" s="246"/>
      <c r="C75" s="246"/>
      <c r="D75" s="246"/>
      <c r="E75" s="246"/>
      <c r="F75" s="246"/>
      <c r="G75" s="246"/>
      <c r="H75" s="246"/>
      <c r="I75" s="246"/>
      <c r="J75" s="246"/>
      <c r="K75" s="246"/>
      <c r="L75" s="246"/>
      <c r="M75" s="246"/>
      <c r="N75" s="246"/>
      <c r="O75" s="245"/>
    </row>
    <row r="76" spans="1:15" x14ac:dyDescent="0.2">
      <c r="A76" s="245"/>
      <c r="B76" s="253" t="s">
        <v>268</v>
      </c>
      <c r="C76" s="246"/>
      <c r="D76" s="246"/>
      <c r="E76" s="246"/>
      <c r="F76" s="246"/>
      <c r="G76" s="246"/>
      <c r="H76" s="246"/>
      <c r="I76" s="246"/>
      <c r="J76" s="246"/>
      <c r="K76" s="246"/>
      <c r="L76" s="246"/>
      <c r="M76" s="246"/>
      <c r="N76" s="246"/>
      <c r="O76" s="245"/>
    </row>
    <row r="77" spans="1:15" x14ac:dyDescent="0.2">
      <c r="A77" s="245"/>
      <c r="B77" s="245"/>
      <c r="C77" s="249" t="s">
        <v>137</v>
      </c>
      <c r="D77" s="249" t="s">
        <v>138</v>
      </c>
      <c r="E77" s="249" t="s">
        <v>139</v>
      </c>
      <c r="F77" s="249" t="s">
        <v>140</v>
      </c>
      <c r="G77" s="249" t="s">
        <v>116</v>
      </c>
      <c r="H77" s="249" t="s">
        <v>141</v>
      </c>
      <c r="I77" s="249" t="s">
        <v>142</v>
      </c>
      <c r="J77" s="249" t="s">
        <v>143</v>
      </c>
      <c r="K77" s="249" t="s">
        <v>144</v>
      </c>
      <c r="L77" s="249" t="s">
        <v>147</v>
      </c>
      <c r="M77" s="249" t="s">
        <v>145</v>
      </c>
      <c r="N77" s="249" t="s">
        <v>146</v>
      </c>
      <c r="O77" s="245"/>
    </row>
    <row r="78" spans="1:15" x14ac:dyDescent="0.2">
      <c r="A78" s="245"/>
      <c r="B78" s="250">
        <f t="shared" ref="B78:B86" si="2">B64</f>
        <v>2005</v>
      </c>
      <c r="C78" s="527">
        <v>353.3</v>
      </c>
      <c r="D78" s="528">
        <v>353.6</v>
      </c>
      <c r="E78" s="528">
        <v>353.9</v>
      </c>
      <c r="F78" s="528">
        <v>354.3</v>
      </c>
      <c r="G78" s="527">
        <v>354.7</v>
      </c>
      <c r="H78" s="527">
        <v>355.2</v>
      </c>
      <c r="I78" s="527">
        <v>355.6</v>
      </c>
      <c r="J78" s="527">
        <v>356.1</v>
      </c>
      <c r="K78" s="527">
        <v>356.4</v>
      </c>
      <c r="L78" s="527">
        <v>356.7</v>
      </c>
      <c r="M78" s="527">
        <v>356.7</v>
      </c>
      <c r="N78" s="527">
        <v>356.8</v>
      </c>
      <c r="O78" s="245"/>
    </row>
    <row r="79" spans="1:15" x14ac:dyDescent="0.2">
      <c r="A79" s="245"/>
      <c r="B79" s="250">
        <f t="shared" si="2"/>
        <v>2006</v>
      </c>
      <c r="C79" s="527">
        <v>356.9</v>
      </c>
      <c r="D79" s="527">
        <v>357.1</v>
      </c>
      <c r="E79" s="527">
        <v>357.2</v>
      </c>
      <c r="F79" s="527">
        <v>357.4</v>
      </c>
      <c r="G79" s="527">
        <v>357.7</v>
      </c>
      <c r="H79" s="527">
        <v>358</v>
      </c>
      <c r="I79" s="527">
        <v>358.3</v>
      </c>
      <c r="J79" s="527">
        <v>358.7</v>
      </c>
      <c r="K79" s="527">
        <v>359.1</v>
      </c>
      <c r="L79" s="527">
        <v>359.4</v>
      </c>
      <c r="M79" s="527">
        <v>359.7</v>
      </c>
      <c r="N79" s="527">
        <v>359.9</v>
      </c>
      <c r="O79" s="245"/>
    </row>
    <row r="80" spans="1:15" x14ac:dyDescent="0.2">
      <c r="A80" s="245"/>
      <c r="B80" s="250">
        <f t="shared" si="2"/>
        <v>2007</v>
      </c>
      <c r="C80" s="527">
        <v>360</v>
      </c>
      <c r="D80" s="527">
        <v>360</v>
      </c>
      <c r="E80" s="527">
        <v>360.1</v>
      </c>
      <c r="F80" s="527">
        <v>360.3</v>
      </c>
      <c r="G80" s="527">
        <v>360.5</v>
      </c>
      <c r="H80" s="527">
        <v>360.7</v>
      </c>
      <c r="I80" s="527">
        <v>360.9</v>
      </c>
      <c r="J80" s="527">
        <v>361.2</v>
      </c>
      <c r="K80" s="527">
        <v>361.3</v>
      </c>
      <c r="L80" s="527">
        <v>361.4</v>
      </c>
      <c r="M80" s="527">
        <v>361.4</v>
      </c>
      <c r="N80" s="527">
        <v>361.6</v>
      </c>
      <c r="O80" s="245"/>
    </row>
    <row r="81" spans="1:15" x14ac:dyDescent="0.2">
      <c r="A81" s="245"/>
      <c r="B81" s="250">
        <f t="shared" si="2"/>
        <v>2008</v>
      </c>
      <c r="C81" s="527">
        <v>361.7</v>
      </c>
      <c r="D81" s="527">
        <v>361.8</v>
      </c>
      <c r="E81" s="527">
        <v>361.9</v>
      </c>
      <c r="F81" s="527">
        <v>362</v>
      </c>
      <c r="G81" s="527">
        <v>362.2</v>
      </c>
      <c r="H81" s="527">
        <v>362.4</v>
      </c>
      <c r="I81" s="527">
        <v>362.6</v>
      </c>
      <c r="J81" s="527">
        <v>362.9</v>
      </c>
      <c r="K81" s="527">
        <v>363.1</v>
      </c>
      <c r="L81" s="527">
        <v>363.3</v>
      </c>
      <c r="M81" s="527">
        <v>363.4</v>
      </c>
      <c r="N81" s="527">
        <v>363.5</v>
      </c>
      <c r="O81" s="245"/>
    </row>
    <row r="82" spans="1:15" x14ac:dyDescent="0.2">
      <c r="A82" s="245"/>
      <c r="B82" s="250">
        <f t="shared" si="2"/>
        <v>2009</v>
      </c>
      <c r="C82" s="527">
        <v>363.7</v>
      </c>
      <c r="D82" s="527">
        <v>363.7</v>
      </c>
      <c r="E82" s="527">
        <v>363.8</v>
      </c>
      <c r="F82" s="527">
        <v>364</v>
      </c>
      <c r="G82" s="527">
        <v>364.2</v>
      </c>
      <c r="H82" s="527">
        <v>364.5</v>
      </c>
      <c r="I82" s="527">
        <v>364.8</v>
      </c>
      <c r="J82" s="527">
        <v>365.2</v>
      </c>
      <c r="K82" s="527">
        <v>365.5</v>
      </c>
      <c r="L82" s="527">
        <v>365.7</v>
      </c>
      <c r="M82" s="527">
        <v>365.8</v>
      </c>
      <c r="N82" s="527">
        <v>365.9</v>
      </c>
      <c r="O82" s="245"/>
    </row>
    <row r="83" spans="1:15" x14ac:dyDescent="0.2">
      <c r="A83" s="245"/>
      <c r="B83" s="250">
        <f t="shared" si="2"/>
        <v>2010</v>
      </c>
      <c r="C83" s="527">
        <v>365.9</v>
      </c>
      <c r="D83" s="527">
        <v>366</v>
      </c>
      <c r="E83" s="527">
        <v>366.1</v>
      </c>
      <c r="F83" s="527">
        <v>366.2</v>
      </c>
      <c r="G83" s="527">
        <v>366.3</v>
      </c>
      <c r="H83" s="527">
        <v>366.6</v>
      </c>
      <c r="I83" s="527">
        <v>366.9</v>
      </c>
      <c r="J83" s="527">
        <v>367.2</v>
      </c>
      <c r="K83" s="527">
        <v>367.4</v>
      </c>
      <c r="L83" s="527">
        <v>367.6</v>
      </c>
      <c r="M83" s="527">
        <v>367.8</v>
      </c>
      <c r="N83" s="527">
        <v>367.9</v>
      </c>
      <c r="O83" s="245"/>
    </row>
    <row r="84" spans="1:15" x14ac:dyDescent="0.2">
      <c r="A84" s="245"/>
      <c r="B84" s="250">
        <f t="shared" si="2"/>
        <v>2011</v>
      </c>
      <c r="C84" s="527">
        <v>367.9</v>
      </c>
      <c r="D84" s="527">
        <v>368</v>
      </c>
      <c r="E84" s="527">
        <v>368</v>
      </c>
      <c r="F84" s="527">
        <v>368.2</v>
      </c>
      <c r="G84" s="527">
        <v>368.3</v>
      </c>
      <c r="H84" s="527">
        <v>368.4</v>
      </c>
      <c r="I84" s="527">
        <v>368.6</v>
      </c>
      <c r="J84" s="527">
        <v>368.8</v>
      </c>
      <c r="K84" s="527">
        <v>368.9</v>
      </c>
      <c r="L84" s="527">
        <v>369</v>
      </c>
      <c r="M84" s="527">
        <v>369.1</v>
      </c>
      <c r="N84" s="527">
        <v>369.2</v>
      </c>
      <c r="O84" s="245"/>
    </row>
    <row r="85" spans="1:15" x14ac:dyDescent="0.2">
      <c r="A85" s="245"/>
      <c r="B85" s="250">
        <f t="shared" si="2"/>
        <v>2012</v>
      </c>
      <c r="C85" s="527">
        <v>369.3</v>
      </c>
      <c r="D85" s="527">
        <v>369.3</v>
      </c>
      <c r="E85" s="527">
        <v>369.4</v>
      </c>
      <c r="F85" s="527">
        <v>369.5</v>
      </c>
      <c r="G85" s="527">
        <v>369.7</v>
      </c>
      <c r="H85" s="527">
        <v>369.9</v>
      </c>
      <c r="I85" s="527">
        <v>370.2</v>
      </c>
      <c r="J85" s="527">
        <v>370.5</v>
      </c>
      <c r="K85" s="527">
        <v>370.7</v>
      </c>
      <c r="L85" s="527">
        <v>370.9</v>
      </c>
      <c r="M85" s="527">
        <v>371</v>
      </c>
      <c r="N85" s="527">
        <v>371.2</v>
      </c>
      <c r="O85" s="245"/>
    </row>
    <row r="86" spans="1:15" x14ac:dyDescent="0.2">
      <c r="A86" s="245"/>
      <c r="B86" s="250">
        <f t="shared" si="2"/>
        <v>2013</v>
      </c>
      <c r="C86" s="527">
        <v>371.4</v>
      </c>
      <c r="D86" s="527">
        <v>371.5</v>
      </c>
      <c r="E86" s="527">
        <v>371.6</v>
      </c>
      <c r="F86" s="527">
        <v>371.6</v>
      </c>
      <c r="G86" s="527">
        <v>371.7</v>
      </c>
      <c r="H86" s="527">
        <v>372</v>
      </c>
      <c r="I86" s="527">
        <v>372.2</v>
      </c>
      <c r="J86" s="527">
        <v>372.5</v>
      </c>
      <c r="K86" s="527">
        <v>372.5</v>
      </c>
      <c r="L86" s="527">
        <v>372.5</v>
      </c>
      <c r="M86" s="527">
        <v>372.5</v>
      </c>
      <c r="N86" s="527">
        <v>372.5</v>
      </c>
      <c r="O86" s="245"/>
    </row>
    <row r="87" spans="1:15" x14ac:dyDescent="0.2">
      <c r="A87" s="245"/>
      <c r="B87" s="250">
        <f>B73</f>
        <v>2014</v>
      </c>
      <c r="C87" s="527">
        <v>372.5</v>
      </c>
      <c r="D87" s="527">
        <v>372.5</v>
      </c>
      <c r="E87" s="527">
        <v>372.5</v>
      </c>
      <c r="F87" s="527">
        <v>372.6</v>
      </c>
      <c r="G87" s="527">
        <v>372.8</v>
      </c>
      <c r="H87" s="527">
        <v>372.9</v>
      </c>
      <c r="I87" s="527">
        <v>373.1</v>
      </c>
      <c r="J87" s="527">
        <v>373.4</v>
      </c>
      <c r="K87" s="527">
        <v>373.5</v>
      </c>
      <c r="L87" s="527">
        <v>373.6</v>
      </c>
      <c r="M87" s="527">
        <v>373.6</v>
      </c>
      <c r="N87" s="527">
        <v>373.7</v>
      </c>
      <c r="O87" s="245"/>
    </row>
    <row r="88" spans="1:15" x14ac:dyDescent="0.2">
      <c r="A88" s="245"/>
      <c r="B88" s="246"/>
      <c r="C88" s="246"/>
      <c r="D88" s="246"/>
      <c r="E88" s="246"/>
      <c r="F88" s="246"/>
      <c r="G88" s="246"/>
      <c r="H88" s="246"/>
      <c r="I88" s="246"/>
      <c r="J88" s="246"/>
      <c r="K88" s="246"/>
      <c r="L88" s="246"/>
      <c r="M88" s="246"/>
      <c r="N88" s="246"/>
      <c r="O88" s="245"/>
    </row>
    <row r="89" spans="1:15" x14ac:dyDescent="0.2">
      <c r="A89" s="245"/>
      <c r="B89" s="246"/>
      <c r="C89" s="246"/>
      <c r="D89" s="246"/>
      <c r="E89" s="246"/>
      <c r="F89" s="246"/>
      <c r="G89" s="246"/>
      <c r="H89" s="246"/>
      <c r="I89" s="246"/>
      <c r="J89" s="246"/>
      <c r="K89" s="246"/>
      <c r="L89" s="246"/>
      <c r="M89" s="246"/>
      <c r="N89" s="246"/>
      <c r="O89" s="245"/>
    </row>
    <row r="90" spans="1:15" x14ac:dyDescent="0.2">
      <c r="A90" s="245"/>
      <c r="B90" s="253" t="s">
        <v>271</v>
      </c>
      <c r="C90" s="246"/>
      <c r="D90" s="246"/>
      <c r="E90" s="246"/>
      <c r="F90" s="246"/>
      <c r="G90" s="246"/>
      <c r="H90" s="246"/>
      <c r="I90" s="246"/>
      <c r="J90" s="246"/>
      <c r="K90" s="246"/>
      <c r="L90" s="246"/>
      <c r="M90" s="246"/>
      <c r="N90" s="246"/>
      <c r="O90" s="245"/>
    </row>
    <row r="91" spans="1:15" x14ac:dyDescent="0.2">
      <c r="A91" s="245"/>
      <c r="B91" s="245"/>
      <c r="C91" s="249" t="s">
        <v>137</v>
      </c>
      <c r="D91" s="249" t="s">
        <v>138</v>
      </c>
      <c r="E91" s="249" t="s">
        <v>139</v>
      </c>
      <c r="F91" s="249" t="s">
        <v>140</v>
      </c>
      <c r="G91" s="249" t="s">
        <v>116</v>
      </c>
      <c r="H91" s="249" t="s">
        <v>141</v>
      </c>
      <c r="I91" s="249" t="s">
        <v>142</v>
      </c>
      <c r="J91" s="249" t="s">
        <v>143</v>
      </c>
      <c r="K91" s="249" t="s">
        <v>144</v>
      </c>
      <c r="L91" s="249" t="s">
        <v>147</v>
      </c>
      <c r="M91" s="249" t="s">
        <v>145</v>
      </c>
      <c r="N91" s="249" t="s">
        <v>146</v>
      </c>
      <c r="O91" s="245"/>
    </row>
    <row r="92" spans="1:15" x14ac:dyDescent="0.2">
      <c r="A92" s="245"/>
      <c r="B92" s="250">
        <f t="shared" ref="B92:B100" si="3">B78</f>
        <v>2005</v>
      </c>
      <c r="C92" s="48">
        <v>1</v>
      </c>
      <c r="D92" s="48">
        <v>1</v>
      </c>
      <c r="E92" s="48">
        <v>0</v>
      </c>
      <c r="F92" s="48">
        <v>0</v>
      </c>
      <c r="G92" s="48">
        <v>0</v>
      </c>
      <c r="H92" s="48">
        <v>0</v>
      </c>
      <c r="I92" s="48">
        <v>0</v>
      </c>
      <c r="J92" s="48">
        <v>0</v>
      </c>
      <c r="K92" s="48">
        <v>0</v>
      </c>
      <c r="L92" s="48">
        <v>0</v>
      </c>
      <c r="M92" s="48">
        <v>0</v>
      </c>
      <c r="N92" s="48">
        <v>1</v>
      </c>
      <c r="O92" s="245"/>
    </row>
    <row r="93" spans="1:15" x14ac:dyDescent="0.2">
      <c r="A93" s="245"/>
      <c r="B93" s="250">
        <f t="shared" si="3"/>
        <v>2006</v>
      </c>
      <c r="C93" s="48">
        <v>1</v>
      </c>
      <c r="D93" s="48">
        <v>1</v>
      </c>
      <c r="E93" s="48">
        <v>0</v>
      </c>
      <c r="F93" s="48">
        <v>0</v>
      </c>
      <c r="G93" s="48">
        <v>0</v>
      </c>
      <c r="H93" s="48">
        <v>0</v>
      </c>
      <c r="I93" s="48">
        <v>0</v>
      </c>
      <c r="J93" s="48">
        <v>0</v>
      </c>
      <c r="K93" s="48">
        <v>0</v>
      </c>
      <c r="L93" s="48">
        <v>0</v>
      </c>
      <c r="M93" s="48">
        <v>0</v>
      </c>
      <c r="N93" s="48">
        <v>1</v>
      </c>
      <c r="O93" s="245"/>
    </row>
    <row r="94" spans="1:15" x14ac:dyDescent="0.2">
      <c r="A94" s="245"/>
      <c r="B94" s="250">
        <f t="shared" si="3"/>
        <v>2007</v>
      </c>
      <c r="C94" s="48">
        <v>1</v>
      </c>
      <c r="D94" s="48">
        <v>1</v>
      </c>
      <c r="E94" s="48">
        <v>0</v>
      </c>
      <c r="F94" s="48">
        <v>0</v>
      </c>
      <c r="G94" s="48">
        <v>0</v>
      </c>
      <c r="H94" s="48">
        <v>0</v>
      </c>
      <c r="I94" s="48">
        <v>0</v>
      </c>
      <c r="J94" s="48">
        <v>0</v>
      </c>
      <c r="K94" s="48">
        <v>0</v>
      </c>
      <c r="L94" s="48">
        <v>0</v>
      </c>
      <c r="M94" s="48">
        <v>0</v>
      </c>
      <c r="N94" s="48">
        <v>1</v>
      </c>
      <c r="O94" s="245"/>
    </row>
    <row r="95" spans="1:15" x14ac:dyDescent="0.2">
      <c r="A95" s="245"/>
      <c r="B95" s="250">
        <f t="shared" si="3"/>
        <v>2008</v>
      </c>
      <c r="C95" s="48">
        <v>1</v>
      </c>
      <c r="D95" s="48">
        <v>1</v>
      </c>
      <c r="E95" s="48">
        <v>0</v>
      </c>
      <c r="F95" s="48">
        <v>0</v>
      </c>
      <c r="G95" s="48">
        <v>0</v>
      </c>
      <c r="H95" s="48">
        <v>0</v>
      </c>
      <c r="I95" s="48">
        <v>0</v>
      </c>
      <c r="J95" s="48">
        <v>0</v>
      </c>
      <c r="K95" s="48">
        <v>0</v>
      </c>
      <c r="L95" s="48">
        <v>0</v>
      </c>
      <c r="M95" s="48">
        <v>0</v>
      </c>
      <c r="N95" s="48">
        <v>1</v>
      </c>
      <c r="O95" s="245"/>
    </row>
    <row r="96" spans="1:15" x14ac:dyDescent="0.2">
      <c r="A96" s="245"/>
      <c r="B96" s="250">
        <f t="shared" si="3"/>
        <v>2009</v>
      </c>
      <c r="C96" s="48">
        <v>1</v>
      </c>
      <c r="D96" s="48">
        <v>1</v>
      </c>
      <c r="E96" s="48">
        <v>0</v>
      </c>
      <c r="F96" s="48">
        <v>0</v>
      </c>
      <c r="G96" s="48">
        <v>0</v>
      </c>
      <c r="H96" s="48">
        <v>0</v>
      </c>
      <c r="I96" s="48">
        <v>0</v>
      </c>
      <c r="J96" s="48">
        <v>0</v>
      </c>
      <c r="K96" s="48">
        <v>0</v>
      </c>
      <c r="L96" s="48">
        <v>0</v>
      </c>
      <c r="M96" s="48">
        <v>0</v>
      </c>
      <c r="N96" s="48">
        <v>1</v>
      </c>
      <c r="O96" s="245"/>
    </row>
    <row r="97" spans="1:15" x14ac:dyDescent="0.2">
      <c r="A97" s="245"/>
      <c r="B97" s="250">
        <f t="shared" si="3"/>
        <v>2010</v>
      </c>
      <c r="C97" s="48">
        <v>1</v>
      </c>
      <c r="D97" s="48">
        <v>1</v>
      </c>
      <c r="E97" s="48">
        <v>0</v>
      </c>
      <c r="F97" s="48">
        <v>0</v>
      </c>
      <c r="G97" s="48">
        <v>0</v>
      </c>
      <c r="H97" s="48">
        <v>0</v>
      </c>
      <c r="I97" s="48">
        <v>0</v>
      </c>
      <c r="J97" s="48">
        <v>0</v>
      </c>
      <c r="K97" s="48">
        <v>0</v>
      </c>
      <c r="L97" s="48">
        <v>0</v>
      </c>
      <c r="M97" s="48">
        <v>0</v>
      </c>
      <c r="N97" s="48">
        <v>1</v>
      </c>
      <c r="O97" s="245"/>
    </row>
    <row r="98" spans="1:15" x14ac:dyDescent="0.2">
      <c r="A98" s="245"/>
      <c r="B98" s="250">
        <f t="shared" si="3"/>
        <v>2011</v>
      </c>
      <c r="C98" s="48">
        <v>1</v>
      </c>
      <c r="D98" s="48">
        <v>1</v>
      </c>
      <c r="E98" s="48">
        <v>0</v>
      </c>
      <c r="F98" s="48">
        <v>0</v>
      </c>
      <c r="G98" s="48">
        <v>0</v>
      </c>
      <c r="H98" s="48">
        <v>0</v>
      </c>
      <c r="I98" s="48">
        <v>0</v>
      </c>
      <c r="J98" s="48">
        <v>0</v>
      </c>
      <c r="K98" s="48">
        <v>0</v>
      </c>
      <c r="L98" s="48">
        <v>0</v>
      </c>
      <c r="M98" s="48">
        <v>0</v>
      </c>
      <c r="N98" s="48">
        <v>1</v>
      </c>
      <c r="O98" s="245"/>
    </row>
    <row r="99" spans="1:15" x14ac:dyDescent="0.2">
      <c r="A99" s="245"/>
      <c r="B99" s="250">
        <f t="shared" si="3"/>
        <v>2012</v>
      </c>
      <c r="C99" s="48">
        <v>1</v>
      </c>
      <c r="D99" s="48">
        <v>1</v>
      </c>
      <c r="E99" s="48">
        <v>0</v>
      </c>
      <c r="F99" s="48">
        <v>0</v>
      </c>
      <c r="G99" s="48">
        <v>0</v>
      </c>
      <c r="H99" s="48">
        <v>0</v>
      </c>
      <c r="I99" s="48">
        <v>0</v>
      </c>
      <c r="J99" s="48">
        <v>0</v>
      </c>
      <c r="K99" s="48">
        <v>0</v>
      </c>
      <c r="L99" s="48">
        <v>0</v>
      </c>
      <c r="M99" s="48">
        <v>0</v>
      </c>
      <c r="N99" s="48">
        <v>1</v>
      </c>
      <c r="O99" s="245"/>
    </row>
    <row r="100" spans="1:15" x14ac:dyDescent="0.2">
      <c r="A100" s="245"/>
      <c r="B100" s="250">
        <f t="shared" si="3"/>
        <v>2013</v>
      </c>
      <c r="C100" s="48">
        <v>1</v>
      </c>
      <c r="D100" s="48">
        <v>1</v>
      </c>
      <c r="E100" s="48">
        <v>0</v>
      </c>
      <c r="F100" s="48">
        <v>0</v>
      </c>
      <c r="G100" s="48">
        <v>0</v>
      </c>
      <c r="H100" s="48">
        <v>0</v>
      </c>
      <c r="I100" s="48">
        <v>0</v>
      </c>
      <c r="J100" s="48">
        <v>0</v>
      </c>
      <c r="K100" s="48">
        <v>0</v>
      </c>
      <c r="L100" s="48">
        <v>0</v>
      </c>
      <c r="M100" s="48">
        <v>0</v>
      </c>
      <c r="N100" s="48">
        <v>1</v>
      </c>
      <c r="O100" s="245"/>
    </row>
    <row r="101" spans="1:15" x14ac:dyDescent="0.2">
      <c r="A101" s="245"/>
      <c r="B101" s="250">
        <f>B87</f>
        <v>2014</v>
      </c>
      <c r="C101" s="48">
        <v>1</v>
      </c>
      <c r="D101" s="48">
        <v>1</v>
      </c>
      <c r="E101" s="48">
        <v>0</v>
      </c>
      <c r="F101" s="48">
        <v>0</v>
      </c>
      <c r="G101" s="48">
        <v>0</v>
      </c>
      <c r="H101" s="48">
        <v>0</v>
      </c>
      <c r="I101" s="48">
        <v>0</v>
      </c>
      <c r="J101" s="48">
        <v>0</v>
      </c>
      <c r="K101" s="48">
        <v>0</v>
      </c>
      <c r="L101" s="48">
        <v>0</v>
      </c>
      <c r="M101" s="48">
        <v>0</v>
      </c>
      <c r="N101" s="48">
        <v>1</v>
      </c>
      <c r="O101" s="245"/>
    </row>
    <row r="102" spans="1:15" x14ac:dyDescent="0.2">
      <c r="A102" s="245"/>
      <c r="B102" s="246"/>
      <c r="C102" s="246"/>
      <c r="D102" s="246"/>
      <c r="E102" s="246"/>
      <c r="F102" s="246"/>
      <c r="G102" s="246"/>
      <c r="H102" s="246"/>
      <c r="I102" s="246"/>
      <c r="J102" s="246"/>
      <c r="K102" s="246"/>
      <c r="L102" s="246"/>
      <c r="M102" s="246"/>
      <c r="N102" s="246"/>
      <c r="O102" s="245"/>
    </row>
    <row r="103" spans="1:15" x14ac:dyDescent="0.2">
      <c r="A103" s="245"/>
      <c r="B103" s="246"/>
      <c r="C103" s="246"/>
      <c r="D103" s="246"/>
      <c r="E103" s="246"/>
      <c r="F103" s="246"/>
      <c r="G103" s="246"/>
      <c r="H103" s="246"/>
      <c r="I103" s="246"/>
      <c r="J103" s="246"/>
      <c r="K103" s="246"/>
      <c r="L103" s="246"/>
      <c r="M103" s="246"/>
      <c r="N103" s="246"/>
      <c r="O103" s="245"/>
    </row>
    <row r="104" spans="1:15" x14ac:dyDescent="0.2">
      <c r="A104" s="245"/>
      <c r="B104" s="253" t="s">
        <v>408</v>
      </c>
      <c r="C104" s="246"/>
      <c r="D104" s="246"/>
      <c r="E104" s="246"/>
      <c r="F104" s="246"/>
      <c r="G104" s="246"/>
      <c r="H104" s="246"/>
      <c r="I104" s="246"/>
      <c r="J104" s="246"/>
      <c r="K104" s="246"/>
      <c r="L104" s="246"/>
      <c r="M104" s="246"/>
      <c r="N104" s="246"/>
      <c r="O104" s="245"/>
    </row>
    <row r="105" spans="1:15" x14ac:dyDescent="0.2">
      <c r="A105" s="245"/>
      <c r="B105" s="245"/>
      <c r="C105" s="249" t="s">
        <v>137</v>
      </c>
      <c r="D105" s="249" t="s">
        <v>138</v>
      </c>
      <c r="E105" s="249" t="s">
        <v>139</v>
      </c>
      <c r="F105" s="249" t="s">
        <v>140</v>
      </c>
      <c r="G105" s="249" t="s">
        <v>116</v>
      </c>
      <c r="H105" s="249" t="s">
        <v>141</v>
      </c>
      <c r="I105" s="249" t="s">
        <v>142</v>
      </c>
      <c r="J105" s="249" t="s">
        <v>143</v>
      </c>
      <c r="K105" s="249" t="s">
        <v>144</v>
      </c>
      <c r="L105" s="249" t="s">
        <v>147</v>
      </c>
      <c r="M105" s="249" t="s">
        <v>145</v>
      </c>
      <c r="N105" s="249" t="s">
        <v>146</v>
      </c>
      <c r="O105" s="245"/>
    </row>
    <row r="106" spans="1:15" x14ac:dyDescent="0.2">
      <c r="A106" s="245"/>
      <c r="B106" s="250">
        <f t="shared" ref="B106:B114" si="4">B92</f>
        <v>2005</v>
      </c>
      <c r="C106" s="696">
        <v>1</v>
      </c>
      <c r="D106" s="696">
        <v>0</v>
      </c>
      <c r="E106" s="696">
        <v>1</v>
      </c>
      <c r="F106" s="696">
        <v>0</v>
      </c>
      <c r="G106" s="696">
        <v>0</v>
      </c>
      <c r="H106" s="696">
        <v>0</v>
      </c>
      <c r="I106" s="696">
        <v>1</v>
      </c>
      <c r="J106" s="696">
        <v>0</v>
      </c>
      <c r="K106" s="696">
        <v>0</v>
      </c>
      <c r="L106" s="696">
        <v>0</v>
      </c>
      <c r="M106" s="696">
        <v>0</v>
      </c>
      <c r="N106" s="696">
        <v>1</v>
      </c>
      <c r="O106" s="245"/>
    </row>
    <row r="107" spans="1:15" x14ac:dyDescent="0.2">
      <c r="A107" s="245"/>
      <c r="B107" s="250">
        <f t="shared" si="4"/>
        <v>2006</v>
      </c>
      <c r="C107" s="696">
        <v>1</v>
      </c>
      <c r="D107" s="696">
        <v>0</v>
      </c>
      <c r="E107" s="696">
        <v>1</v>
      </c>
      <c r="F107" s="696">
        <v>0</v>
      </c>
      <c r="G107" s="696">
        <v>0</v>
      </c>
      <c r="H107" s="696">
        <v>0</v>
      </c>
      <c r="I107" s="696">
        <v>1</v>
      </c>
      <c r="J107" s="696">
        <v>0</v>
      </c>
      <c r="K107" s="696">
        <v>0</v>
      </c>
      <c r="L107" s="696">
        <v>0</v>
      </c>
      <c r="M107" s="696">
        <v>0</v>
      </c>
      <c r="N107" s="696">
        <v>1</v>
      </c>
      <c r="O107" s="245"/>
    </row>
    <row r="108" spans="1:15" x14ac:dyDescent="0.2">
      <c r="A108" s="245"/>
      <c r="B108" s="250">
        <f t="shared" si="4"/>
        <v>2007</v>
      </c>
      <c r="C108" s="696">
        <v>1</v>
      </c>
      <c r="D108" s="696">
        <v>0</v>
      </c>
      <c r="E108" s="696">
        <v>1</v>
      </c>
      <c r="F108" s="696">
        <v>0</v>
      </c>
      <c r="G108" s="696">
        <v>0</v>
      </c>
      <c r="H108" s="696">
        <v>0</v>
      </c>
      <c r="I108" s="696">
        <v>1</v>
      </c>
      <c r="J108" s="696">
        <v>0</v>
      </c>
      <c r="K108" s="696">
        <v>0</v>
      </c>
      <c r="L108" s="696">
        <v>0</v>
      </c>
      <c r="M108" s="696">
        <v>0</v>
      </c>
      <c r="N108" s="696">
        <v>1</v>
      </c>
      <c r="O108" s="245"/>
    </row>
    <row r="109" spans="1:15" x14ac:dyDescent="0.2">
      <c r="A109" s="245"/>
      <c r="B109" s="250">
        <f t="shared" si="4"/>
        <v>2008</v>
      </c>
      <c r="C109" s="696">
        <v>1</v>
      </c>
      <c r="D109" s="696">
        <v>0</v>
      </c>
      <c r="E109" s="696">
        <v>1</v>
      </c>
      <c r="F109" s="696">
        <v>0</v>
      </c>
      <c r="G109" s="696">
        <v>0</v>
      </c>
      <c r="H109" s="696">
        <v>0</v>
      </c>
      <c r="I109" s="696">
        <v>1</v>
      </c>
      <c r="J109" s="696">
        <v>0</v>
      </c>
      <c r="K109" s="696">
        <v>0</v>
      </c>
      <c r="L109" s="696">
        <v>0</v>
      </c>
      <c r="M109" s="696">
        <v>0</v>
      </c>
      <c r="N109" s="696">
        <v>1</v>
      </c>
      <c r="O109" s="245"/>
    </row>
    <row r="110" spans="1:15" x14ac:dyDescent="0.2">
      <c r="A110" s="245"/>
      <c r="B110" s="250">
        <f t="shared" si="4"/>
        <v>2009</v>
      </c>
      <c r="C110" s="696">
        <v>1</v>
      </c>
      <c r="D110" s="696">
        <v>0</v>
      </c>
      <c r="E110" s="696">
        <v>1</v>
      </c>
      <c r="F110" s="696">
        <v>0</v>
      </c>
      <c r="G110" s="696">
        <v>0</v>
      </c>
      <c r="H110" s="696">
        <v>0</v>
      </c>
      <c r="I110" s="696">
        <v>1</v>
      </c>
      <c r="J110" s="696">
        <v>0</v>
      </c>
      <c r="K110" s="696">
        <v>0</v>
      </c>
      <c r="L110" s="696">
        <v>0</v>
      </c>
      <c r="M110" s="696">
        <v>0</v>
      </c>
      <c r="N110" s="696">
        <v>1</v>
      </c>
      <c r="O110" s="245"/>
    </row>
    <row r="111" spans="1:15" x14ac:dyDescent="0.2">
      <c r="A111" s="245"/>
      <c r="B111" s="250">
        <f t="shared" si="4"/>
        <v>2010</v>
      </c>
      <c r="C111" s="696">
        <v>1</v>
      </c>
      <c r="D111" s="696">
        <v>0</v>
      </c>
      <c r="E111" s="696">
        <v>1</v>
      </c>
      <c r="F111" s="696">
        <v>0</v>
      </c>
      <c r="G111" s="696">
        <v>0</v>
      </c>
      <c r="H111" s="696">
        <v>0</v>
      </c>
      <c r="I111" s="696">
        <v>1</v>
      </c>
      <c r="J111" s="696">
        <v>0</v>
      </c>
      <c r="K111" s="696">
        <v>0</v>
      </c>
      <c r="L111" s="696">
        <v>0</v>
      </c>
      <c r="M111" s="696">
        <v>0</v>
      </c>
      <c r="N111" s="696">
        <v>1</v>
      </c>
      <c r="O111" s="245"/>
    </row>
    <row r="112" spans="1:15" x14ac:dyDescent="0.2">
      <c r="A112" s="245"/>
      <c r="B112" s="250">
        <f t="shared" si="4"/>
        <v>2011</v>
      </c>
      <c r="C112" s="696">
        <v>1</v>
      </c>
      <c r="D112" s="696">
        <v>0</v>
      </c>
      <c r="E112" s="696">
        <v>1</v>
      </c>
      <c r="F112" s="696">
        <v>0</v>
      </c>
      <c r="G112" s="696">
        <v>0</v>
      </c>
      <c r="H112" s="696">
        <v>0</v>
      </c>
      <c r="I112" s="696">
        <v>1</v>
      </c>
      <c r="J112" s="696">
        <v>0</v>
      </c>
      <c r="K112" s="696">
        <v>0</v>
      </c>
      <c r="L112" s="696">
        <v>0</v>
      </c>
      <c r="M112" s="696">
        <v>0</v>
      </c>
      <c r="N112" s="696">
        <v>1</v>
      </c>
      <c r="O112" s="245"/>
    </row>
    <row r="113" spans="1:15" x14ac:dyDescent="0.2">
      <c r="A113" s="245"/>
      <c r="B113" s="250">
        <f t="shared" si="4"/>
        <v>2012</v>
      </c>
      <c r="C113" s="696">
        <v>1</v>
      </c>
      <c r="D113" s="696">
        <v>0</v>
      </c>
      <c r="E113" s="696">
        <v>1</v>
      </c>
      <c r="F113" s="696">
        <v>0</v>
      </c>
      <c r="G113" s="696">
        <v>0</v>
      </c>
      <c r="H113" s="696">
        <v>0</v>
      </c>
      <c r="I113" s="696">
        <v>1</v>
      </c>
      <c r="J113" s="696">
        <v>0</v>
      </c>
      <c r="K113" s="696">
        <v>0</v>
      </c>
      <c r="L113" s="696">
        <v>0</v>
      </c>
      <c r="M113" s="696">
        <v>0</v>
      </c>
      <c r="N113" s="696">
        <v>1</v>
      </c>
      <c r="O113" s="245"/>
    </row>
    <row r="114" spans="1:15" x14ac:dyDescent="0.2">
      <c r="A114" s="245"/>
      <c r="B114" s="250">
        <f t="shared" si="4"/>
        <v>2013</v>
      </c>
      <c r="C114" s="696">
        <v>1</v>
      </c>
      <c r="D114" s="696">
        <v>0</v>
      </c>
      <c r="E114" s="696">
        <v>1</v>
      </c>
      <c r="F114" s="696">
        <v>0</v>
      </c>
      <c r="G114" s="696">
        <v>0</v>
      </c>
      <c r="H114" s="696">
        <v>0</v>
      </c>
      <c r="I114" s="696">
        <v>1</v>
      </c>
      <c r="J114" s="696">
        <v>0</v>
      </c>
      <c r="K114" s="696">
        <v>0</v>
      </c>
      <c r="L114" s="696">
        <v>0</v>
      </c>
      <c r="M114" s="696">
        <v>0</v>
      </c>
      <c r="N114" s="696">
        <v>1</v>
      </c>
      <c r="O114" s="245"/>
    </row>
    <row r="115" spans="1:15" x14ac:dyDescent="0.2">
      <c r="A115" s="245"/>
      <c r="B115" s="250">
        <f>B101</f>
        <v>2014</v>
      </c>
      <c r="C115" s="696">
        <v>1</v>
      </c>
      <c r="D115" s="696">
        <v>0</v>
      </c>
      <c r="E115" s="696">
        <v>1</v>
      </c>
      <c r="F115" s="696">
        <v>0</v>
      </c>
      <c r="G115" s="696">
        <v>0</v>
      </c>
      <c r="H115" s="696">
        <v>0</v>
      </c>
      <c r="I115" s="696">
        <v>1</v>
      </c>
      <c r="J115" s="696">
        <v>0</v>
      </c>
      <c r="K115" s="696">
        <v>0</v>
      </c>
      <c r="L115" s="696">
        <v>0</v>
      </c>
      <c r="M115" s="696">
        <v>0</v>
      </c>
      <c r="N115" s="696">
        <v>1</v>
      </c>
      <c r="O115" s="245"/>
    </row>
    <row r="116" spans="1:15" x14ac:dyDescent="0.2">
      <c r="A116" s="245"/>
      <c r="B116" s="246"/>
      <c r="C116" s="246"/>
      <c r="D116" s="246"/>
      <c r="E116" s="246"/>
      <c r="F116" s="246"/>
      <c r="G116" s="246"/>
      <c r="H116" s="246"/>
      <c r="I116" s="246"/>
      <c r="J116" s="246"/>
      <c r="K116" s="246"/>
      <c r="L116" s="246"/>
      <c r="M116" s="246"/>
      <c r="N116" s="246"/>
      <c r="O116" s="245"/>
    </row>
    <row r="117" spans="1:15" x14ac:dyDescent="0.2">
      <c r="A117" s="245"/>
      <c r="B117" s="246"/>
      <c r="C117" s="246"/>
      <c r="D117" s="246"/>
      <c r="E117" s="246"/>
      <c r="F117" s="246"/>
      <c r="G117" s="246"/>
      <c r="H117" s="246"/>
      <c r="I117" s="246"/>
      <c r="J117" s="246"/>
      <c r="K117" s="246"/>
      <c r="L117" s="246"/>
      <c r="M117" s="246"/>
      <c r="N117" s="246"/>
      <c r="O117" s="245"/>
    </row>
    <row r="118" spans="1:15" x14ac:dyDescent="0.2">
      <c r="A118" s="245"/>
      <c r="B118" s="254" t="s">
        <v>135</v>
      </c>
      <c r="C118" s="246"/>
      <c r="D118" s="246"/>
      <c r="E118" s="246"/>
      <c r="F118" s="246"/>
      <c r="G118" s="246"/>
      <c r="H118" s="246"/>
      <c r="I118" s="246"/>
      <c r="J118" s="246"/>
      <c r="K118" s="246"/>
      <c r="L118" s="246"/>
      <c r="M118" s="246"/>
      <c r="N118" s="246"/>
      <c r="O118" s="245"/>
    </row>
    <row r="119" spans="1:15" x14ac:dyDescent="0.2">
      <c r="A119" s="245"/>
      <c r="B119" s="255"/>
      <c r="C119" s="246"/>
      <c r="D119" s="246"/>
      <c r="E119" s="246"/>
      <c r="F119" s="246"/>
      <c r="G119" s="246"/>
      <c r="H119" s="246"/>
      <c r="I119" s="246"/>
      <c r="J119" s="246"/>
      <c r="K119" s="246"/>
      <c r="L119" s="246"/>
      <c r="M119" s="246"/>
      <c r="N119" s="246"/>
      <c r="O119" s="245"/>
    </row>
    <row r="120" spans="1:15" x14ac:dyDescent="0.2">
      <c r="A120" s="245"/>
      <c r="B120" s="256" t="str">
        <f>Variable1</f>
        <v>HDD</v>
      </c>
      <c r="C120" s="246"/>
      <c r="D120" s="246"/>
      <c r="E120" s="246"/>
      <c r="F120" s="246"/>
      <c r="G120" s="246"/>
      <c r="H120" s="246"/>
      <c r="I120" s="246"/>
      <c r="J120" s="246"/>
      <c r="K120" s="246"/>
      <c r="L120" s="246"/>
      <c r="M120" s="246"/>
      <c r="N120" s="246"/>
      <c r="O120" s="245"/>
    </row>
    <row r="121" spans="1:15" x14ac:dyDescent="0.2">
      <c r="A121" s="245"/>
      <c r="B121" s="256" t="str">
        <f>Variable2</f>
        <v>CDD</v>
      </c>
      <c r="C121" s="246"/>
      <c r="D121" s="246"/>
      <c r="E121" s="246"/>
      <c r="F121" s="246"/>
      <c r="G121" s="246"/>
      <c r="H121" s="246"/>
      <c r="I121" s="246"/>
      <c r="J121" s="246"/>
      <c r="K121" s="246"/>
      <c r="L121" s="246"/>
      <c r="M121" s="246"/>
      <c r="N121" s="246"/>
      <c r="O121" s="245"/>
    </row>
    <row r="122" spans="1:15" x14ac:dyDescent="0.2">
      <c r="A122" s="245"/>
      <c r="B122" s="256" t="str">
        <f>Variable3</f>
        <v>Number of Days in Month</v>
      </c>
      <c r="C122" s="246"/>
      <c r="D122" s="246"/>
      <c r="E122" s="246"/>
      <c r="F122" s="246"/>
      <c r="G122" s="246"/>
      <c r="H122" s="246"/>
      <c r="I122" s="246"/>
      <c r="J122" s="246"/>
      <c r="K122" s="246"/>
      <c r="L122" s="246"/>
      <c r="M122" s="246"/>
      <c r="N122" s="246"/>
      <c r="O122" s="245"/>
    </row>
    <row r="123" spans="1:15" x14ac:dyDescent="0.2">
      <c r="A123" s="245"/>
      <c r="B123" s="256" t="str">
        <f>B76</f>
        <v>Employment Stats</v>
      </c>
      <c r="C123" s="246"/>
      <c r="D123" s="246"/>
      <c r="E123" s="246"/>
      <c r="F123" s="246"/>
      <c r="G123" s="246"/>
      <c r="H123" s="246"/>
      <c r="I123" s="246"/>
      <c r="J123" s="246"/>
      <c r="K123" s="246"/>
      <c r="L123" s="246"/>
      <c r="M123" s="246"/>
      <c r="N123" s="246"/>
      <c r="O123" s="245"/>
    </row>
    <row r="124" spans="1:15" x14ac:dyDescent="0.2">
      <c r="A124" s="245"/>
      <c r="B124" s="256" t="str">
        <f>Variable5</f>
        <v>Winter Flag</v>
      </c>
      <c r="C124" s="246"/>
      <c r="D124" s="246"/>
      <c r="E124" s="246"/>
      <c r="F124" s="246"/>
      <c r="G124" s="246"/>
      <c r="H124" s="246"/>
      <c r="I124" s="246"/>
      <c r="J124" s="246"/>
      <c r="K124" s="246"/>
      <c r="L124" s="246"/>
      <c r="M124" s="246"/>
      <c r="N124" s="246"/>
      <c r="O124" s="245"/>
    </row>
    <row r="125" spans="1:15" x14ac:dyDescent="0.2">
      <c r="A125" s="245"/>
      <c r="B125" s="256" t="str">
        <f>Variable6</f>
        <v>Holiday Months</v>
      </c>
      <c r="C125" s="246"/>
      <c r="D125" s="246"/>
      <c r="E125" s="246"/>
      <c r="F125" s="246"/>
      <c r="G125" s="246"/>
      <c r="H125" s="246"/>
      <c r="I125" s="246"/>
      <c r="J125" s="246"/>
      <c r="K125" s="246"/>
      <c r="L125" s="246"/>
      <c r="M125" s="246"/>
      <c r="N125" s="246"/>
      <c r="O125" s="245"/>
    </row>
    <row r="126" spans="1:15" x14ac:dyDescent="0.2">
      <c r="A126" s="245"/>
      <c r="B126" s="246"/>
      <c r="C126" s="246"/>
      <c r="D126" s="246"/>
      <c r="E126" s="246"/>
      <c r="F126" s="246"/>
      <c r="G126" s="246"/>
      <c r="H126" s="246"/>
      <c r="I126" s="246"/>
      <c r="J126" s="246"/>
      <c r="K126" s="246"/>
      <c r="L126" s="246"/>
      <c r="M126" s="246"/>
      <c r="N126" s="246"/>
      <c r="O126" s="245"/>
    </row>
    <row r="127" spans="1:15" x14ac:dyDescent="0.2">
      <c r="A127" s="245"/>
      <c r="B127" s="246"/>
      <c r="C127" s="246"/>
      <c r="D127" s="246"/>
      <c r="E127" s="246"/>
      <c r="F127" s="246"/>
      <c r="G127" s="246"/>
      <c r="H127" s="246"/>
      <c r="I127" s="246"/>
      <c r="J127" s="246"/>
      <c r="K127" s="246"/>
      <c r="L127" s="246"/>
      <c r="M127" s="246"/>
      <c r="N127" s="246"/>
      <c r="O127" s="245"/>
    </row>
    <row r="128" spans="1:15" x14ac:dyDescent="0.2">
      <c r="A128" s="245"/>
      <c r="B128" s="246"/>
      <c r="C128" s="246"/>
      <c r="D128" s="246"/>
      <c r="E128" s="246"/>
      <c r="F128" s="246"/>
      <c r="G128" s="246"/>
      <c r="H128" s="246"/>
      <c r="I128" s="246"/>
      <c r="J128" s="246"/>
      <c r="K128" s="246"/>
      <c r="L128" s="246"/>
      <c r="M128" s="246"/>
      <c r="N128" s="246"/>
      <c r="O128" s="245"/>
    </row>
    <row r="129" spans="1:15" x14ac:dyDescent="0.2">
      <c r="A129" s="245"/>
      <c r="B129" s="246"/>
      <c r="C129" s="246"/>
      <c r="D129" s="246"/>
      <c r="E129" s="246"/>
      <c r="F129" s="246"/>
      <c r="G129" s="246"/>
      <c r="H129" s="246"/>
      <c r="I129" s="246"/>
      <c r="J129" s="246"/>
      <c r="K129" s="246"/>
      <c r="L129" s="246"/>
      <c r="M129" s="246"/>
      <c r="N129" s="246"/>
      <c r="O129" s="245"/>
    </row>
    <row r="130" spans="1:15" x14ac:dyDescent="0.2">
      <c r="A130" s="245"/>
      <c r="B130" s="246"/>
      <c r="C130" s="246"/>
      <c r="D130" s="246"/>
      <c r="E130" s="246"/>
      <c r="F130" s="246"/>
      <c r="G130" s="246"/>
      <c r="H130" s="246"/>
      <c r="I130" s="246"/>
      <c r="J130" s="246"/>
      <c r="K130" s="246"/>
      <c r="L130" s="246"/>
      <c r="M130" s="246"/>
      <c r="N130" s="246"/>
      <c r="O130" s="245"/>
    </row>
    <row r="131" spans="1:15" x14ac:dyDescent="0.2">
      <c r="A131" s="245"/>
      <c r="B131" s="246"/>
      <c r="C131" s="246"/>
      <c r="D131" s="246"/>
      <c r="E131" s="246"/>
      <c r="F131" s="246"/>
      <c r="G131" s="246"/>
      <c r="H131" s="246"/>
      <c r="I131" s="246"/>
      <c r="J131" s="246"/>
      <c r="K131" s="246"/>
      <c r="L131" s="246"/>
      <c r="M131" s="246"/>
      <c r="N131" s="246"/>
      <c r="O131" s="245"/>
    </row>
    <row r="132" spans="1:15" x14ac:dyDescent="0.2">
      <c r="A132" s="245"/>
      <c r="B132" s="246"/>
      <c r="C132" s="246"/>
      <c r="D132" s="246"/>
      <c r="E132" s="246"/>
      <c r="F132" s="246"/>
      <c r="G132" s="246"/>
      <c r="H132" s="246"/>
      <c r="I132" s="246"/>
      <c r="J132" s="246"/>
      <c r="K132" s="246"/>
      <c r="L132" s="246"/>
      <c r="M132" s="246"/>
      <c r="N132" s="246"/>
      <c r="O132" s="245"/>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M182"/>
  <sheetViews>
    <sheetView showGridLines="0" topLeftCell="H4" zoomScaleNormal="100" workbookViewId="0">
      <selection activeCell="AB51" sqref="AB51"/>
    </sheetView>
  </sheetViews>
  <sheetFormatPr defaultRowHeight="12.75" x14ac:dyDescent="0.2"/>
  <cols>
    <col min="1" max="1" width="13.6640625" customWidth="1"/>
    <col min="2" max="2" width="25.33203125" style="58" customWidth="1"/>
    <col min="3" max="3" width="16.83203125" style="709" customWidth="1"/>
    <col min="4" max="10" width="16.83203125" style="58" customWidth="1"/>
    <col min="11" max="16" width="16.83203125" style="723" customWidth="1"/>
    <col min="17" max="17" width="4.1640625" style="1" customWidth="1"/>
    <col min="18" max="18" width="20.33203125" style="58" bestFit="1" customWidth="1"/>
    <col min="19" max="19" width="21.6640625" style="1" bestFit="1" customWidth="1"/>
    <col min="20" max="20" width="10.1640625" style="1" customWidth="1"/>
    <col min="21" max="29" width="17.83203125" style="1" customWidth="1"/>
    <col min="30" max="16384" width="9.33203125" style="1"/>
  </cols>
  <sheetData>
    <row r="1" spans="1:39" s="536" customFormat="1" x14ac:dyDescent="0.2">
      <c r="A1" s="758" t="s">
        <v>272</v>
      </c>
      <c r="B1" s="58"/>
      <c r="C1" s="709"/>
      <c r="D1" s="58"/>
      <c r="E1" s="58"/>
      <c r="F1" s="58"/>
      <c r="G1" s="58"/>
      <c r="H1" s="58"/>
      <c r="I1" s="58"/>
      <c r="J1" s="58"/>
      <c r="K1" s="723"/>
      <c r="L1" s="723"/>
      <c r="M1" s="723"/>
      <c r="N1" s="723"/>
      <c r="O1" s="723"/>
      <c r="P1" s="723"/>
      <c r="R1" s="58"/>
    </row>
    <row r="2" spans="1:39" s="536" customFormat="1" x14ac:dyDescent="0.2">
      <c r="A2"/>
      <c r="B2" s="58"/>
      <c r="C2" s="709"/>
      <c r="D2" s="58"/>
      <c r="E2" s="58"/>
      <c r="F2" s="58"/>
      <c r="G2" s="58"/>
      <c r="H2" s="58"/>
      <c r="I2" s="58"/>
      <c r="J2" s="58"/>
      <c r="K2" s="723"/>
      <c r="L2" s="723"/>
      <c r="M2" s="723"/>
      <c r="N2" s="723"/>
      <c r="O2" s="723"/>
      <c r="P2" s="723"/>
      <c r="R2" s="58"/>
    </row>
    <row r="3" spans="1:39" s="536" customFormat="1" x14ac:dyDescent="0.2">
      <c r="A3"/>
      <c r="B3" s="58"/>
      <c r="C3" s="709"/>
      <c r="D3" s="58"/>
      <c r="E3" s="58"/>
      <c r="F3" s="58"/>
      <c r="G3" s="58"/>
      <c r="H3" s="58"/>
      <c r="I3" s="58"/>
      <c r="J3" s="58"/>
      <c r="K3" s="723"/>
      <c r="L3" s="723"/>
      <c r="M3" s="723"/>
      <c r="N3" s="723"/>
      <c r="O3" s="723"/>
      <c r="P3" s="723"/>
      <c r="R3" s="58"/>
    </row>
    <row r="4" spans="1:39" s="536" customFormat="1" x14ac:dyDescent="0.2">
      <c r="A4"/>
      <c r="B4" s="58"/>
      <c r="C4" s="709"/>
      <c r="D4" s="58"/>
      <c r="E4" s="58"/>
      <c r="F4" s="58"/>
      <c r="G4" s="58"/>
      <c r="H4" s="58"/>
      <c r="I4" s="58"/>
      <c r="J4" s="58"/>
      <c r="K4" s="723"/>
      <c r="L4" s="723"/>
      <c r="M4" s="723"/>
      <c r="N4" s="723"/>
      <c r="O4" s="723"/>
      <c r="P4" s="723"/>
      <c r="R4" s="58"/>
    </row>
    <row r="5" spans="1:39" s="536" customFormat="1" x14ac:dyDescent="0.2">
      <c r="A5"/>
      <c r="B5" s="58"/>
      <c r="C5" s="709"/>
      <c r="D5" s="58"/>
      <c r="E5" s="58"/>
      <c r="F5" s="58"/>
      <c r="G5" s="58"/>
      <c r="H5" s="58"/>
      <c r="I5" s="58"/>
      <c r="J5" s="58"/>
      <c r="K5" s="723"/>
      <c r="L5" s="723"/>
      <c r="M5" s="723"/>
      <c r="N5" s="723"/>
      <c r="O5" s="723"/>
      <c r="P5" s="723"/>
      <c r="R5" s="58"/>
    </row>
    <row r="6" spans="1:39" s="536" customFormat="1" x14ac:dyDescent="0.2">
      <c r="A6"/>
      <c r="B6" s="58"/>
      <c r="C6" s="709"/>
      <c r="D6" s="58"/>
      <c r="E6" s="58"/>
      <c r="F6" s="58"/>
      <c r="G6" s="58"/>
      <c r="H6" s="58"/>
      <c r="I6" s="58"/>
      <c r="J6" s="58"/>
      <c r="K6" s="723"/>
      <c r="L6" s="723"/>
      <c r="M6" s="723"/>
      <c r="N6" s="723"/>
      <c r="O6" s="723"/>
      <c r="P6" s="723"/>
      <c r="R6" s="58"/>
    </row>
    <row r="7" spans="1:39" s="536" customFormat="1" x14ac:dyDescent="0.2">
      <c r="A7"/>
      <c r="B7" s="58"/>
      <c r="C7" s="709"/>
      <c r="D7" s="58"/>
      <c r="E7" s="58"/>
      <c r="F7" s="58"/>
      <c r="G7" s="58"/>
      <c r="H7" s="58"/>
      <c r="I7" s="58"/>
      <c r="J7" s="58"/>
      <c r="K7" s="723"/>
      <c r="L7" s="723"/>
      <c r="M7" s="723"/>
      <c r="N7" s="723"/>
      <c r="O7" s="723"/>
      <c r="P7" s="723"/>
      <c r="R7" s="58"/>
    </row>
    <row r="8" spans="1:39" s="536" customFormat="1" x14ac:dyDescent="0.2">
      <c r="A8"/>
      <c r="B8" s="58"/>
      <c r="C8" s="709"/>
      <c r="D8" s="58"/>
      <c r="E8" s="58"/>
      <c r="F8" s="58"/>
      <c r="G8" s="58"/>
      <c r="H8" s="58"/>
      <c r="I8" s="58"/>
      <c r="J8" s="58"/>
      <c r="K8" s="723"/>
      <c r="L8" s="723"/>
      <c r="M8" s="723"/>
      <c r="N8" s="723"/>
      <c r="O8" s="723"/>
      <c r="P8" s="723"/>
      <c r="R8" s="58"/>
    </row>
    <row r="9" spans="1:39" s="536" customFormat="1" x14ac:dyDescent="0.2">
      <c r="A9"/>
      <c r="B9" s="58"/>
      <c r="C9" s="709"/>
      <c r="D9" s="58"/>
      <c r="E9" s="58"/>
      <c r="F9" s="58"/>
      <c r="G9" s="58"/>
      <c r="H9" s="58"/>
      <c r="I9" s="58"/>
      <c r="J9" s="58"/>
      <c r="K9" s="723"/>
      <c r="L9" s="723"/>
      <c r="M9" s="723"/>
      <c r="N9" s="723"/>
      <c r="O9" s="723"/>
      <c r="P9" s="723"/>
      <c r="R9" s="58"/>
    </row>
    <row r="10" spans="1:39" s="536" customFormat="1" x14ac:dyDescent="0.2">
      <c r="A10"/>
      <c r="B10" s="58"/>
      <c r="C10" s="709"/>
      <c r="D10" s="58"/>
      <c r="E10" s="58"/>
      <c r="F10" s="58"/>
      <c r="G10" s="58"/>
      <c r="H10" s="58"/>
      <c r="I10" s="58"/>
      <c r="J10" s="58"/>
      <c r="K10" s="723"/>
      <c r="L10" s="723"/>
      <c r="M10" s="723"/>
      <c r="N10" s="723"/>
      <c r="O10" s="723"/>
      <c r="P10" s="723"/>
      <c r="R10" s="58"/>
    </row>
    <row r="11" spans="1:39" ht="23.25" x14ac:dyDescent="0.2">
      <c r="A11" s="259"/>
      <c r="B11" s="260" t="s">
        <v>99</v>
      </c>
      <c r="C11" s="710"/>
      <c r="D11" s="246"/>
      <c r="E11" s="246"/>
      <c r="F11" s="246"/>
      <c r="G11" s="246"/>
      <c r="H11" s="246"/>
      <c r="I11" s="246"/>
      <c r="J11" s="246"/>
      <c r="K11" s="724"/>
      <c r="L11" s="724"/>
      <c r="M11" s="724"/>
      <c r="N11" s="724"/>
      <c r="O11" s="724"/>
      <c r="P11" s="724"/>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ht="15" x14ac:dyDescent="0.2">
      <c r="A12" s="259"/>
      <c r="B12" s="63" t="s">
        <v>64</v>
      </c>
      <c r="C12" s="710"/>
      <c r="D12" s="246"/>
      <c r="E12" s="246"/>
      <c r="F12" s="246"/>
      <c r="G12" s="246"/>
      <c r="H12" s="246"/>
      <c r="I12" s="246"/>
      <c r="J12" s="246"/>
      <c r="K12" s="724"/>
      <c r="L12" s="724"/>
      <c r="M12" s="724"/>
      <c r="N12" s="724"/>
      <c r="O12" s="724"/>
      <c r="P12" s="724"/>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ht="14.25" x14ac:dyDescent="0.2">
      <c r="A13" s="259"/>
      <c r="B13" s="100" t="s">
        <v>250</v>
      </c>
      <c r="C13" s="710"/>
      <c r="D13" s="246"/>
      <c r="E13" s="246"/>
      <c r="F13" s="246"/>
      <c r="G13" s="246"/>
      <c r="H13" s="246"/>
      <c r="I13" s="246"/>
      <c r="J13" s="246"/>
      <c r="K13" s="724"/>
      <c r="L13" s="724"/>
      <c r="M13" s="724"/>
      <c r="N13" s="724"/>
      <c r="O13" s="724"/>
      <c r="P13" s="724"/>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ht="14.25" x14ac:dyDescent="0.2">
      <c r="A14" s="259"/>
      <c r="B14" s="100" t="s">
        <v>251</v>
      </c>
      <c r="C14" s="710"/>
      <c r="D14" s="246"/>
      <c r="E14" s="246"/>
      <c r="F14" s="246"/>
      <c r="G14" s="246"/>
      <c r="H14" s="246"/>
      <c r="I14" s="246"/>
      <c r="J14" s="246"/>
      <c r="K14" s="724"/>
      <c r="L14" s="724"/>
      <c r="M14" s="724"/>
      <c r="N14" s="724"/>
      <c r="O14" s="724"/>
      <c r="P14" s="724"/>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5" spans="1:39" ht="15" customHeight="1" x14ac:dyDescent="0.2">
      <c r="A15" s="259"/>
      <c r="B15" s="100" t="s">
        <v>252</v>
      </c>
      <c r="C15" s="711"/>
      <c r="D15" s="260"/>
      <c r="E15" s="260"/>
      <c r="F15" s="260"/>
      <c r="G15" s="260"/>
      <c r="H15" s="260"/>
      <c r="I15" s="260"/>
      <c r="J15" s="246"/>
      <c r="K15" s="724"/>
      <c r="L15" s="724"/>
      <c r="M15" s="724"/>
      <c r="N15" s="724"/>
      <c r="O15" s="724"/>
      <c r="P15" s="724"/>
      <c r="Q15" s="245"/>
      <c r="R15" s="246"/>
      <c r="S15" s="245"/>
      <c r="T15" s="245"/>
      <c r="U15" s="245"/>
      <c r="V15" s="245"/>
      <c r="W15" s="245"/>
      <c r="X15" s="245"/>
      <c r="Y15" s="245"/>
      <c r="Z15" s="245"/>
      <c r="AA15" s="245"/>
      <c r="AB15" s="245"/>
      <c r="AC15" s="245"/>
      <c r="AD15" s="245"/>
      <c r="AE15" s="245"/>
      <c r="AF15" s="245"/>
      <c r="AG15" s="245"/>
      <c r="AH15" s="245"/>
      <c r="AI15" s="245"/>
      <c r="AJ15" s="245"/>
      <c r="AK15" s="245"/>
      <c r="AL15" s="245"/>
      <c r="AM15" s="245"/>
    </row>
    <row r="16" spans="1:39" ht="13.5" customHeight="1" x14ac:dyDescent="0.2">
      <c r="A16" s="259"/>
      <c r="C16" s="711"/>
      <c r="D16" s="260"/>
      <c r="E16" s="260"/>
      <c r="F16" s="260"/>
      <c r="G16" s="260"/>
      <c r="H16" s="260"/>
      <c r="I16" s="260"/>
      <c r="J16" s="246"/>
      <c r="K16" s="724"/>
      <c r="L16" s="724"/>
      <c r="M16" s="724"/>
      <c r="N16" s="724"/>
      <c r="O16" s="724"/>
      <c r="P16" s="724"/>
      <c r="Q16" s="245"/>
      <c r="R16" s="246"/>
      <c r="S16" s="245"/>
      <c r="T16" s="245"/>
      <c r="U16" s="245"/>
      <c r="V16" s="245"/>
      <c r="W16" s="245"/>
      <c r="X16" s="245"/>
      <c r="Y16" s="245"/>
      <c r="Z16" s="245"/>
      <c r="AA16" s="245"/>
      <c r="AB16" s="245"/>
      <c r="AC16" s="245"/>
      <c r="AD16" s="245"/>
      <c r="AE16" s="245"/>
      <c r="AF16" s="245"/>
      <c r="AG16" s="245"/>
      <c r="AH16" s="245"/>
      <c r="AI16" s="245"/>
      <c r="AJ16" s="245"/>
      <c r="AK16" s="245"/>
      <c r="AL16" s="245"/>
      <c r="AM16" s="245"/>
    </row>
    <row r="17" spans="1:39" s="177" customFormat="1" x14ac:dyDescent="0.2">
      <c r="A17" s="559"/>
      <c r="B17" s="565"/>
      <c r="C17" s="712"/>
      <c r="D17" s="840" t="s">
        <v>136</v>
      </c>
      <c r="E17" s="840"/>
      <c r="F17" s="840"/>
      <c r="G17" s="840"/>
      <c r="H17" s="840"/>
      <c r="I17" s="840"/>
      <c r="J17" s="565"/>
      <c r="K17" s="840" t="s">
        <v>124</v>
      </c>
      <c r="L17" s="840"/>
      <c r="M17" s="840"/>
      <c r="N17" s="840"/>
      <c r="O17" s="840"/>
      <c r="P17" s="840"/>
      <c r="Q17" s="272"/>
      <c r="R17" s="565"/>
      <c r="S17" s="272"/>
      <c r="T17" s="272"/>
      <c r="U17" s="272"/>
      <c r="V17" s="272"/>
      <c r="W17" s="272"/>
      <c r="X17" s="272"/>
      <c r="Y17" s="272"/>
      <c r="Z17" s="272"/>
      <c r="AA17" s="272"/>
      <c r="AB17" s="272"/>
      <c r="AC17" s="272"/>
      <c r="AD17" s="272"/>
      <c r="AE17" s="272"/>
      <c r="AF17" s="272"/>
      <c r="AG17" s="272"/>
      <c r="AH17" s="272"/>
      <c r="AI17" s="272"/>
      <c r="AJ17" s="272"/>
      <c r="AK17" s="272"/>
      <c r="AL17" s="272"/>
      <c r="AM17" s="272"/>
    </row>
    <row r="18" spans="1:39" s="177" customFormat="1" ht="75" customHeight="1" x14ac:dyDescent="0.2">
      <c r="A18" s="559"/>
      <c r="B18" s="560"/>
      <c r="C18" s="713" t="s">
        <v>122</v>
      </c>
      <c r="D18" s="561" t="s">
        <v>279</v>
      </c>
      <c r="E18" s="561" t="s">
        <v>280</v>
      </c>
      <c r="F18" s="561" t="s">
        <v>246</v>
      </c>
      <c r="G18" s="561" t="s">
        <v>246</v>
      </c>
      <c r="H18" s="562" t="s">
        <v>246</v>
      </c>
      <c r="I18" s="562" t="s">
        <v>246</v>
      </c>
      <c r="J18" s="555" t="s">
        <v>123</v>
      </c>
      <c r="K18" s="775" t="s">
        <v>1</v>
      </c>
      <c r="L18" s="775" t="s">
        <v>2</v>
      </c>
      <c r="M18" s="775" t="s">
        <v>271</v>
      </c>
      <c r="N18" s="775" t="s">
        <v>408</v>
      </c>
      <c r="O18" s="775" t="s">
        <v>243</v>
      </c>
      <c r="P18" s="775">
        <v>0</v>
      </c>
      <c r="Q18" s="563"/>
      <c r="R18" s="244" t="s">
        <v>148</v>
      </c>
      <c r="S18" s="244" t="s">
        <v>32</v>
      </c>
      <c r="T18" s="272"/>
      <c r="U18" t="s">
        <v>158</v>
      </c>
      <c r="V18"/>
      <c r="W18"/>
      <c r="X18"/>
      <c r="Y18"/>
      <c r="Z18"/>
      <c r="AA18"/>
      <c r="AB18"/>
      <c r="AC18"/>
      <c r="AD18" s="564"/>
      <c r="AE18" s="272"/>
      <c r="AF18" s="272"/>
      <c r="AG18" s="272"/>
      <c r="AH18" s="272"/>
      <c r="AI18" s="272"/>
      <c r="AJ18" s="272"/>
      <c r="AK18" s="272"/>
      <c r="AL18" s="272"/>
      <c r="AM18" s="272"/>
    </row>
    <row r="19" spans="1:39" ht="23.25" thickBot="1" x14ac:dyDescent="0.25">
      <c r="A19" s="557"/>
      <c r="B19" s="556"/>
      <c r="C19" s="714"/>
      <c r="D19" s="551"/>
      <c r="E19" s="552"/>
      <c r="F19" s="552"/>
      <c r="G19" s="553"/>
      <c r="I19" s="745" t="s">
        <v>167</v>
      </c>
      <c r="J19" s="708"/>
      <c r="K19" s="774" t="s">
        <v>169</v>
      </c>
      <c r="L19" s="774" t="s">
        <v>169</v>
      </c>
      <c r="M19" s="774" t="s">
        <v>169</v>
      </c>
      <c r="N19" s="774" t="s">
        <v>169</v>
      </c>
      <c r="O19" s="774" t="s">
        <v>169</v>
      </c>
      <c r="P19" s="774" t="s">
        <v>169</v>
      </c>
      <c r="Q19" s="841"/>
      <c r="R19" s="841"/>
      <c r="S19" s="841"/>
      <c r="T19" s="245"/>
      <c r="U19"/>
      <c r="V19"/>
      <c r="W19"/>
      <c r="X19"/>
      <c r="Y19"/>
      <c r="Z19"/>
      <c r="AA19"/>
      <c r="AB19"/>
      <c r="AC19"/>
      <c r="AD19" s="261"/>
      <c r="AE19" s="245"/>
      <c r="AF19" s="245"/>
      <c r="AG19" s="245"/>
      <c r="AH19" s="245"/>
      <c r="AI19" s="245"/>
      <c r="AJ19" s="245"/>
      <c r="AK19" s="245"/>
      <c r="AL19" s="245"/>
      <c r="AM19" s="245"/>
    </row>
    <row r="20" spans="1:39" x14ac:dyDescent="0.2">
      <c r="A20" s="503">
        <v>1</v>
      </c>
      <c r="B20" s="554" t="str">
        <f>CONCATENATE('3. Consumption by Rate Class'!B25,"-",'3. Consumption by Rate Class'!C25)</f>
        <v>2005-January</v>
      </c>
      <c r="C20" s="697">
        <v>23375222.759390123</v>
      </c>
      <c r="D20" s="703">
        <v>-40200</v>
      </c>
      <c r="E20" s="700"/>
      <c r="F20" s="700"/>
      <c r="G20" s="700"/>
      <c r="H20" s="701"/>
      <c r="I20" s="701"/>
      <c r="J20" s="558">
        <f>SUM(C20:I20)</f>
        <v>23335022.759390123</v>
      </c>
      <c r="K20" s="725">
        <f>IF(K$18='5.Variables'!$B$16,+'5.Variables'!$C27,+IF(K$18='5.Variables'!$B$39,+'5.Variables'!$C50,+IF(K$18='5.Variables'!$B$62,+'5.Variables'!$C64,+IF(K$18='5.Variables'!$B$76,+'5.Variables'!$C78,+IF(K$18='5.Variables'!$B$90,+'5.Variables'!$C92,+IF(K$18='5.Variables'!$B$104,+'5.Variables'!$C106,0))))))</f>
        <v>920.7</v>
      </c>
      <c r="L20" s="725">
        <f>IF(L$18='5.Variables'!$B$16,+'5.Variables'!$C27,+IF(L$18='5.Variables'!$B$39,+'5.Variables'!$C50,+IF(L$18='5.Variables'!$B$62,+'5.Variables'!$C64,+IF(L$18='5.Variables'!$B$76,+'5.Variables'!$C78,+IF(L$18='5.Variables'!$B$90,+'5.Variables'!$C92,+IF(L$18='5.Variables'!$B$104,+'5.Variables'!$C106,0))))))</f>
        <v>0</v>
      </c>
      <c r="M20" s="725">
        <f>IF(M$18='5.Variables'!$B$16,+'5.Variables'!$C26,+IF(M$18='5.Variables'!$B$39,+'5.Variables'!$C50,+IF(M$18='5.Variables'!$B$62,+'5.Variables'!$C64,+IF(M$18='5.Variables'!$B$76,+'5.Variables'!$C78,+IF(M$18='5.Variables'!$B$90,+'5.Variables'!$C92,+IF(M$18='5.Variables'!$B$104,+'5.Variables'!$C106,0))))))</f>
        <v>1</v>
      </c>
      <c r="N20" s="725">
        <f>IF(N$18='5.Variables'!$B$16,+'5.Variables'!$C26,+IF(N$18='5.Variables'!$B$39,+'5.Variables'!$C50,+IF(N$18='5.Variables'!$B$62,+'5.Variables'!$C64,+IF(N$18='5.Variables'!$B$76,+'5.Variables'!$C78,+IF(N$18='5.Variables'!$B$90,+'5.Variables'!$C92,+IF(N$18='5.Variables'!$B$104,+'5.Variables'!$C106,0))))))</f>
        <v>1</v>
      </c>
      <c r="O20" s="725">
        <f>IF(O$18='5.Variables'!$B$16,+'5.Variables'!$C26,+IF(O$18='5.Variables'!$B$39,+'5.Variables'!$C50,+IF(O$18='5.Variables'!$B$62,+'5.Variables'!$C64,+IF(O$18='5.Variables'!$B$76,+'5.Variables'!$C78,+IF(O$18='5.Variables'!$B$90,+'5.Variables'!$C92,+IF(O$18='5.Variables'!$B$104,+'5.Variables'!$C106,0))))))</f>
        <v>31</v>
      </c>
      <c r="P20" s="725">
        <f>IF(P$18='5.Variables'!$B$16,+'5.Variables'!$C26,+IF(P$18='5.Variables'!$B$39,+'5.Variables'!$C50,+IF(P$18='5.Variables'!$B$62,+'5.Variables'!$C64,+IF(P$18='5.Variables'!$B$76,+'5.Variables'!$C78,+IF(P$18='5.Variables'!$B$90,+'5.Variables'!$C92,+IF(P$18='5.Variables'!$B$104,+'5.Variables'!$C106,0))))))</f>
        <v>0</v>
      </c>
      <c r="Q20" s="245"/>
      <c r="R20" s="558">
        <f>$V$34+(K20*$V$35)+(L20*$V$36)+(M20*$V$37)+(N20*$V$38)+(O20*$V$39)</f>
        <v>21125664.799616948</v>
      </c>
      <c r="S20" s="264"/>
      <c r="T20" s="245"/>
      <c r="U20" s="549" t="s">
        <v>7</v>
      </c>
      <c r="V20" s="549"/>
      <c r="W20"/>
      <c r="X20"/>
      <c r="Y20"/>
      <c r="Z20"/>
      <c r="AA20"/>
      <c r="AB20"/>
      <c r="AC20"/>
      <c r="AD20" s="261"/>
      <c r="AE20" s="245"/>
      <c r="AF20" s="245"/>
      <c r="AG20" s="245"/>
      <c r="AH20" s="245"/>
      <c r="AI20" s="245"/>
      <c r="AJ20" s="245"/>
      <c r="AK20" s="245"/>
      <c r="AL20" s="245"/>
      <c r="AM20" s="245"/>
    </row>
    <row r="21" spans="1:39" x14ac:dyDescent="0.2">
      <c r="A21" s="503">
        <f>+A20+1</f>
        <v>2</v>
      </c>
      <c r="B21" s="262" t="str">
        <f>CONCATENATE('3. Consumption by Rate Class'!B26,"-",'3. Consumption by Rate Class'!C26)</f>
        <v>2005-February</v>
      </c>
      <c r="C21" s="697">
        <v>19532450.321269371</v>
      </c>
      <c r="D21" s="703">
        <v>-51000</v>
      </c>
      <c r="E21" s="702"/>
      <c r="F21" s="702"/>
      <c r="G21" s="702"/>
      <c r="H21" s="702"/>
      <c r="I21" s="702"/>
      <c r="J21" s="263">
        <f t="shared" ref="J21:J84" si="0">SUM(C21:I21)</f>
        <v>19481450.321269371</v>
      </c>
      <c r="K21" s="725">
        <f>IF(K$18='5.Variables'!$B$16,+'5.Variables'!$D27,+IF(K$18='5.Variables'!$B$39,+'5.Variables'!$D50,+IF(K$18='5.Variables'!$B$62,+'5.Variables'!$D64,+IF(K$18='5.Variables'!$B$76,+'5.Variables'!$D78,+IF(K$18='5.Variables'!$B$90,+'5.Variables'!$D92,+IF(K$18='5.Variables'!$B$104,+'5.Variables'!$D106,0))))))</f>
        <v>700.6</v>
      </c>
      <c r="L21" s="725">
        <f>IF(L$18='5.Variables'!$B$16,+'5.Variables'!$D27,+IF(L$18='5.Variables'!$B$39,+'5.Variables'!$D50,+IF(L$18='5.Variables'!$B$62,+'5.Variables'!$D64,+IF(L$18='5.Variables'!$B$76,+'5.Variables'!$D78,+IF(L$18='5.Variables'!$B$90,+'5.Variables'!$D92,+IF(L$18='5.Variables'!$B$104,+'5.Variables'!$D106,0))))))</f>
        <v>0</v>
      </c>
      <c r="M21" s="725">
        <f>IF(M$18='5.Variables'!$B$16,+'5.Variables'!$D26,+IF(M$18='5.Variables'!$B$39,+'5.Variables'!$D50,+IF(M$18='5.Variables'!$B$62,+'5.Variables'!$D64,+IF(M$18='5.Variables'!$B$76,+'5.Variables'!$D78,+IF(M$18='5.Variables'!$B$90,+'5.Variables'!$D92,+IF(M$18='5.Variables'!$B$104,+'5.Variables'!$D106,0))))))</f>
        <v>1</v>
      </c>
      <c r="N21" s="725">
        <f>IF(N$18='5.Variables'!$B$16,+'5.Variables'!$D26,+IF(N$18='5.Variables'!$B$39,+'5.Variables'!$D50,+IF(N$18='5.Variables'!$B$62,+'5.Variables'!$D64,+IF(N$18='5.Variables'!$B$76,+'5.Variables'!$D78,+IF(N$18='5.Variables'!$B$90,+'5.Variables'!$D92,+IF(N$18='5.Variables'!$B$104,+'5.Variables'!$D106,0))))))</f>
        <v>0</v>
      </c>
      <c r="O21" s="725">
        <f>IF(O$18='5.Variables'!$B$16,+'5.Variables'!$D26,+IF(O$18='5.Variables'!$B$39,+'5.Variables'!$D50,+IF(O$18='5.Variables'!$B$62,+'5.Variables'!$D64,+IF(O$18='5.Variables'!$B$76,+'5.Variables'!$D78,+IF(O$18='5.Variables'!$B$90,+'5.Variables'!$D92,+IF(O$18='5.Variables'!$B$104,+'5.Variables'!$D106,0))))))</f>
        <v>28</v>
      </c>
      <c r="P21" s="725">
        <f>IF(P$18='5.Variables'!$B$16,+'5.Variables'!$D26,+IF(P$18='5.Variables'!$B$39,+'5.Variables'!$D50,+IF(P$18='5.Variables'!$B$62,+'5.Variables'!$D64,+IF(P$18='5.Variables'!$B$76,+'5.Variables'!$D78,+IF(P$18='5.Variables'!$B$90,+'5.Variables'!$D92,+IF(P$18='5.Variables'!$B$104,+'5.Variables'!$D106,0))))))</f>
        <v>0</v>
      </c>
      <c r="Q21" s="245"/>
      <c r="R21" s="558">
        <f t="shared" ref="R21:R84" si="1">$V$34+(K21*$V$35)+(L21*$V$36)+(M21*$V$37)+(N21*$V$38)+(O21*$V$39)</f>
        <v>19554021.902431689</v>
      </c>
      <c r="S21" s="264"/>
      <c r="T21" s="245"/>
      <c r="U21" s="546" t="s">
        <v>8</v>
      </c>
      <c r="V21" s="546">
        <v>0.92186767944268844</v>
      </c>
      <c r="W21"/>
      <c r="X21"/>
      <c r="Y21"/>
      <c r="Z21"/>
      <c r="AA21"/>
      <c r="AB21"/>
      <c r="AC21"/>
      <c r="AD21" s="261"/>
      <c r="AE21" s="245"/>
      <c r="AF21" s="245"/>
      <c r="AG21" s="245"/>
      <c r="AH21" s="245"/>
      <c r="AI21" s="245"/>
      <c r="AJ21" s="245"/>
      <c r="AK21" s="245"/>
      <c r="AL21" s="245"/>
      <c r="AM21" s="245"/>
    </row>
    <row r="22" spans="1:39" x14ac:dyDescent="0.2">
      <c r="A22" s="503">
        <f t="shared" ref="A22:A85" si="2">+A21+1</f>
        <v>3</v>
      </c>
      <c r="B22" s="262" t="str">
        <f>CONCATENATE('3. Consumption by Rate Class'!B27,"-",'3. Consumption by Rate Class'!C27)</f>
        <v>2005-March</v>
      </c>
      <c r="C22" s="697">
        <v>18788975.258694019</v>
      </c>
      <c r="D22" s="703">
        <v>-60600</v>
      </c>
      <c r="E22" s="703"/>
      <c r="F22" s="703"/>
      <c r="G22" s="703"/>
      <c r="H22" s="704"/>
      <c r="I22" s="704"/>
      <c r="J22" s="263">
        <f t="shared" si="0"/>
        <v>18728375.258694019</v>
      </c>
      <c r="K22" s="725">
        <f>IF(K$18='5.Variables'!$B$16,+'5.Variables'!$E27,+IF(K$18='5.Variables'!$B$39,+'5.Variables'!$E50,+IF(K$18='5.Variables'!$B$62,+'5.Variables'!$E64,+IF(K$18='5.Variables'!$B$76,+'5.Variables'!$E78,+IF(K$18='5.Variables'!$B$90,+'5.Variables'!$E92,+IF(K$18='5.Variables'!$B$104,+'5.Variables'!$E106,0))))))</f>
        <v>668.8</v>
      </c>
      <c r="L22" s="725">
        <f>IF(L$18='5.Variables'!$B$16,+'5.Variables'!$E27,+IF(L$18='5.Variables'!$B$39,+'5.Variables'!$E50,+IF(L$18='5.Variables'!$B$62,+'5.Variables'!$E64,+IF(L$18='5.Variables'!$B$76,+'5.Variables'!$E78,+IF(L$18='5.Variables'!$B$90,+'5.Variables'!$E92,+IF(L$18='5.Variables'!$B$104,+'5.Variables'!$E106,0))))))</f>
        <v>0</v>
      </c>
      <c r="M22" s="725">
        <f>IF(M$18='5.Variables'!$B$16,+'5.Variables'!$E26,+IF(M$18='5.Variables'!$B$39,+'5.Variables'!$E50,+IF(M$18='5.Variables'!$B$62,+'5.Variables'!$E64,+IF(M$18='5.Variables'!$B$76,+'5.Variables'!$E78,+IF(M$18='5.Variables'!$B$90,+'5.Variables'!$E92,+IF(M$18='5.Variables'!$B$104,+'5.Variables'!$E106,0))))))</f>
        <v>0</v>
      </c>
      <c r="N22" s="725">
        <f>IF(N$18='5.Variables'!$B$16,+'5.Variables'!$E26,+IF(N$18='5.Variables'!$B$39,+'5.Variables'!$E50,+IF(N$18='5.Variables'!$B$62,+'5.Variables'!$E64,+IF(N$18='5.Variables'!$B$76,+'5.Variables'!$E78,+IF(N$18='5.Variables'!$B$90,+'5.Variables'!$E92,+IF(N$18='5.Variables'!$B$104,+'5.Variables'!$E106,0))))))</f>
        <v>1</v>
      </c>
      <c r="O22" s="725">
        <f>IF(O$18='5.Variables'!$B$16,+'5.Variables'!$E26,+IF(O$18='5.Variables'!$B$39,+'5.Variables'!$E50,+IF(O$18='5.Variables'!$B$62,+'5.Variables'!$E64,+IF(O$18='5.Variables'!$B$76,+'5.Variables'!$E78,+IF(O$18='5.Variables'!$B$90,+'5.Variables'!$E92,+IF(O$18='5.Variables'!$B$104,+'5.Variables'!$E106,0))))))</f>
        <v>31</v>
      </c>
      <c r="P22" s="725">
        <f>IF(P$18='5.Variables'!$B$16,+'5.Variables'!$E26,+IF(P$18='5.Variables'!$B$39,+'5.Variables'!$E50,+IF(P$18='5.Variables'!$B$62,+'5.Variables'!$E64,+IF(P$18='5.Variables'!$B$76,+'5.Variables'!$E78,+IF(P$18='5.Variables'!$B$90,+'5.Variables'!$E92,+IF(P$18='5.Variables'!$B$104,+'5.Variables'!$E106,0))))))</f>
        <v>0</v>
      </c>
      <c r="Q22" s="245"/>
      <c r="R22" s="558">
        <f t="shared" si="1"/>
        <v>17852003.05718052</v>
      </c>
      <c r="S22" s="265"/>
      <c r="T22" s="245"/>
      <c r="U22" s="546" t="s">
        <v>9</v>
      </c>
      <c r="V22" s="546">
        <v>0.84984001840104728</v>
      </c>
      <c r="W22"/>
      <c r="X22"/>
      <c r="Y22"/>
      <c r="Z22"/>
      <c r="AA22"/>
      <c r="AB22"/>
      <c r="AC22"/>
      <c r="AD22" s="261"/>
      <c r="AE22" s="245"/>
      <c r="AF22" s="245"/>
      <c r="AG22" s="245"/>
      <c r="AH22" s="245"/>
      <c r="AI22" s="245"/>
      <c r="AJ22" s="245"/>
      <c r="AK22" s="245"/>
      <c r="AL22" s="245"/>
      <c r="AM22" s="245"/>
    </row>
    <row r="23" spans="1:39" x14ac:dyDescent="0.2">
      <c r="A23" s="503">
        <f t="shared" si="2"/>
        <v>4</v>
      </c>
      <c r="B23" s="262" t="str">
        <f>CONCATENATE('3. Consumption by Rate Class'!B28,"-",'3. Consumption by Rate Class'!C28)</f>
        <v>2005-April</v>
      </c>
      <c r="C23" s="697">
        <v>16627360.577996613</v>
      </c>
      <c r="D23" s="703">
        <v>-36600</v>
      </c>
      <c r="E23" s="703"/>
      <c r="F23" s="703"/>
      <c r="G23" s="703"/>
      <c r="H23" s="704"/>
      <c r="I23" s="704"/>
      <c r="J23" s="263">
        <f t="shared" si="0"/>
        <v>16590760.577996613</v>
      </c>
      <c r="K23" s="725">
        <f>IF(K$18='5.Variables'!$B$16,+'5.Variables'!$F27,+IF(K$18='5.Variables'!$B$39,+'5.Variables'!$F50,+IF(K$18='5.Variables'!$B$62,+'5.Variables'!$F64,+IF(K$18='5.Variables'!$B$76,+'5.Variables'!$F78,+IF(K$18='5.Variables'!$B$90,+'5.Variables'!$F92,+IF(K$18='5.Variables'!$B$104,+'5.Variables'!$F106,0))))))</f>
        <v>324.8</v>
      </c>
      <c r="L23" s="725">
        <f>IF(L$18='5.Variables'!$B$16,+'5.Variables'!$F27,+IF(L$18='5.Variables'!$B$39,+'5.Variables'!$F50,+IF(L$18='5.Variables'!$B$62,+'5.Variables'!$F64,+IF(L$18='5.Variables'!$B$76,+'5.Variables'!$F78,+IF(L$18='5.Variables'!$B$90,+'5.Variables'!$F92,+IF(L$18='5.Variables'!$B$104,+'5.Variables'!$F106,0))))))</f>
        <v>0</v>
      </c>
      <c r="M23" s="725">
        <f>IF(M$18='5.Variables'!$B$16,+'5.Variables'!$F26,+IF(M$18='5.Variables'!$B$39,+'5.Variables'!$F50,+IF(M$18='5.Variables'!$B$62,+'5.Variables'!$F64,+IF(M$18='5.Variables'!$B$76,+'5.Variables'!$F78,+IF(M$18='5.Variables'!$B$90,+'5.Variables'!$F92,+IF(M$18='5.Variables'!$B$104,+'5.Variables'!$F106,0))))))</f>
        <v>0</v>
      </c>
      <c r="N23" s="725">
        <f>IF(N$18='5.Variables'!$B$16,+'5.Variables'!$F26,+IF(N$18='5.Variables'!$B$39,+'5.Variables'!$F50,+IF(N$18='5.Variables'!$B$62,+'5.Variables'!$F64,+IF(N$18='5.Variables'!$B$76,+'5.Variables'!$F78,+IF(N$18='5.Variables'!$B$90,+'5.Variables'!$F92,+IF(N$18='5.Variables'!$B$104,+'5.Variables'!$F106,0))))))</f>
        <v>0</v>
      </c>
      <c r="O23" s="725">
        <f>IF(O$18='5.Variables'!$B$16,+'5.Variables'!$F26,+IF(O$18='5.Variables'!$B$39,+'5.Variables'!$F50,+IF(O$18='5.Variables'!$B$62,+'5.Variables'!$F64,+IF(O$18='5.Variables'!$B$76,+'5.Variables'!$F78,+IF(O$18='5.Variables'!$B$90,+'5.Variables'!$F92,+IF(O$18='5.Variables'!$B$104,+'5.Variables'!$F106,0))))))</f>
        <v>30</v>
      </c>
      <c r="P23" s="725">
        <f>IF(P$18='5.Variables'!$B$16,+'5.Variables'!$F26,+IF(P$18='5.Variables'!$B$39,+'5.Variables'!$F50,+IF(P$18='5.Variables'!$B$62,+'5.Variables'!$F64,+IF(P$18='5.Variables'!$B$76,+'5.Variables'!$F78,+IF(P$18='5.Variables'!$B$90,+'5.Variables'!$F92,+IF(P$18='5.Variables'!$B$104,+'5.Variables'!$F106,0))))))</f>
        <v>0</v>
      </c>
      <c r="Q23" s="245"/>
      <c r="R23" s="558">
        <f t="shared" si="1"/>
        <v>15395641.600425731</v>
      </c>
      <c r="S23" s="265"/>
      <c r="T23" s="245"/>
      <c r="U23" s="546" t="s">
        <v>10</v>
      </c>
      <c r="V23" s="546">
        <v>0.84595657060107432</v>
      </c>
      <c r="W23"/>
      <c r="X23"/>
      <c r="Y23"/>
      <c r="Z23"/>
      <c r="AA23"/>
      <c r="AB23"/>
      <c r="AC23"/>
      <c r="AD23" s="261"/>
      <c r="AE23" s="245"/>
      <c r="AF23" s="245"/>
      <c r="AG23" s="245"/>
      <c r="AH23" s="245"/>
      <c r="AI23" s="245"/>
      <c r="AJ23" s="245"/>
      <c r="AK23" s="245"/>
      <c r="AL23" s="245"/>
      <c r="AM23" s="245"/>
    </row>
    <row r="24" spans="1:39" x14ac:dyDescent="0.2">
      <c r="A24" s="503">
        <f t="shared" si="2"/>
        <v>5</v>
      </c>
      <c r="B24" s="262" t="str">
        <f>CONCATENATE('3. Consumption by Rate Class'!B29,"-",'3. Consumption by Rate Class'!C29)</f>
        <v>2005-May</v>
      </c>
      <c r="C24" s="697">
        <v>15334365.959005743</v>
      </c>
      <c r="D24" s="703">
        <v>-48600</v>
      </c>
      <c r="E24" s="703"/>
      <c r="F24" s="703"/>
      <c r="G24" s="703"/>
      <c r="H24" s="704"/>
      <c r="I24" s="704"/>
      <c r="J24" s="263">
        <f t="shared" si="0"/>
        <v>15285765.959005743</v>
      </c>
      <c r="K24" s="725">
        <f>IF(K$18='5.Variables'!$B$16,+'5.Variables'!$G27,+IF(K$18='5.Variables'!$B$39,+'5.Variables'!$G50,+IF(K$18='5.Variables'!$B$62,+'5.Variables'!$G64,+IF(K$18='5.Variables'!$B$76,+'5.Variables'!$G78,+IF(K$18='5.Variables'!$B$90,+'5.Variables'!$G92,+IF(K$18='5.Variables'!$B$104,+'5.Variables'!$G106,0))))))</f>
        <v>205</v>
      </c>
      <c r="L24" s="725">
        <f>IF(L$18='5.Variables'!$B$16,+'5.Variables'!$G27,+IF(L$18='5.Variables'!$B$39,+'5.Variables'!$G50,+IF(L$18='5.Variables'!$B$62,+'5.Variables'!$G64,+IF(L$18='5.Variables'!$B$76,+'5.Variables'!$G78,+IF(L$18='5.Variables'!$B$90,+'5.Variables'!$G92,+IF(L$18='5.Variables'!$B$104,+'5.Variables'!$G106,0))))))</f>
        <v>1.9</v>
      </c>
      <c r="M24" s="725">
        <f>IF(M$18='5.Variables'!$B$16,+'5.Variables'!$G26,+IF(M$18='5.Variables'!$B$39,+'5.Variables'!$G50,+IF(M$18='5.Variables'!$B$62,+'5.Variables'!$G64,+IF(M$18='5.Variables'!$B$76,+'5.Variables'!$G78,+IF(M$18='5.Variables'!$B$90,+'5.Variables'!$G92,+IF(M$18='5.Variables'!$B$104,+'5.Variables'!$G106,0))))))</f>
        <v>0</v>
      </c>
      <c r="N24" s="725">
        <f>IF(N$18='5.Variables'!$B$16,+'5.Variables'!$G26,+IF(N$18='5.Variables'!$B$39,+'5.Variables'!$G50,+IF(N$18='5.Variables'!$B$62,+'5.Variables'!$G64,+IF(N$18='5.Variables'!$B$76,+'5.Variables'!$G78,+IF(N$18='5.Variables'!$B$90,+'5.Variables'!$G92,+IF(N$18='5.Variables'!$B$104,+'5.Variables'!$G106,0))))))</f>
        <v>0</v>
      </c>
      <c r="O24" s="725">
        <f>IF(O$18='5.Variables'!$B$16,+'5.Variables'!$G26,+IF(O$18='5.Variables'!$B$39,+'5.Variables'!$G50,+IF(O$18='5.Variables'!$B$62,+'5.Variables'!$G64,+IF(O$18='5.Variables'!$B$76,+'5.Variables'!$G78,+IF(O$18='5.Variables'!$B$90,+'5.Variables'!$G92,+IF(O$18='5.Variables'!$B$104,+'5.Variables'!$G106,0))))))</f>
        <v>31</v>
      </c>
      <c r="P24" s="725">
        <f>IF(P$18='5.Variables'!$B$16,+'5.Variables'!$G26,+IF(P$18='5.Variables'!$B$39,+'5.Variables'!$G50,+IF(P$18='5.Variables'!$B$62,+'5.Variables'!$G64,+IF(P$18='5.Variables'!$B$76,+'5.Variables'!$G78,+IF(P$18='5.Variables'!$B$90,+'5.Variables'!$G92,+IF(P$18='5.Variables'!$B$104,+'5.Variables'!$G106,0))))))</f>
        <v>0</v>
      </c>
      <c r="Q24" s="245"/>
      <c r="R24" s="558">
        <f t="shared" si="1"/>
        <v>14592482.368245671</v>
      </c>
      <c r="S24" s="265"/>
      <c r="T24" s="245"/>
      <c r="U24" s="546" t="s">
        <v>11</v>
      </c>
      <c r="V24" s="546">
        <v>932292.42564790917</v>
      </c>
      <c r="W24"/>
      <c r="X24"/>
      <c r="Y24"/>
      <c r="Z24"/>
      <c r="AA24"/>
      <c r="AB24"/>
      <c r="AC24"/>
      <c r="AD24" s="261"/>
      <c r="AE24" s="245"/>
      <c r="AF24" s="245"/>
      <c r="AG24" s="245"/>
      <c r="AH24" s="245"/>
      <c r="AI24" s="245"/>
      <c r="AJ24" s="245"/>
      <c r="AK24" s="245"/>
      <c r="AL24" s="245"/>
      <c r="AM24" s="245"/>
    </row>
    <row r="25" spans="1:39" ht="13.5" thickBot="1" x14ac:dyDescent="0.25">
      <c r="A25" s="503">
        <f t="shared" si="2"/>
        <v>6</v>
      </c>
      <c r="B25" s="262" t="str">
        <f>CONCATENATE('3. Consumption by Rate Class'!B30,"-",'3. Consumption by Rate Class'!C30)</f>
        <v>2005-June</v>
      </c>
      <c r="C25" s="697">
        <v>17387211.672388487</v>
      </c>
      <c r="D25" s="703">
        <v>-60600</v>
      </c>
      <c r="E25" s="703"/>
      <c r="F25" s="703"/>
      <c r="G25" s="703"/>
      <c r="H25" s="704"/>
      <c r="I25" s="704"/>
      <c r="J25" s="263">
        <f t="shared" si="0"/>
        <v>17326611.672388487</v>
      </c>
      <c r="K25" s="725">
        <f>IF(K$18='5.Variables'!$B$16,+'5.Variables'!$H27,+IF(K$18='5.Variables'!$B$39,+'5.Variables'!$H50,+IF(K$18='5.Variables'!$B$62,+'5.Variables'!$H64,+IF(K$18='5.Variables'!$B$76,+'5.Variables'!$H78,+IF(K$18='5.Variables'!$B$90,+'5.Variables'!$H92,+IF(K$18='5.Variables'!$B$104,+'5.Variables'!$H106,0))))))</f>
        <v>16.100000000000001</v>
      </c>
      <c r="L25" s="725">
        <f>IF(L$18='5.Variables'!$B$16,+'5.Variables'!$H27,+IF(L$18='5.Variables'!$B$39,+'5.Variables'!$H50,+IF(L$18='5.Variables'!$B$62,+'5.Variables'!$H64,+IF(L$18='5.Variables'!$B$76,+'5.Variables'!$H78,+IF(L$18='5.Variables'!$B$90,+'5.Variables'!$H92,+IF(L$18='5.Variables'!$B$104,+'5.Variables'!$H106,0))))))</f>
        <v>111.6</v>
      </c>
      <c r="M25" s="725">
        <f>IF(M$18='5.Variables'!$B$16,+'5.Variables'!$H26,+IF(M$18='5.Variables'!$B$39,+'5.Variables'!$H50,+IF(M$18='5.Variables'!$B$62,+'5.Variables'!$H64,+IF(M$18='5.Variables'!$B$76,+'5.Variables'!$H78,+IF(M$18='5.Variables'!$B$90,+'5.Variables'!$H92,+IF(M$18='5.Variables'!$B$104,+'5.Variables'!$H106,0))))))</f>
        <v>0</v>
      </c>
      <c r="N25" s="725">
        <f>IF(N$18='5.Variables'!$B$16,+'5.Variables'!$H26,+IF(N$18='5.Variables'!$B$39,+'5.Variables'!$H50,+IF(N$18='5.Variables'!$B$62,+'5.Variables'!$H64,+IF(N$18='5.Variables'!$B$76,+'5.Variables'!$H78,+IF(N$18='5.Variables'!$B$90,+'5.Variables'!$H92,+IF(N$18='5.Variables'!$B$104,+'5.Variables'!$H106,0))))))</f>
        <v>0</v>
      </c>
      <c r="O25" s="725">
        <f>IF(O$18='5.Variables'!$B$16,+'5.Variables'!$H26,+IF(O$18='5.Variables'!$B$39,+'5.Variables'!$H50,+IF(O$18='5.Variables'!$B$62,+'5.Variables'!$H64,+IF(O$18='5.Variables'!$B$76,+'5.Variables'!$H78,+IF(O$18='5.Variables'!$B$90,+'5.Variables'!$H92,+IF(O$18='5.Variables'!$B$104,+'5.Variables'!$H106,0))))))</f>
        <v>30</v>
      </c>
      <c r="P25" s="725">
        <f>IF(P$18='5.Variables'!$B$16,+'5.Variables'!$H26,+IF(P$18='5.Variables'!$B$39,+'5.Variables'!$H50,+IF(P$18='5.Variables'!$B$62,+'5.Variables'!$H64,+IF(P$18='5.Variables'!$B$76,+'5.Variables'!$H78,+IF(P$18='5.Variables'!$B$90,+'5.Variables'!$H92,+IF(P$18='5.Variables'!$B$104,+'5.Variables'!$H106,0))))))</f>
        <v>0</v>
      </c>
      <c r="Q25" s="245"/>
      <c r="R25" s="558">
        <f t="shared" si="1"/>
        <v>16262276.803653397</v>
      </c>
      <c r="S25" s="265"/>
      <c r="T25" s="245"/>
      <c r="U25" s="547" t="s">
        <v>12</v>
      </c>
      <c r="V25" s="547">
        <v>120</v>
      </c>
      <c r="W25"/>
      <c r="X25"/>
      <c r="Y25"/>
      <c r="Z25"/>
      <c r="AA25"/>
      <c r="AB25"/>
      <c r="AC25"/>
      <c r="AD25" s="261"/>
      <c r="AE25" s="245"/>
      <c r="AF25" s="245"/>
      <c r="AG25" s="245"/>
      <c r="AH25" s="245"/>
      <c r="AI25" s="245"/>
      <c r="AJ25" s="245"/>
      <c r="AK25" s="245"/>
      <c r="AL25" s="245"/>
      <c r="AM25" s="245"/>
    </row>
    <row r="26" spans="1:39" x14ac:dyDescent="0.2">
      <c r="A26" s="503">
        <f t="shared" si="2"/>
        <v>7</v>
      </c>
      <c r="B26" s="262" t="str">
        <f>CONCATENATE('3. Consumption by Rate Class'!B31,"-",'3. Consumption by Rate Class'!C31)</f>
        <v>2005-July</v>
      </c>
      <c r="C26" s="697">
        <v>16573581.857891716</v>
      </c>
      <c r="D26" s="703">
        <v>-20400</v>
      </c>
      <c r="E26" s="703"/>
      <c r="F26" s="703"/>
      <c r="G26" s="703"/>
      <c r="H26" s="704"/>
      <c r="I26" s="704"/>
      <c r="J26" s="263">
        <f t="shared" si="0"/>
        <v>16553181.857891716</v>
      </c>
      <c r="K26" s="725">
        <f>IF(K$18='5.Variables'!$B$16,+'5.Variables'!$I27,+IF(K$18='5.Variables'!$B$39,+'5.Variables'!$I50,+IF(K$18='5.Variables'!$B$62,+'5.Variables'!$I64,+IF(K$18='5.Variables'!$B$76,+'5.Variables'!$I78,+IF(K$18='5.Variables'!$B$90,+'5.Variables'!$I92,+IF(K$18='5.Variables'!$B$104,+'5.Variables'!$I106,0))))))</f>
        <v>2.9</v>
      </c>
      <c r="L26" s="725">
        <f>IF(L$18='5.Variables'!$B$16,+'5.Variables'!$I27,+IF(L$18='5.Variables'!$B$39,+'5.Variables'!$I50,+IF(L$18='5.Variables'!$B$62,+'5.Variables'!$I64,+IF(L$18='5.Variables'!$B$76,+'5.Variables'!$I78,+IF(L$18='5.Variables'!$B$90,+'5.Variables'!$I92,+IF(L$18='5.Variables'!$B$104,+'5.Variables'!$I106,0))))))</f>
        <v>128.6</v>
      </c>
      <c r="M26" s="725">
        <f>IF(M$18='5.Variables'!$B$16,+'5.Variables'!$I26,+IF(M$18='5.Variables'!$B$39,+'5.Variables'!$I50,+IF(M$18='5.Variables'!$B$62,+'5.Variables'!$I64,+IF(M$18='5.Variables'!$B$76,+'5.Variables'!$I78,+IF(M$18='5.Variables'!$B$90,+'5.Variables'!$I92,+IF(M$18='5.Variables'!$B$104,+'5.Variables'!$I106,0))))))</f>
        <v>0</v>
      </c>
      <c r="N26" s="725">
        <f>IF(N$18='5.Variables'!$B$16,+'5.Variables'!$I26,+IF(N$18='5.Variables'!$B$39,+'5.Variables'!$I50,+IF(N$18='5.Variables'!$B$62,+'5.Variables'!$I64,+IF(N$18='5.Variables'!$B$76,+'5.Variables'!$I78,+IF(N$18='5.Variables'!$B$90,+'5.Variables'!$I92,+IF(N$18='5.Variables'!$B$104,+'5.Variables'!$I106,0))))))</f>
        <v>1</v>
      </c>
      <c r="O26" s="725">
        <f>IF(O$18='5.Variables'!$B$16,+'5.Variables'!$I26,+IF(O$18='5.Variables'!$B$39,+'5.Variables'!$I50,+IF(O$18='5.Variables'!$B$62,+'5.Variables'!$I64,+IF(O$18='5.Variables'!$B$76,+'5.Variables'!$I78,+IF(O$18='5.Variables'!$B$90,+'5.Variables'!$I92,+IF(O$18='5.Variables'!$B$104,+'5.Variables'!$I106,0))))))</f>
        <v>31</v>
      </c>
      <c r="P26" s="725">
        <f>IF(P$18='5.Variables'!$B$16,+'5.Variables'!$I26,+IF(P$18='5.Variables'!$B$39,+'5.Variables'!$I50,+IF(P$18='5.Variables'!$B$62,+'5.Variables'!$I64,+IF(P$18='5.Variables'!$B$76,+'5.Variables'!$I78,+IF(P$18='5.Variables'!$B$90,+'5.Variables'!$I92,+IF(P$18='5.Variables'!$B$104,+'5.Variables'!$I106,0))))))</f>
        <v>0</v>
      </c>
      <c r="Q26" s="245"/>
      <c r="R26" s="558">
        <f t="shared" si="1"/>
        <v>16635815.677127084</v>
      </c>
      <c r="S26" s="265"/>
      <c r="T26" s="245"/>
      <c r="U26"/>
      <c r="V26"/>
      <c r="W26"/>
      <c r="X26"/>
      <c r="Y26"/>
      <c r="Z26"/>
      <c r="AA26"/>
      <c r="AB26"/>
      <c r="AC26"/>
      <c r="AD26" s="261"/>
      <c r="AE26" s="245"/>
      <c r="AF26" s="245"/>
      <c r="AG26" s="245"/>
      <c r="AH26" s="245"/>
      <c r="AI26" s="245"/>
      <c r="AJ26" s="245"/>
      <c r="AK26" s="245"/>
      <c r="AL26" s="245"/>
      <c r="AM26" s="245"/>
    </row>
    <row r="27" spans="1:39" ht="13.5" thickBot="1" x14ac:dyDescent="0.25">
      <c r="A27" s="503">
        <f t="shared" si="2"/>
        <v>8</v>
      </c>
      <c r="B27" s="262" t="str">
        <f>CONCATENATE('3. Consumption by Rate Class'!B32,"-",'3. Consumption by Rate Class'!C32)</f>
        <v>2005-August</v>
      </c>
      <c r="C27" s="697">
        <v>15704074.029739005</v>
      </c>
      <c r="D27" s="703">
        <v>-67800</v>
      </c>
      <c r="E27" s="703"/>
      <c r="F27" s="703"/>
      <c r="G27" s="703"/>
      <c r="H27" s="704"/>
      <c r="I27" s="704"/>
      <c r="J27" s="263">
        <f t="shared" si="0"/>
        <v>15636274.029739005</v>
      </c>
      <c r="K27" s="725">
        <f>IF(K$18='5.Variables'!$B$16,+'5.Variables'!$J27,+IF(K$18='5.Variables'!$B$39,+'5.Variables'!$J50,+IF(K$18='5.Variables'!$B$62,+'5.Variables'!$J64,+IF(K$18='5.Variables'!$B$76,+'5.Variables'!$J78,+IF(K$18='5.Variables'!$B$90,+'5.Variables'!$J92,+IF(K$18='5.Variables'!$B$104,+'5.Variables'!$J106,0))))))</f>
        <v>8.4</v>
      </c>
      <c r="L27" s="725">
        <f>IF(L$18='5.Variables'!$B$16,+'5.Variables'!$J27,+IF(L$18='5.Variables'!$B$39,+'5.Variables'!$J50,+IF(L$18='5.Variables'!$B$62,+'5.Variables'!$J64,+IF(L$18='5.Variables'!$B$76,+'5.Variables'!$J78,+IF(L$18='5.Variables'!$B$90,+'5.Variables'!$J92,+IF(L$18='5.Variables'!$B$104,+'5.Variables'!$J106,0))))))</f>
        <v>115.4</v>
      </c>
      <c r="M27" s="725">
        <f>IF(M$18='5.Variables'!$B$16,+'5.Variables'!$J26,+IF(M$18='5.Variables'!$B$39,+'5.Variables'!$J50,+IF(M$18='5.Variables'!$B$62,+'5.Variables'!$J64,+IF(M$18='5.Variables'!$B$76,+'5.Variables'!$J78,+IF(M$18='5.Variables'!$B$90,+'5.Variables'!$J92,+IF(M$18='5.Variables'!$B$104,+'5.Variables'!$J106,0))))))</f>
        <v>0</v>
      </c>
      <c r="N27" s="725">
        <f>IF(N$18='5.Variables'!$B$16,+'5.Variables'!$J26,+IF(N$18='5.Variables'!$B$39,+'5.Variables'!$J50,+IF(N$18='5.Variables'!$B$62,+'5.Variables'!$J64,+IF(N$18='5.Variables'!$B$76,+'5.Variables'!$J78,+IF(N$18='5.Variables'!$B$90,+'5.Variables'!$J92,+IF(N$18='5.Variables'!$B$104,+'5.Variables'!$J106,0))))))</f>
        <v>0</v>
      </c>
      <c r="O27" s="725">
        <f>IF(O$18='5.Variables'!$B$16,+'5.Variables'!$J26,+IF(O$18='5.Variables'!$B$39,+'5.Variables'!$J50,+IF(O$18='5.Variables'!$B$62,+'5.Variables'!$J64,+IF(O$18='5.Variables'!$B$76,+'5.Variables'!$J78,+IF(O$18='5.Variables'!$B$90,+'5.Variables'!$J92,+IF(O$18='5.Variables'!$B$104,+'5.Variables'!$J106,0))))))</f>
        <v>31</v>
      </c>
      <c r="P27" s="725">
        <f>IF(P$18='5.Variables'!$B$16,+'5.Variables'!$J26,+IF(P$18='5.Variables'!$B$39,+'5.Variables'!$J50,+IF(P$18='5.Variables'!$B$62,+'5.Variables'!$J64,+IF(P$18='5.Variables'!$B$76,+'5.Variables'!$J78,+IF(P$18='5.Variables'!$B$90,+'5.Variables'!$J92,+IF(P$18='5.Variables'!$B$104,+'5.Variables'!$J106,0))))))</f>
        <v>0</v>
      </c>
      <c r="Q27" s="245"/>
      <c r="R27" s="558">
        <f t="shared" si="1"/>
        <v>16311860.14691373</v>
      </c>
      <c r="S27" s="265"/>
      <c r="T27" s="245"/>
      <c r="U27" t="s">
        <v>13</v>
      </c>
      <c r="V27"/>
      <c r="W27"/>
      <c r="X27"/>
      <c r="Y27"/>
      <c r="Z27"/>
      <c r="AA27"/>
      <c r="AB27"/>
      <c r="AC27"/>
      <c r="AD27" s="261"/>
      <c r="AE27" s="245"/>
      <c r="AF27" s="245"/>
      <c r="AG27" s="245"/>
      <c r="AH27" s="245"/>
      <c r="AI27" s="245"/>
      <c r="AJ27" s="245"/>
      <c r="AK27" s="245"/>
      <c r="AL27" s="245"/>
      <c r="AM27" s="245"/>
    </row>
    <row r="28" spans="1:39" x14ac:dyDescent="0.2">
      <c r="A28" s="503">
        <f t="shared" si="2"/>
        <v>9</v>
      </c>
      <c r="B28" s="262" t="str">
        <f>CONCATENATE('3. Consumption by Rate Class'!B33,"-",'3. Consumption by Rate Class'!C33)</f>
        <v>2005-September</v>
      </c>
      <c r="C28" s="697">
        <v>15074613.851820258</v>
      </c>
      <c r="D28" s="703">
        <v>-58200</v>
      </c>
      <c r="E28" s="703"/>
      <c r="F28" s="703"/>
      <c r="G28" s="703"/>
      <c r="H28" s="704"/>
      <c r="I28" s="704"/>
      <c r="J28" s="263">
        <f t="shared" si="0"/>
        <v>15016413.851820258</v>
      </c>
      <c r="K28" s="725">
        <f>IF(K$18='5.Variables'!$B$16,+'5.Variables'!$K27,+IF(K$18='5.Variables'!$B$39,+'5.Variables'!$K50,+IF(K$18='5.Variables'!$B$62,+'5.Variables'!$K64,+IF(K$18='5.Variables'!$B$76,+'5.Variables'!$K78,+IF(K$18='5.Variables'!$B$90,+'5.Variables'!$K92,+IF(K$18='5.Variables'!$B$104,+'5.Variables'!$K106,0))))))</f>
        <v>59.2</v>
      </c>
      <c r="L28" s="725">
        <f>IF(L$18='5.Variables'!$B$16,+'5.Variables'!$K27,+IF(L$18='5.Variables'!$B$39,+'5.Variables'!$K50,+IF(L$18='5.Variables'!$B$62,+'5.Variables'!$K64,+IF(L$18='5.Variables'!$B$76,+'5.Variables'!$K78,+IF(L$18='5.Variables'!$B$90,+'5.Variables'!$K92,+IF(L$18='5.Variables'!$B$104,+'5.Variables'!$K106,0))))))</f>
        <v>33.1</v>
      </c>
      <c r="M28" s="725">
        <f>IF(M$18='5.Variables'!$B$16,+'5.Variables'!$K26,+IF(M$18='5.Variables'!$B$39,+'5.Variables'!$K50,+IF(M$18='5.Variables'!$B$62,+'5.Variables'!$K64,+IF(M$18='5.Variables'!$B$76,+'5.Variables'!$K78,+IF(M$18='5.Variables'!$B$90,+'5.Variables'!$K92,+IF(M$18='5.Variables'!$B$104,+'5.Variables'!$K106,0))))))</f>
        <v>0</v>
      </c>
      <c r="N28" s="725">
        <f>IF(N$18='5.Variables'!$B$16,+'5.Variables'!$K26,+IF(N$18='5.Variables'!$B$39,+'5.Variables'!$K50,+IF(N$18='5.Variables'!$B$62,+'5.Variables'!$K64,+IF(N$18='5.Variables'!$B$76,+'5.Variables'!$K78,+IF(N$18='5.Variables'!$B$90,+'5.Variables'!$K92,+IF(N$18='5.Variables'!$B$104,+'5.Variables'!$K106,0))))))</f>
        <v>0</v>
      </c>
      <c r="O28" s="725">
        <f>IF(O$18='5.Variables'!$B$16,+'5.Variables'!$K26,+IF(O$18='5.Variables'!$B$39,+'5.Variables'!$K50,+IF(O$18='5.Variables'!$B$62,+'5.Variables'!$K64,+IF(O$18='5.Variables'!$B$76,+'5.Variables'!$K78,+IF(O$18='5.Variables'!$B$90,+'5.Variables'!$K92,+IF(O$18='5.Variables'!$B$104,+'5.Variables'!$K106,0))))))</f>
        <v>30</v>
      </c>
      <c r="P28" s="725">
        <f>IF(P$18='5.Variables'!$B$16,+'5.Variables'!$K26,+IF(P$18='5.Variables'!$B$39,+'5.Variables'!$K50,+IF(P$18='5.Variables'!$B$62,+'5.Variables'!$K64,+IF(P$18='5.Variables'!$B$76,+'5.Variables'!$K78,+IF(P$18='5.Variables'!$B$90,+'5.Variables'!$K92,+IF(P$18='5.Variables'!$B$104,+'5.Variables'!$K106,0))))))</f>
        <v>0</v>
      </c>
      <c r="Q28" s="245"/>
      <c r="R28" s="558">
        <f t="shared" si="1"/>
        <v>14409925.667981625</v>
      </c>
      <c r="S28" s="265"/>
      <c r="T28" s="245"/>
      <c r="U28" s="548"/>
      <c r="V28" s="548" t="s">
        <v>18</v>
      </c>
      <c r="W28" s="548" t="s">
        <v>19</v>
      </c>
      <c r="X28" s="548" t="s">
        <v>20</v>
      </c>
      <c r="Y28" s="548" t="s">
        <v>21</v>
      </c>
      <c r="Z28" s="548" t="s">
        <v>22</v>
      </c>
      <c r="AA28"/>
      <c r="AB28"/>
      <c r="AC28"/>
      <c r="AD28" s="261"/>
      <c r="AE28" s="245"/>
      <c r="AF28" s="245"/>
      <c r="AG28" s="245"/>
      <c r="AH28" s="245"/>
      <c r="AI28" s="245"/>
      <c r="AJ28" s="245"/>
      <c r="AK28" s="245"/>
      <c r="AL28" s="245"/>
      <c r="AM28" s="245"/>
    </row>
    <row r="29" spans="1:39" x14ac:dyDescent="0.2">
      <c r="A29" s="503">
        <f t="shared" si="2"/>
        <v>10</v>
      </c>
      <c r="B29" s="262" t="str">
        <f>CONCATENATE('3. Consumption by Rate Class'!B34,"-",'3. Consumption by Rate Class'!C34)</f>
        <v>2005-October</v>
      </c>
      <c r="C29" s="697">
        <v>14827971.713964712</v>
      </c>
      <c r="D29" s="703">
        <v>-56400</v>
      </c>
      <c r="E29" s="703"/>
      <c r="F29" s="703"/>
      <c r="G29" s="703"/>
      <c r="H29" s="704"/>
      <c r="I29" s="704"/>
      <c r="J29" s="263">
        <f t="shared" si="0"/>
        <v>14771571.713964712</v>
      </c>
      <c r="K29" s="725">
        <f>IF(K$18='5.Variables'!$B$16,+'5.Variables'!$L27,+IF(K$18='5.Variables'!$B$39,+'5.Variables'!$L50,+IF(K$18='5.Variables'!$B$62,+'5.Variables'!$L64,+IF(K$18='5.Variables'!$B$76,+'5.Variables'!$L78,+IF(K$18='5.Variables'!$B$90,+'5.Variables'!$L92,+IF(K$18='5.Variables'!$B$104,+'5.Variables'!$L106,0))))))</f>
        <v>269.7</v>
      </c>
      <c r="L29" s="725">
        <f>IF(L$18='5.Variables'!$B$16,+'5.Variables'!$L27,+IF(L$18='5.Variables'!$B$39,+'5.Variables'!$L50,+IF(L$18='5.Variables'!$B$62,+'5.Variables'!$L64,+IF(L$18='5.Variables'!$B$76,+'5.Variables'!$L78,+IF(L$18='5.Variables'!$B$90,+'5.Variables'!$L92,+IF(L$18='5.Variables'!$B$104,+'5.Variables'!$L106,0))))))</f>
        <v>6.4</v>
      </c>
      <c r="M29" s="725">
        <f>IF(M$18='5.Variables'!$B$16,+'5.Variables'!$L26,+IF(M$18='5.Variables'!$B$39,+'5.Variables'!$L50,+IF(M$18='5.Variables'!$B$62,+'5.Variables'!$L64,+IF(M$18='5.Variables'!$B$76,+'5.Variables'!$L78,+IF(M$18='5.Variables'!$B$90,+'5.Variables'!$L92,+IF(M$18='5.Variables'!$B$104,+'5.Variables'!$L106,0))))))</f>
        <v>0</v>
      </c>
      <c r="N29" s="725">
        <f>IF(N$18='5.Variables'!$B$16,+'5.Variables'!$L26,+IF(N$18='5.Variables'!$B$39,+'5.Variables'!$L50,+IF(N$18='5.Variables'!$B$62,+'5.Variables'!$L64,+IF(N$18='5.Variables'!$B$76,+'5.Variables'!$L78,+IF(N$18='5.Variables'!$B$90,+'5.Variables'!$L92,+IF(N$18='5.Variables'!$B$104,+'5.Variables'!$L106,0))))))</f>
        <v>0</v>
      </c>
      <c r="O29" s="725">
        <f>IF(O$18='5.Variables'!$B$16,+'5.Variables'!$L26,+IF(O$18='5.Variables'!$B$39,+'5.Variables'!$L50,+IF(O$18='5.Variables'!$B$62,+'5.Variables'!$L64,+IF(O$18='5.Variables'!$B$76,+'5.Variables'!$L78,+IF(O$18='5.Variables'!$B$90,+'5.Variables'!$L92,+IF(O$18='5.Variables'!$B$104,+'5.Variables'!$L106,0))))))</f>
        <v>31</v>
      </c>
      <c r="P29" s="725">
        <f>IF(P$18='5.Variables'!$B$16,+'5.Variables'!$L26,+IF(P$18='5.Variables'!$B$39,+'5.Variables'!$L50,+IF(P$18='5.Variables'!$B$62,+'5.Variables'!$L64,+IF(P$18='5.Variables'!$B$76,+'5.Variables'!$L78,+IF(P$18='5.Variables'!$B$90,+'5.Variables'!$L92,+IF(P$18='5.Variables'!$B$104,+'5.Variables'!$L106,0))))))</f>
        <v>0</v>
      </c>
      <c r="Q29" s="245"/>
      <c r="R29" s="558">
        <f t="shared" si="1"/>
        <v>15178306.24186966</v>
      </c>
      <c r="S29" s="265"/>
      <c r="T29" s="245"/>
      <c r="U29" s="546" t="s">
        <v>14</v>
      </c>
      <c r="V29" s="546">
        <v>3</v>
      </c>
      <c r="W29" s="546">
        <v>570617743965396</v>
      </c>
      <c r="X29" s="546">
        <v>190205914655132</v>
      </c>
      <c r="Y29" s="546">
        <v>218.83647268465259</v>
      </c>
      <c r="Z29" s="546">
        <v>1.3881052297968255E-47</v>
      </c>
      <c r="AA29"/>
      <c r="AB29"/>
      <c r="AC29"/>
      <c r="AD29" s="261"/>
      <c r="AE29" s="245"/>
      <c r="AF29" s="245"/>
      <c r="AG29" s="245"/>
      <c r="AH29" s="245"/>
      <c r="AI29" s="245"/>
      <c r="AJ29" s="245"/>
      <c r="AK29" s="245"/>
      <c r="AL29" s="245"/>
      <c r="AM29" s="245"/>
    </row>
    <row r="30" spans="1:39" x14ac:dyDescent="0.2">
      <c r="A30" s="503">
        <f t="shared" si="2"/>
        <v>11</v>
      </c>
      <c r="B30" s="262" t="str">
        <f>CONCATENATE('3. Consumption by Rate Class'!B35,"-",'3. Consumption by Rate Class'!C35)</f>
        <v>2005-November</v>
      </c>
      <c r="C30" s="697">
        <v>16770749.158282166</v>
      </c>
      <c r="D30" s="703">
        <v>-62400</v>
      </c>
      <c r="E30" s="703"/>
      <c r="F30" s="703"/>
      <c r="G30" s="703"/>
      <c r="H30" s="704"/>
      <c r="I30" s="704"/>
      <c r="J30" s="263">
        <f t="shared" si="0"/>
        <v>16708349.158282166</v>
      </c>
      <c r="K30" s="725">
        <f>IF(K$18='5.Variables'!$B$16,+'5.Variables'!$M27,+IF(K$18='5.Variables'!$B$39,+'5.Variables'!$M50,+IF(K$18='5.Variables'!$B$62,+'5.Variables'!$M64,+IF(K$18='5.Variables'!$B$76,+'5.Variables'!$M78,+IF(K$18='5.Variables'!$B$90,+'5.Variables'!$M92,+IF(K$18='5.Variables'!$B$104,+'5.Variables'!$M106,0))))))</f>
        <v>484.2</v>
      </c>
      <c r="L30" s="725">
        <f>IF(L$18='5.Variables'!$B$16,+'5.Variables'!$M27,+IF(L$18='5.Variables'!$B$39,+'5.Variables'!$M50,+IF(L$18='5.Variables'!$B$62,+'5.Variables'!$M64,+IF(L$18='5.Variables'!$B$76,+'5.Variables'!$M78,+IF(L$18='5.Variables'!$B$90,+'5.Variables'!$M92,+IF(L$18='5.Variables'!$B$104,+'5.Variables'!$M106,0))))))</f>
        <v>0</v>
      </c>
      <c r="M30" s="725">
        <f>IF(M$18='5.Variables'!$B$16,+'5.Variables'!$M26,+IF(M$18='5.Variables'!$B$39,+'5.Variables'!$M50,+IF(M$18='5.Variables'!$B$62,+'5.Variables'!$M64,+IF(M$18='5.Variables'!$B$76,+'5.Variables'!$M78,+IF(M$18='5.Variables'!$B$90,+'5.Variables'!$M92,+IF(M$18='5.Variables'!$B$104,+'5.Variables'!$M106,0))))))</f>
        <v>0</v>
      </c>
      <c r="N30" s="725">
        <f>IF(N$18='5.Variables'!$B$16,+'5.Variables'!$M26,+IF(N$18='5.Variables'!$B$39,+'5.Variables'!$M50,+IF(N$18='5.Variables'!$B$62,+'5.Variables'!$M64,+IF(N$18='5.Variables'!$B$76,+'5.Variables'!$M78,+IF(N$18='5.Variables'!$B$90,+'5.Variables'!$M92,+IF(N$18='5.Variables'!$B$104,+'5.Variables'!$M106,0))))))</f>
        <v>0</v>
      </c>
      <c r="O30" s="725">
        <f>IF(O$18='5.Variables'!$B$16,+'5.Variables'!$M26,+IF(O$18='5.Variables'!$B$39,+'5.Variables'!$M50,+IF(O$18='5.Variables'!$B$62,+'5.Variables'!$M64,+IF(O$18='5.Variables'!$B$76,+'5.Variables'!$M78,+IF(O$18='5.Variables'!$B$90,+'5.Variables'!$M92,+IF(O$18='5.Variables'!$B$104,+'5.Variables'!$M106,0))))))</f>
        <v>30</v>
      </c>
      <c r="P30" s="725">
        <f>IF(P$18='5.Variables'!$B$16,+'5.Variables'!$M26,+IF(P$18='5.Variables'!$B$39,+'5.Variables'!$M50,+IF(P$18='5.Variables'!$B$62,+'5.Variables'!$M64,+IF(P$18='5.Variables'!$B$76,+'5.Variables'!$M78,+IF(P$18='5.Variables'!$B$90,+'5.Variables'!$M92,+IF(P$18='5.Variables'!$B$104,+'5.Variables'!$M106,0))))))</f>
        <v>0</v>
      </c>
      <c r="Q30" s="245"/>
      <c r="R30" s="558">
        <f t="shared" si="1"/>
        <v>16533850.949863851</v>
      </c>
      <c r="S30" s="265"/>
      <c r="T30" s="245"/>
      <c r="U30" s="546" t="s">
        <v>15</v>
      </c>
      <c r="V30" s="546">
        <v>116</v>
      </c>
      <c r="W30" s="546">
        <v>100823623362773.62</v>
      </c>
      <c r="X30" s="546">
        <v>869169166920.46228</v>
      </c>
      <c r="Y30" s="546"/>
      <c r="Z30" s="546"/>
      <c r="AA30"/>
      <c r="AB30"/>
      <c r="AC30"/>
      <c r="AD30" s="261"/>
      <c r="AE30" s="245"/>
      <c r="AF30" s="245"/>
      <c r="AG30" s="245"/>
      <c r="AH30" s="245"/>
      <c r="AI30" s="245"/>
      <c r="AJ30" s="245"/>
      <c r="AK30" s="245"/>
      <c r="AL30" s="245"/>
      <c r="AM30" s="245"/>
    </row>
    <row r="31" spans="1:39" ht="13.5" thickBot="1" x14ac:dyDescent="0.25">
      <c r="A31" s="503">
        <f t="shared" si="2"/>
        <v>12</v>
      </c>
      <c r="B31" s="522" t="str">
        <f>CONCATENATE('3. Consumption by Rate Class'!B36,"-",'3. Consumption by Rate Class'!C36)</f>
        <v>2005-December</v>
      </c>
      <c r="C31" s="698">
        <v>20488551.590970002</v>
      </c>
      <c r="D31" s="705">
        <v>-51000</v>
      </c>
      <c r="E31" s="705"/>
      <c r="F31" s="705"/>
      <c r="G31" s="705"/>
      <c r="H31" s="706"/>
      <c r="I31" s="706"/>
      <c r="J31" s="263">
        <f t="shared" si="0"/>
        <v>20437551.590970002</v>
      </c>
      <c r="K31" s="725">
        <f>IF(K$18='5.Variables'!$B$16,+'5.Variables'!$N27,+IF(K$18='5.Variables'!$B$39,+'5.Variables'!$N50,+IF(K$18='5.Variables'!$B$62,+'5.Variables'!$N64,+IF(K$18='5.Variables'!$B$76,+'5.Variables'!$N78,+IF(K$18='5.Variables'!$B$90,+'5.Variables'!$N92,+IF(K$18='5.Variables'!$B$104,+'5.Variables'!$N106,0))))))</f>
        <v>762</v>
      </c>
      <c r="L31" s="725">
        <f>IF(L$18='5.Variables'!$B$16,+'5.Variables'!$N27,+IF(L$18='5.Variables'!$B$39,+'5.Variables'!$N50,+IF(L$18='5.Variables'!$B$62,+'5.Variables'!$N64,+IF(L$18='5.Variables'!$B$76,+'5.Variables'!$N78,+IF(L$18='5.Variables'!$B$90,+'5.Variables'!$N92,+IF(L$18='5.Variables'!$B$104,+'5.Variables'!$N106,0))))))</f>
        <v>0</v>
      </c>
      <c r="M31" s="725">
        <f>IF(M$18='5.Variables'!$B$16,+'5.Variables'!$N26,+IF(M$18='5.Variables'!$B$39,+'5.Variables'!$N50,+IF(M$18='5.Variables'!$B$62,+'5.Variables'!$N64,+IF(M$18='5.Variables'!$B$76,+'5.Variables'!$N78,+IF(M$18='5.Variables'!$B$90,+'5.Variables'!$N92,+IF(M$18='5.Variables'!$B$104,+'5.Variables'!$N106,0))))))</f>
        <v>1</v>
      </c>
      <c r="N31" s="725">
        <f>IF(N$18='5.Variables'!$B$16,+'5.Variables'!$N26,+IF(N$18='5.Variables'!$B$39,+'5.Variables'!$N50,+IF(N$18='5.Variables'!$B$62,+'5.Variables'!$N64,+IF(N$18='5.Variables'!$B$76,+'5.Variables'!$N78,+IF(N$18='5.Variables'!$B$90,+'5.Variables'!$N92,+IF(N$18='5.Variables'!$B$104,+'5.Variables'!$N106,0))))))</f>
        <v>1</v>
      </c>
      <c r="O31" s="725">
        <f>IF(O$18='5.Variables'!$B$16,+'5.Variables'!$N26,+IF(O$18='5.Variables'!$B$39,+'5.Variables'!$N50,+IF(O$18='5.Variables'!$B$62,+'5.Variables'!$N64,+IF(O$18='5.Variables'!$B$76,+'5.Variables'!$N78,+IF(O$18='5.Variables'!$B$90,+'5.Variables'!$N92,+IF(O$18='5.Variables'!$B$104,+'5.Variables'!$N106,0))))))</f>
        <v>31</v>
      </c>
      <c r="P31" s="725">
        <f>IF(P$18='5.Variables'!$B$16,+'5.Variables'!$N26,+IF(P$18='5.Variables'!$B$39,+'5.Variables'!$N50,+IF(P$18='5.Variables'!$B$62,+'5.Variables'!$N64,+IF(P$18='5.Variables'!$B$76,+'5.Variables'!$N78,+IF(P$18='5.Variables'!$B$90,+'5.Variables'!$N92,+IF(P$18='5.Variables'!$B$104,+'5.Variables'!$N106,0))))))</f>
        <v>0</v>
      </c>
      <c r="Q31" s="245"/>
      <c r="R31" s="558">
        <f t="shared" si="1"/>
        <v>19992453.860119902</v>
      </c>
      <c r="S31" s="265">
        <f>SUM(R20:R31)</f>
        <v>203844303.0754298</v>
      </c>
      <c r="T31" s="245"/>
      <c r="U31" s="547" t="s">
        <v>16</v>
      </c>
      <c r="V31" s="547">
        <v>119</v>
      </c>
      <c r="W31" s="547">
        <v>671441367328169.62</v>
      </c>
      <c r="X31" s="547"/>
      <c r="Y31" s="547"/>
      <c r="Z31" s="547"/>
      <c r="AA31"/>
      <c r="AB31"/>
      <c r="AC31"/>
      <c r="AD31" s="261"/>
      <c r="AE31" s="245"/>
      <c r="AF31" s="245"/>
      <c r="AG31" s="245"/>
      <c r="AH31" s="245"/>
      <c r="AI31" s="245"/>
      <c r="AJ31" s="245"/>
      <c r="AK31" s="245"/>
      <c r="AL31" s="245"/>
      <c r="AM31" s="245"/>
    </row>
    <row r="32" spans="1:39" ht="13.5" thickBot="1" x14ac:dyDescent="0.25">
      <c r="A32" s="503">
        <f t="shared" si="2"/>
        <v>13</v>
      </c>
      <c r="B32" s="262" t="str">
        <f>CONCATENATE('3. Consumption by Rate Class'!B37,"-",'3. Consumption by Rate Class'!C37)</f>
        <v>2006-January</v>
      </c>
      <c r="C32" s="697">
        <v>20121798.356498003</v>
      </c>
      <c r="D32" s="703">
        <v>-43800</v>
      </c>
      <c r="E32" s="703"/>
      <c r="F32" s="703"/>
      <c r="G32" s="703"/>
      <c r="H32" s="704"/>
      <c r="I32" s="704"/>
      <c r="J32" s="263">
        <f t="shared" si="0"/>
        <v>20077998.356498003</v>
      </c>
      <c r="K32" s="725">
        <f>IF(K$18='5.Variables'!$B$16,+'5.Variables'!$C28,+IF(K$18='5.Variables'!$B$39,+'5.Variables'!$C51,+IF(K$18='5.Variables'!$B$62,+'5.Variables'!$C65,+IF(K$18='5.Variables'!$B$76,+'5.Variables'!$C79,+IF(K$18='5.Variables'!$B$90,+'5.Variables'!$C93,+IF(K$18='5.Variables'!$B$104,+'5.Variables'!$C107,0))))))</f>
        <v>733.5</v>
      </c>
      <c r="L32" s="725">
        <f>IF(L$18='5.Variables'!$B$16,+'5.Variables'!$C27,+IF(L$18='5.Variables'!$B$39,+'5.Variables'!$C51,+IF(L$18='5.Variables'!$B$62,+'5.Variables'!$C65,+IF(L$18='5.Variables'!$B$76,+'5.Variables'!$C79,+IF(L$18='5.Variables'!$B$90,+'5.Variables'!$C93,+IF(L$18='5.Variables'!$B$104,+'5.Variables'!$C107,0))))))</f>
        <v>0</v>
      </c>
      <c r="M32" s="725">
        <f>IF(M$18='5.Variables'!$B$16,+'5.Variables'!$C27,+IF(M$18='5.Variables'!$B$39,+'5.Variables'!$C51,+IF(M$18='5.Variables'!$B$62,+'5.Variables'!$C65,+IF(M$18='5.Variables'!$B$76,+'5.Variables'!$C79,+IF(M$18='5.Variables'!$B$90,+'5.Variables'!$C93,+IF(M$18='5.Variables'!$B$104,+'5.Variables'!$C107,0))))))</f>
        <v>1</v>
      </c>
      <c r="N32" s="725">
        <f>IF(N$18='5.Variables'!$B$16,+'5.Variables'!$C27,+IF(N$18='5.Variables'!$B$39,+'5.Variables'!$C51,+IF(N$18='5.Variables'!$B$62,+'5.Variables'!$C65,+IF(N$18='5.Variables'!$B$76,+'5.Variables'!$C79,+IF(N$18='5.Variables'!$B$90,+'5.Variables'!$C93,+IF(N$18='5.Variables'!$B$104,+'5.Variables'!$C107,0))))))</f>
        <v>1</v>
      </c>
      <c r="O32" s="725">
        <f>IF(O$18='5.Variables'!$B$16,+'5.Variables'!$C27,+IF(O$18='5.Variables'!$B$39,+'5.Variables'!$C51,+IF(O$18='5.Variables'!$B$62,+'5.Variables'!$C65,+IF(O$18='5.Variables'!$B$76,+'5.Variables'!$C79,+IF(O$18='5.Variables'!$B$90,+'5.Variables'!$C93,+IF(O$18='5.Variables'!$B$104,+'5.Variables'!$C107,0))))))</f>
        <v>31</v>
      </c>
      <c r="P32" s="725">
        <f>IF(P$18='5.Variables'!$B$16,+'5.Variables'!$C27,+IF(P$18='5.Variables'!$B$39,+'5.Variables'!$C51,+IF(P$18='5.Variables'!$B$62,+'5.Variables'!$C65,+IF(P$18='5.Variables'!$B$76,+'5.Variables'!$C79,+IF(P$18='5.Variables'!$B$90,+'5.Variables'!$C93,+IF(P$18='5.Variables'!$B$104,+'5.Variables'!$C107,0))))))</f>
        <v>0</v>
      </c>
      <c r="Q32" s="245"/>
      <c r="R32" s="558">
        <f t="shared" si="1"/>
        <v>19788947.169662017</v>
      </c>
      <c r="S32" s="265"/>
      <c r="T32" s="245"/>
      <c r="U32"/>
      <c r="V32"/>
      <c r="W32"/>
      <c r="X32"/>
      <c r="Y32"/>
      <c r="Z32"/>
      <c r="AA32"/>
      <c r="AB32"/>
      <c r="AC32"/>
      <c r="AD32" s="261"/>
      <c r="AE32" s="245"/>
      <c r="AF32" s="245"/>
      <c r="AG32" s="245"/>
      <c r="AH32" s="245"/>
      <c r="AI32" s="245"/>
      <c r="AJ32" s="245"/>
      <c r="AK32" s="245"/>
      <c r="AL32" s="245"/>
      <c r="AM32" s="245"/>
    </row>
    <row r="33" spans="1:39" x14ac:dyDescent="0.2">
      <c r="A33" s="503">
        <f t="shared" si="2"/>
        <v>14</v>
      </c>
      <c r="B33" s="262" t="str">
        <f>CONCATENATE('3. Consumption by Rate Class'!B38,"-",'3. Consumption by Rate Class'!C38)</f>
        <v>2006-February</v>
      </c>
      <c r="C33" s="697">
        <v>20144052.542633999</v>
      </c>
      <c r="D33" s="703">
        <v>-40200</v>
      </c>
      <c r="E33" s="703"/>
      <c r="F33" s="703"/>
      <c r="G33" s="703"/>
      <c r="H33" s="704"/>
      <c r="I33" s="704"/>
      <c r="J33" s="263">
        <f t="shared" si="0"/>
        <v>20103852.542633999</v>
      </c>
      <c r="K33" s="725">
        <f>IF(K$18='5.Variables'!$B$16,+'5.Variables'!$D28,+IF(K$18='5.Variables'!$B$39,+'5.Variables'!$D51,+IF(K$18='5.Variables'!$B$62,+'5.Variables'!$D65,+IF(K$18='5.Variables'!$B$76,+'5.Variables'!$D79,+IF(K$18='5.Variables'!$B$90,+'5.Variables'!$D93,+IF(K$18='5.Variables'!$B$104,+'5.Variables'!$D107,0))))))</f>
        <v>720.9</v>
      </c>
      <c r="L33" s="725">
        <f>IF(L$18='5.Variables'!$B$16,+'5.Variables'!$D27,+IF(L$18='5.Variables'!$B$39,+'5.Variables'!$D51,+IF(L$18='5.Variables'!$B$62,+'5.Variables'!$D65,+IF(L$18='5.Variables'!$B$76,+'5.Variables'!$D79,+IF(L$18='5.Variables'!$B$90,+'5.Variables'!$D93,+IF(L$18='5.Variables'!$B$104,+'5.Variables'!$D107,0))))))</f>
        <v>0</v>
      </c>
      <c r="M33" s="725">
        <f>IF(M$18='5.Variables'!$B$16,+'5.Variables'!$D27,+IF(M$18='5.Variables'!$B$39,+'5.Variables'!$D51,+IF(M$18='5.Variables'!$B$62,+'5.Variables'!$D65,+IF(M$18='5.Variables'!$B$76,+'5.Variables'!$D79,+IF(M$18='5.Variables'!$B$90,+'5.Variables'!$D93,+IF(M$18='5.Variables'!$B$104,+'5.Variables'!$D107,0))))))</f>
        <v>1</v>
      </c>
      <c r="N33" s="725">
        <f>IF(N$18='5.Variables'!$B$16,+'5.Variables'!$D27,+IF(N$18='5.Variables'!$B$39,+'5.Variables'!$D51,+IF(N$18='5.Variables'!$B$62,+'5.Variables'!$D65,+IF(N$18='5.Variables'!$B$76,+'5.Variables'!$D79,+IF(N$18='5.Variables'!$B$90,+'5.Variables'!$D93,+IF(N$18='5.Variables'!$B$104,+'5.Variables'!$D107,0))))))</f>
        <v>0</v>
      </c>
      <c r="O33" s="725">
        <f>IF(O$18='5.Variables'!$B$16,+'5.Variables'!$D27,+IF(O$18='5.Variables'!$B$39,+'5.Variables'!$D51,+IF(O$18='5.Variables'!$B$62,+'5.Variables'!$D65,+IF(O$18='5.Variables'!$B$76,+'5.Variables'!$D79,+IF(O$18='5.Variables'!$B$90,+'5.Variables'!$D93,+IF(O$18='5.Variables'!$B$104,+'5.Variables'!$D107,0))))))</f>
        <v>28</v>
      </c>
      <c r="P33" s="725">
        <f>IF(P$18='5.Variables'!$B$16,+'5.Variables'!$D27,+IF(P$18='5.Variables'!$B$39,+'5.Variables'!$D51,+IF(P$18='5.Variables'!$B$62,+'5.Variables'!$D65,+IF(P$18='5.Variables'!$B$76,+'5.Variables'!$D79,+IF(P$18='5.Variables'!$B$90,+'5.Variables'!$D93,+IF(P$18='5.Variables'!$B$104,+'5.Variables'!$D107,0))))))</f>
        <v>0</v>
      </c>
      <c r="Q33" s="245"/>
      <c r="R33" s="558">
        <f t="shared" si="1"/>
        <v>19698975.790722743</v>
      </c>
      <c r="S33" s="265"/>
      <c r="T33" s="245"/>
      <c r="U33" s="548"/>
      <c r="V33" s="548" t="s">
        <v>23</v>
      </c>
      <c r="W33" s="548" t="s">
        <v>11</v>
      </c>
      <c r="X33" s="548" t="s">
        <v>24</v>
      </c>
      <c r="Y33" s="548" t="s">
        <v>25</v>
      </c>
      <c r="Z33" s="548" t="s">
        <v>26</v>
      </c>
      <c r="AA33" s="548" t="s">
        <v>27</v>
      </c>
      <c r="AB33" s="548" t="s">
        <v>28</v>
      </c>
      <c r="AC33" s="548" t="s">
        <v>29</v>
      </c>
      <c r="AD33" s="261"/>
      <c r="AE33" s="245"/>
      <c r="AF33" s="245"/>
      <c r="AG33" s="245"/>
      <c r="AH33" s="245"/>
      <c r="AI33" s="245"/>
      <c r="AJ33" s="245"/>
      <c r="AK33" s="245"/>
      <c r="AL33" s="245"/>
      <c r="AM33" s="245"/>
    </row>
    <row r="34" spans="1:39" x14ac:dyDescent="0.2">
      <c r="A34" s="503">
        <f t="shared" si="2"/>
        <v>15</v>
      </c>
      <c r="B34" s="262" t="str">
        <f>CONCATENATE('3. Consumption by Rate Class'!B39,"-",'3. Consumption by Rate Class'!C39)</f>
        <v>2006-March</v>
      </c>
      <c r="C34" s="697">
        <v>18617454.222617</v>
      </c>
      <c r="D34" s="703">
        <v>-41400</v>
      </c>
      <c r="E34" s="707"/>
      <c r="F34" s="703"/>
      <c r="G34" s="703"/>
      <c r="H34" s="704"/>
      <c r="I34" s="704"/>
      <c r="J34" s="263">
        <f t="shared" si="0"/>
        <v>18576054.222617</v>
      </c>
      <c r="K34" s="725">
        <f>IF(K$18='5.Variables'!$B$16,+'5.Variables'!$E28,+IF(K$18='5.Variables'!$B$39,+'5.Variables'!$E51,+IF(K$18='5.Variables'!$B$62,+'5.Variables'!$E65,+IF(K$18='5.Variables'!$B$76,+'5.Variables'!$E79,+IF(K$18='5.Variables'!$B$90,+'5.Variables'!$E93,+IF(K$18='5.Variables'!$B$104,+'5.Variables'!$E107,0))))))</f>
        <v>600.4</v>
      </c>
      <c r="L34" s="725">
        <f>IF(L$18='5.Variables'!$B$16,+'5.Variables'!$E27,+IF(L$18='5.Variables'!$B$39,+'5.Variables'!$E51,+IF(L$18='5.Variables'!$B$62,+'5.Variables'!$E65,+IF(L$18='5.Variables'!$B$76,+'5.Variables'!$E79,+IF(L$18='5.Variables'!$B$90,+'5.Variables'!$E93,+IF(L$18='5.Variables'!$B$104,+'5.Variables'!$E107,0))))))</f>
        <v>0</v>
      </c>
      <c r="M34" s="725">
        <f>IF(M$18='5.Variables'!$B$16,+'5.Variables'!$E27,+IF(M$18='5.Variables'!$B$39,+'5.Variables'!$E51,+IF(M$18='5.Variables'!$B$62,+'5.Variables'!$E65,+IF(M$18='5.Variables'!$B$76,+'5.Variables'!$E79,+IF(M$18='5.Variables'!$B$90,+'5.Variables'!$E93,+IF(M$18='5.Variables'!$B$104,+'5.Variables'!$E107,0))))))</f>
        <v>0</v>
      </c>
      <c r="N34" s="725">
        <f>IF(N$18='5.Variables'!$B$16,+'5.Variables'!$E27,+IF(N$18='5.Variables'!$B$39,+'5.Variables'!$E51,+IF(N$18='5.Variables'!$B$62,+'5.Variables'!$E65,+IF(N$18='5.Variables'!$B$76,+'5.Variables'!$E79,+IF(N$18='5.Variables'!$B$90,+'5.Variables'!$E93,+IF(N$18='5.Variables'!$B$104,+'5.Variables'!$E107,0))))))</f>
        <v>1</v>
      </c>
      <c r="O34" s="725">
        <f>IF(O$18='5.Variables'!$B$16,+'5.Variables'!$E27,+IF(O$18='5.Variables'!$B$39,+'5.Variables'!$E51,+IF(O$18='5.Variables'!$B$62,+'5.Variables'!$E65,+IF(O$18='5.Variables'!$B$76,+'5.Variables'!$E79,+IF(O$18='5.Variables'!$B$90,+'5.Variables'!$E93,+IF(O$18='5.Variables'!$B$104,+'5.Variables'!$E107,0))))))</f>
        <v>31</v>
      </c>
      <c r="P34" s="725">
        <f>IF(P$18='5.Variables'!$B$16,+'5.Variables'!$E27,+IF(P$18='5.Variables'!$B$39,+'5.Variables'!$E51,+IF(P$18='5.Variables'!$B$62,+'5.Variables'!$E65,+IF(P$18='5.Variables'!$B$76,+'5.Variables'!$E79,+IF(P$18='5.Variables'!$B$90,+'5.Variables'!$E93,+IF(P$18='5.Variables'!$B$104,+'5.Variables'!$E107,0))))))</f>
        <v>0</v>
      </c>
      <c r="Q34" s="245"/>
      <c r="R34" s="558">
        <f t="shared" si="1"/>
        <v>17363587.000081602</v>
      </c>
      <c r="S34" s="265"/>
      <c r="T34" s="245"/>
      <c r="U34" s="546" t="s">
        <v>17</v>
      </c>
      <c r="V34" s="546">
        <v>13076379.387768883</v>
      </c>
      <c r="W34" s="546">
        <v>233096.29619605499</v>
      </c>
      <c r="X34" s="546">
        <v>56.098615040929133</v>
      </c>
      <c r="Y34" s="546">
        <v>6.68114823861109E-86</v>
      </c>
      <c r="Z34" s="546">
        <v>12614702.802446071</v>
      </c>
      <c r="AA34" s="546">
        <v>13538055.973091695</v>
      </c>
      <c r="AB34" s="546">
        <v>12614702.802446071</v>
      </c>
      <c r="AC34" s="546">
        <v>13538055.973091695</v>
      </c>
      <c r="AD34" s="261"/>
      <c r="AE34" s="245"/>
      <c r="AF34" s="245"/>
      <c r="AG34" s="245"/>
      <c r="AH34" s="245"/>
      <c r="AI34" s="245"/>
      <c r="AJ34" s="245"/>
      <c r="AK34" s="245"/>
      <c r="AL34" s="245"/>
      <c r="AM34" s="245"/>
    </row>
    <row r="35" spans="1:39" ht="15" x14ac:dyDescent="0.25">
      <c r="A35" s="503">
        <f t="shared" si="2"/>
        <v>16</v>
      </c>
      <c r="B35" s="262" t="str">
        <f>CONCATENATE('3. Consumption by Rate Class'!B40,"-",'3. Consumption by Rate Class'!C40)</f>
        <v>2006-April</v>
      </c>
      <c r="C35" s="697">
        <v>15813969.868452001</v>
      </c>
      <c r="D35" s="703">
        <v>-39000</v>
      </c>
      <c r="E35" s="707"/>
      <c r="F35" s="703"/>
      <c r="G35" s="703"/>
      <c r="H35" s="704"/>
      <c r="I35" s="704"/>
      <c r="J35" s="263">
        <f t="shared" si="0"/>
        <v>15774969.868452001</v>
      </c>
      <c r="K35" s="725">
        <f>IF(K$18='5.Variables'!$B$16,+'5.Variables'!$F28,+IF(K$18='5.Variables'!$B$39,+'5.Variables'!$F51,+IF(K$18='5.Variables'!$B$62,+'5.Variables'!$F65,+IF(K$18='5.Variables'!$B$76,+'5.Variables'!$F79,+IF(K$18='5.Variables'!$B$90,+'5.Variables'!$F93,+IF(K$18='5.Variables'!$B$104,+'5.Variables'!$F107,0))))))</f>
        <v>321.60000000000002</v>
      </c>
      <c r="L35" s="725">
        <f>IF(L$18='5.Variables'!$B$16,+'5.Variables'!$F27,+IF(L$18='5.Variables'!$B$39,+'5.Variables'!$F51,+IF(L$18='5.Variables'!$B$62,+'5.Variables'!$F65,+IF(L$18='5.Variables'!$B$76,+'5.Variables'!$F79,+IF(L$18='5.Variables'!$B$90,+'5.Variables'!$F93,+IF(L$18='5.Variables'!$B$104,+'5.Variables'!$F107,0))))))</f>
        <v>0</v>
      </c>
      <c r="M35" s="725">
        <f>IF(M$18='5.Variables'!$B$16,+'5.Variables'!$F27,+IF(M$18='5.Variables'!$B$39,+'5.Variables'!$F51,+IF(M$18='5.Variables'!$B$62,+'5.Variables'!$F65,+IF(M$18='5.Variables'!$B$76,+'5.Variables'!$F79,+IF(M$18='5.Variables'!$B$90,+'5.Variables'!$F93,+IF(M$18='5.Variables'!$B$104,+'5.Variables'!$F107,0))))))</f>
        <v>0</v>
      </c>
      <c r="N35" s="725">
        <f>IF(N$18='5.Variables'!$B$16,+'5.Variables'!$F27,+IF(N$18='5.Variables'!$B$39,+'5.Variables'!$F51,+IF(N$18='5.Variables'!$B$62,+'5.Variables'!$F65,+IF(N$18='5.Variables'!$B$76,+'5.Variables'!$F79,+IF(N$18='5.Variables'!$B$90,+'5.Variables'!$F93,+IF(N$18='5.Variables'!$B$104,+'5.Variables'!$F107,0))))))</f>
        <v>0</v>
      </c>
      <c r="O35" s="725">
        <f>IF(O$18='5.Variables'!$B$16,+'5.Variables'!$F27,+IF(O$18='5.Variables'!$B$39,+'5.Variables'!$F51,+IF(O$18='5.Variables'!$B$62,+'5.Variables'!$F65,+IF(O$18='5.Variables'!$B$76,+'5.Variables'!$F79,+IF(O$18='5.Variables'!$B$90,+'5.Variables'!$F93,+IF(O$18='5.Variables'!$B$104,+'5.Variables'!$F107,0))))))</f>
        <v>30</v>
      </c>
      <c r="P35" s="725">
        <f>IF(P$18='5.Variables'!$B$16,+'5.Variables'!$F27,+IF(P$18='5.Variables'!$B$39,+'5.Variables'!$F51,+IF(P$18='5.Variables'!$B$62,+'5.Variables'!$F65,+IF(P$18='5.Variables'!$B$76,+'5.Variables'!$F79,+IF(P$18='5.Variables'!$B$90,+'5.Variables'!$F93,+IF(P$18='5.Variables'!$B$104,+'5.Variables'!$F107,0))))))</f>
        <v>0</v>
      </c>
      <c r="Q35" s="245"/>
      <c r="R35" s="558">
        <f t="shared" si="1"/>
        <v>15372791.726409407</v>
      </c>
      <c r="S35" s="265"/>
      <c r="T35" s="519"/>
      <c r="U35" s="803" t="s">
        <v>1</v>
      </c>
      <c r="V35" s="546">
        <v>7140.5856301011318</v>
      </c>
      <c r="W35" s="546">
        <v>589.87638597588216</v>
      </c>
      <c r="X35" s="546">
        <v>12.105223738169922</v>
      </c>
      <c r="Y35" s="546">
        <v>2.6187671189235457E-22</v>
      </c>
      <c r="Z35" s="546">
        <v>5972.261121800705</v>
      </c>
      <c r="AA35" s="546">
        <v>8308.9101384015594</v>
      </c>
      <c r="AB35" s="546">
        <v>5972.261121800705</v>
      </c>
      <c r="AC35" s="546">
        <v>8308.9101384015594</v>
      </c>
      <c r="AD35" s="261"/>
      <c r="AE35" s="245"/>
      <c r="AF35" s="245"/>
      <c r="AG35" s="245"/>
      <c r="AH35" s="245"/>
      <c r="AI35" s="245"/>
      <c r="AJ35" s="245"/>
      <c r="AK35" s="245"/>
      <c r="AL35" s="245"/>
      <c r="AM35" s="245"/>
    </row>
    <row r="36" spans="1:39" ht="15" x14ac:dyDescent="0.25">
      <c r="A36" s="503">
        <f t="shared" si="2"/>
        <v>17</v>
      </c>
      <c r="B36" s="262" t="str">
        <f>CONCATENATE('3. Consumption by Rate Class'!B41,"-",'3. Consumption by Rate Class'!C41)</f>
        <v>2006-May</v>
      </c>
      <c r="C36" s="697">
        <v>14937402.02</v>
      </c>
      <c r="D36" s="703">
        <v>-40800</v>
      </c>
      <c r="E36" s="707"/>
      <c r="F36" s="703"/>
      <c r="G36" s="703"/>
      <c r="H36" s="704"/>
      <c r="I36" s="704"/>
      <c r="J36" s="263">
        <f t="shared" si="0"/>
        <v>14896602.02</v>
      </c>
      <c r="K36" s="725">
        <f>IF(K$18='5.Variables'!$B$16,+'5.Variables'!$G28,+IF(K$18='5.Variables'!$B$39,+'5.Variables'!$G51,+IF(K$18='5.Variables'!$B$62,+'5.Variables'!$G65,+IF(K$18='5.Variables'!$B$76,+'5.Variables'!$G79,+IF(K$18='5.Variables'!$B$90,+'5.Variables'!$G93,+IF(K$18='5.Variables'!$B$104,+'5.Variables'!$G107,0))))))</f>
        <v>128.19999999999999</v>
      </c>
      <c r="L36" s="725">
        <f>IF(L$18='5.Variables'!$B$16,+'5.Variables'!$G27,+IF(L$18='5.Variables'!$B$39,+'5.Variables'!$G51,+IF(L$18='5.Variables'!$B$62,+'5.Variables'!$G65,+IF(L$18='5.Variables'!$B$76,+'5.Variables'!$G79,+IF(L$18='5.Variables'!$B$90,+'5.Variables'!$G93,+IF(L$18='5.Variables'!$B$104,+'5.Variables'!$G107,0))))))</f>
        <v>16.899999999999999</v>
      </c>
      <c r="M36" s="725">
        <f>IF(M$18='5.Variables'!$B$16,+'5.Variables'!$G27,+IF(M$18='5.Variables'!$B$39,+'5.Variables'!$G51,+IF(M$18='5.Variables'!$B$62,+'5.Variables'!$G65,+IF(M$18='5.Variables'!$B$76,+'5.Variables'!$G79,+IF(M$18='5.Variables'!$B$90,+'5.Variables'!$G93,+IF(M$18='5.Variables'!$B$104,+'5.Variables'!$G107,0))))))</f>
        <v>0</v>
      </c>
      <c r="N36" s="725">
        <f>IF(N$18='5.Variables'!$B$16,+'5.Variables'!$G27,+IF(N$18='5.Variables'!$B$39,+'5.Variables'!$G51,+IF(N$18='5.Variables'!$B$62,+'5.Variables'!$G65,+IF(N$18='5.Variables'!$B$76,+'5.Variables'!$G79,+IF(N$18='5.Variables'!$B$90,+'5.Variables'!$G93,+IF(N$18='5.Variables'!$B$104,+'5.Variables'!$G107,0))))))</f>
        <v>0</v>
      </c>
      <c r="O36" s="725">
        <f>IF(O$18='5.Variables'!$B$16,+'5.Variables'!$G27,+IF(O$18='5.Variables'!$B$39,+'5.Variables'!$G51,+IF(O$18='5.Variables'!$B$62,+'5.Variables'!$G65,+IF(O$18='5.Variables'!$B$76,+'5.Variables'!$G79,+IF(O$18='5.Variables'!$B$90,+'5.Variables'!$G93,+IF(O$18='5.Variables'!$B$104,+'5.Variables'!$G107,0))))))</f>
        <v>31</v>
      </c>
      <c r="P36" s="725">
        <f>IF(P$18='5.Variables'!$B$16,+'5.Variables'!$G27,+IF(P$18='5.Variables'!$B$39,+'5.Variables'!$G51,+IF(P$18='5.Variables'!$B$62,+'5.Variables'!$G65,+IF(P$18='5.Variables'!$B$76,+'5.Variables'!$G79,+IF(P$18='5.Variables'!$B$90,+'5.Variables'!$G93,+IF(P$18='5.Variables'!$B$104,+'5.Variables'!$G107,0))))))</f>
        <v>0</v>
      </c>
      <c r="Q36" s="245"/>
      <c r="R36" s="558">
        <f t="shared" si="1"/>
        <v>14456845.336375393</v>
      </c>
      <c r="S36" s="265"/>
      <c r="T36" s="519"/>
      <c r="U36" s="803" t="s">
        <v>2</v>
      </c>
      <c r="V36" s="546">
        <v>27517.329634766</v>
      </c>
      <c r="W36" s="546">
        <v>3226.896143638789</v>
      </c>
      <c r="X36" s="546">
        <v>8.5274915615152889</v>
      </c>
      <c r="Y36" s="546">
        <v>6.4795972667262457E-14</v>
      </c>
      <c r="Z36" s="546">
        <v>21126.055225440054</v>
      </c>
      <c r="AA36" s="546">
        <v>33908.604044091946</v>
      </c>
      <c r="AB36" s="546">
        <v>21126.055225440054</v>
      </c>
      <c r="AC36" s="546">
        <v>33908.604044091946</v>
      </c>
      <c r="AD36" s="261"/>
      <c r="AE36" s="245"/>
      <c r="AF36" s="245"/>
      <c r="AG36" s="245"/>
      <c r="AH36" s="245"/>
      <c r="AI36" s="245"/>
      <c r="AJ36" s="245"/>
      <c r="AK36" s="245"/>
      <c r="AL36" s="245"/>
      <c r="AM36" s="245"/>
    </row>
    <row r="37" spans="1:39" ht="15" x14ac:dyDescent="0.25">
      <c r="A37" s="503">
        <f t="shared" si="2"/>
        <v>18</v>
      </c>
      <c r="B37" s="262" t="str">
        <f>CONCATENATE('3. Consumption by Rate Class'!B42,"-",'3. Consumption by Rate Class'!C42)</f>
        <v>2006-June</v>
      </c>
      <c r="C37" s="697">
        <v>15216019.100000001</v>
      </c>
      <c r="D37" s="703">
        <v>-39600</v>
      </c>
      <c r="E37" s="707"/>
      <c r="F37" s="703"/>
      <c r="G37" s="703"/>
      <c r="H37" s="704"/>
      <c r="I37" s="704"/>
      <c r="J37" s="263">
        <f t="shared" si="0"/>
        <v>15176419.100000001</v>
      </c>
      <c r="K37" s="725">
        <f>IF(K$18='5.Variables'!$B$16,+'5.Variables'!$H28,+IF(K$18='5.Variables'!$B$39,+'5.Variables'!$H51,+IF(K$18='5.Variables'!$B$62,+'5.Variables'!$H65,+IF(K$18='5.Variables'!$B$76,+'5.Variables'!$H79,+IF(K$18='5.Variables'!$B$90,+'5.Variables'!$H93,+IF(K$18='5.Variables'!$B$104,+'5.Variables'!$H107,0))))))</f>
        <v>27.6</v>
      </c>
      <c r="L37" s="725">
        <f>IF(L$18='5.Variables'!$B$16,+'5.Variables'!$H27,+IF(L$18='5.Variables'!$B$39,+'5.Variables'!$H51,+IF(L$18='5.Variables'!$B$62,+'5.Variables'!$H65,+IF(L$18='5.Variables'!$B$76,+'5.Variables'!$H79,+IF(L$18='5.Variables'!$B$90,+'5.Variables'!$H93,+IF(L$18='5.Variables'!$B$104,+'5.Variables'!$H107,0))))))</f>
        <v>48.2</v>
      </c>
      <c r="M37" s="725">
        <f>IF(M$18='5.Variables'!$B$16,+'5.Variables'!$H27,+IF(M$18='5.Variables'!$B$39,+'5.Variables'!$H51,+IF(M$18='5.Variables'!$B$62,+'5.Variables'!$H65,+IF(M$18='5.Variables'!$B$76,+'5.Variables'!$H79,+IF(M$18='5.Variables'!$B$90,+'5.Variables'!$H93,+IF(M$18='5.Variables'!$B$104,+'5.Variables'!$H107,0))))))</f>
        <v>0</v>
      </c>
      <c r="N37" s="725">
        <f>IF(N$18='5.Variables'!$B$16,+'5.Variables'!$H27,+IF(N$18='5.Variables'!$B$39,+'5.Variables'!$H51,+IF(N$18='5.Variables'!$B$62,+'5.Variables'!$H65,+IF(N$18='5.Variables'!$B$76,+'5.Variables'!$H79,+IF(N$18='5.Variables'!$B$90,+'5.Variables'!$H93,+IF(N$18='5.Variables'!$B$104,+'5.Variables'!$H107,0))))))</f>
        <v>0</v>
      </c>
      <c r="O37" s="725">
        <f>IF(O$18='5.Variables'!$B$16,+'5.Variables'!$H27,+IF(O$18='5.Variables'!$B$39,+'5.Variables'!$H51,+IF(O$18='5.Variables'!$B$62,+'5.Variables'!$H65,+IF(O$18='5.Variables'!$B$76,+'5.Variables'!$H79,+IF(O$18='5.Variables'!$B$90,+'5.Variables'!$H93,+IF(O$18='5.Variables'!$B$104,+'5.Variables'!$H107,0))))))</f>
        <v>30</v>
      </c>
      <c r="P37" s="725">
        <f>IF(P$18='5.Variables'!$B$16,+'5.Variables'!$H27,+IF(P$18='5.Variables'!$B$39,+'5.Variables'!$H51,+IF(P$18='5.Variables'!$B$62,+'5.Variables'!$H65,+IF(P$18='5.Variables'!$B$76,+'5.Variables'!$H79,+IF(P$18='5.Variables'!$B$90,+'5.Variables'!$H93,+IF(P$18='5.Variables'!$B$104,+'5.Variables'!$H107,0))))))</f>
        <v>0</v>
      </c>
      <c r="Q37" s="245"/>
      <c r="R37" s="558">
        <f t="shared" si="1"/>
        <v>14599794.839555396</v>
      </c>
      <c r="S37" s="265"/>
      <c r="T37" s="519"/>
      <c r="U37" s="803" t="s">
        <v>271</v>
      </c>
      <c r="V37" s="546">
        <v>1474948.222213953</v>
      </c>
      <c r="W37" s="546">
        <v>325481.97833838523</v>
      </c>
      <c r="X37" s="546">
        <v>4.5315818397801815</v>
      </c>
      <c r="Y37" s="546">
        <v>1.4313271871628365E-5</v>
      </c>
      <c r="Z37" s="546">
        <v>830290.15258512099</v>
      </c>
      <c r="AA37" s="546">
        <v>2119606.2918427852</v>
      </c>
      <c r="AB37" s="546">
        <v>830290.15258512099</v>
      </c>
      <c r="AC37" s="546">
        <v>2119606.2918427852</v>
      </c>
      <c r="AD37" s="261"/>
      <c r="AE37" s="245"/>
      <c r="AF37" s="245"/>
      <c r="AG37" s="245"/>
      <c r="AH37" s="245"/>
      <c r="AI37" s="245"/>
      <c r="AJ37" s="245"/>
      <c r="AK37" s="245"/>
      <c r="AL37" s="245"/>
      <c r="AM37" s="245"/>
    </row>
    <row r="38" spans="1:39" ht="15" x14ac:dyDescent="0.25">
      <c r="A38" s="503">
        <f t="shared" si="2"/>
        <v>19</v>
      </c>
      <c r="B38" s="262" t="str">
        <f>CONCATENATE('3. Consumption by Rate Class'!B43,"-",'3. Consumption by Rate Class'!C43)</f>
        <v>2006-July</v>
      </c>
      <c r="C38" s="697">
        <v>17288814.59</v>
      </c>
      <c r="D38" s="703">
        <v>-24000</v>
      </c>
      <c r="E38" s="707"/>
      <c r="F38" s="703"/>
      <c r="G38" s="703"/>
      <c r="H38" s="704"/>
      <c r="I38" s="704"/>
      <c r="J38" s="263">
        <f t="shared" si="0"/>
        <v>17264814.59</v>
      </c>
      <c r="K38" s="725">
        <f>IF(K$18='5.Variables'!$B$16,+'5.Variables'!$I28,+IF(K$18='5.Variables'!$B$39,+'5.Variables'!$I51,+IF(K$18='5.Variables'!$B$62,+'5.Variables'!$I65,+IF(K$18='5.Variables'!$B$76,+'5.Variables'!$I79,+IF(K$18='5.Variables'!$B$90,+'5.Variables'!$I93,+IF(K$18='5.Variables'!$B$104,+'5.Variables'!$I107,0))))))</f>
        <v>0.3</v>
      </c>
      <c r="L38" s="725">
        <f>IF(L$18='5.Variables'!$B$16,+'5.Variables'!$I27,+IF(L$18='5.Variables'!$B$39,+'5.Variables'!$I51,+IF(L$18='5.Variables'!$B$62,+'5.Variables'!$I65,+IF(L$18='5.Variables'!$B$76,+'5.Variables'!$I79,+IF(L$18='5.Variables'!$B$90,+'5.Variables'!$I93,+IF(L$18='5.Variables'!$B$104,+'5.Variables'!$I107,0))))))</f>
        <v>130.6</v>
      </c>
      <c r="M38" s="725">
        <f>IF(M$18='5.Variables'!$B$16,+'5.Variables'!$I27,+IF(M$18='5.Variables'!$B$39,+'5.Variables'!$I51,+IF(M$18='5.Variables'!$B$62,+'5.Variables'!$I65,+IF(M$18='5.Variables'!$B$76,+'5.Variables'!$I79,+IF(M$18='5.Variables'!$B$90,+'5.Variables'!$I93,+IF(M$18='5.Variables'!$B$104,+'5.Variables'!$I107,0))))))</f>
        <v>0</v>
      </c>
      <c r="N38" s="725">
        <f>IF(N$18='5.Variables'!$B$16,+'5.Variables'!$I27,+IF(N$18='5.Variables'!$B$39,+'5.Variables'!$I51,+IF(N$18='5.Variables'!$B$62,+'5.Variables'!$I65,+IF(N$18='5.Variables'!$B$76,+'5.Variables'!$I79,+IF(N$18='5.Variables'!$B$90,+'5.Variables'!$I93,+IF(N$18='5.Variables'!$B$104,+'5.Variables'!$I107,0))))))</f>
        <v>1</v>
      </c>
      <c r="O38" s="725">
        <f>IF(O$18='5.Variables'!$B$16,+'5.Variables'!$I27,+IF(O$18='5.Variables'!$B$39,+'5.Variables'!$I51,+IF(O$18='5.Variables'!$B$62,+'5.Variables'!$I65,+IF(O$18='5.Variables'!$B$76,+'5.Variables'!$I79,+IF(O$18='5.Variables'!$B$90,+'5.Variables'!$I93,+IF(O$18='5.Variables'!$B$104,+'5.Variables'!$I107,0))))))</f>
        <v>31</v>
      </c>
      <c r="P38" s="725">
        <f>IF(P$18='5.Variables'!$B$16,+'5.Variables'!$I27,+IF(P$18='5.Variables'!$B$39,+'5.Variables'!$I51,+IF(P$18='5.Variables'!$B$62,+'5.Variables'!$I65,+IF(P$18='5.Variables'!$B$76,+'5.Variables'!$I79,+IF(P$18='5.Variables'!$B$90,+'5.Variables'!$I93,+IF(P$18='5.Variables'!$B$104,+'5.Variables'!$I107,0))))))</f>
        <v>0</v>
      </c>
      <c r="Q38" s="245"/>
      <c r="R38" s="558">
        <f t="shared" si="1"/>
        <v>16672284.813758353</v>
      </c>
      <c r="S38" s="265"/>
      <c r="T38" s="519"/>
      <c r="U38" s="803"/>
      <c r="V38" s="546"/>
      <c r="W38" s="546"/>
      <c r="X38" s="546"/>
      <c r="Y38" s="546"/>
      <c r="Z38" s="546"/>
      <c r="AA38" s="546"/>
      <c r="AB38" s="546"/>
      <c r="AC38" s="546"/>
      <c r="AD38" s="261"/>
      <c r="AE38" s="245"/>
      <c r="AF38" s="245"/>
      <c r="AG38" s="245"/>
      <c r="AH38" s="245"/>
      <c r="AI38" s="245"/>
      <c r="AJ38" s="245"/>
      <c r="AK38" s="245"/>
      <c r="AL38" s="245"/>
      <c r="AM38" s="245"/>
    </row>
    <row r="39" spans="1:39" ht="15.75" thickBot="1" x14ac:dyDescent="0.3">
      <c r="A39" s="503">
        <f t="shared" si="2"/>
        <v>20</v>
      </c>
      <c r="B39" s="262" t="str">
        <f>CONCATENATE('3. Consumption by Rate Class'!B44,"-",'3. Consumption by Rate Class'!C44)</f>
        <v>2006-August</v>
      </c>
      <c r="C39" s="697">
        <v>14646590.370000001</v>
      </c>
      <c r="D39" s="703">
        <v>-39000</v>
      </c>
      <c r="E39" s="707"/>
      <c r="F39" s="703"/>
      <c r="G39" s="703"/>
      <c r="H39" s="704"/>
      <c r="I39" s="704"/>
      <c r="J39" s="263">
        <f t="shared" si="0"/>
        <v>14607590.370000001</v>
      </c>
      <c r="K39" s="725">
        <f>IF(K$18='5.Variables'!$B$16,+'5.Variables'!$J28,+IF(K$18='5.Variables'!$B$39,+'5.Variables'!$J51,+IF(K$18='5.Variables'!$B$62,+'5.Variables'!$J65,+IF(K$18='5.Variables'!$B$76,+'5.Variables'!$J79,+IF(K$18='5.Variables'!$B$90,+'5.Variables'!$J93,+IF(K$18='5.Variables'!$B$104,+'5.Variables'!$J107,0))))))</f>
        <v>18.2</v>
      </c>
      <c r="L39" s="725">
        <f>IF(L$18='5.Variables'!$B$16,+'5.Variables'!$J27,+IF(L$18='5.Variables'!$B$39,+'5.Variables'!$J51,+IF(L$18='5.Variables'!$B$62,+'5.Variables'!$J65,+IF(L$18='5.Variables'!$B$76,+'5.Variables'!$J79,+IF(L$18='5.Variables'!$B$90,+'5.Variables'!$J93,+IF(L$18='5.Variables'!$B$104,+'5.Variables'!$J107,0))))))</f>
        <v>68.099999999999994</v>
      </c>
      <c r="M39" s="725">
        <f>IF(M$18='5.Variables'!$B$16,+'5.Variables'!$J27,+IF(M$18='5.Variables'!$B$39,+'5.Variables'!$J51,+IF(M$18='5.Variables'!$B$62,+'5.Variables'!$J65,+IF(M$18='5.Variables'!$B$76,+'5.Variables'!$J79,+IF(M$18='5.Variables'!$B$90,+'5.Variables'!$J93,+IF(M$18='5.Variables'!$B$104,+'5.Variables'!$J107,0))))))</f>
        <v>0</v>
      </c>
      <c r="N39" s="725">
        <f>IF(N$18='5.Variables'!$B$16,+'5.Variables'!$J27,+IF(N$18='5.Variables'!$B$39,+'5.Variables'!$J51,+IF(N$18='5.Variables'!$B$62,+'5.Variables'!$J65,+IF(N$18='5.Variables'!$B$76,+'5.Variables'!$J79,+IF(N$18='5.Variables'!$B$90,+'5.Variables'!$J93,+IF(N$18='5.Variables'!$B$104,+'5.Variables'!$J107,0))))))</f>
        <v>0</v>
      </c>
      <c r="O39" s="725">
        <f>IF(O$18='5.Variables'!$B$16,+'5.Variables'!$J27,+IF(O$18='5.Variables'!$B$39,+'5.Variables'!$J51,+IF(O$18='5.Variables'!$B$62,+'5.Variables'!$J65,+IF(O$18='5.Variables'!$B$76,+'5.Variables'!$J79,+IF(O$18='5.Variables'!$B$90,+'5.Variables'!$J93,+IF(O$18='5.Variables'!$B$104,+'5.Variables'!$J107,0))))))</f>
        <v>31</v>
      </c>
      <c r="P39" s="725">
        <f>IF(P$18='5.Variables'!$B$16,+'5.Variables'!$J27,+IF(P$18='5.Variables'!$B$39,+'5.Variables'!$J51,+IF(P$18='5.Variables'!$B$62,+'5.Variables'!$J65,+IF(P$18='5.Variables'!$B$76,+'5.Variables'!$J79,+IF(P$18='5.Variables'!$B$90,+'5.Variables'!$J93,+IF(P$18='5.Variables'!$B$104,+'5.Variables'!$J107,0))))))</f>
        <v>0</v>
      </c>
      <c r="Q39" s="245"/>
      <c r="R39" s="558">
        <f t="shared" si="1"/>
        <v>15080268.194364289</v>
      </c>
      <c r="S39" s="265"/>
      <c r="T39" s="519"/>
      <c r="U39" s="804"/>
      <c r="V39" s="547"/>
      <c r="W39" s="547"/>
      <c r="X39" s="547"/>
      <c r="Y39" s="547"/>
      <c r="Z39" s="547"/>
      <c r="AA39" s="547"/>
      <c r="AB39" s="547"/>
      <c r="AC39" s="547"/>
      <c r="AD39" s="261"/>
      <c r="AE39" s="245"/>
      <c r="AF39" s="245"/>
      <c r="AG39" s="245"/>
      <c r="AH39" s="245"/>
      <c r="AI39" s="245"/>
      <c r="AJ39" s="245"/>
      <c r="AK39" s="245"/>
      <c r="AL39" s="245"/>
      <c r="AM39" s="245"/>
    </row>
    <row r="40" spans="1:39" ht="15.75" thickBot="1" x14ac:dyDescent="0.3">
      <c r="A40" s="503">
        <f t="shared" si="2"/>
        <v>21</v>
      </c>
      <c r="B40" s="262" t="str">
        <f>CONCATENATE('3. Consumption by Rate Class'!B45,"-",'3. Consumption by Rate Class'!C45)</f>
        <v>2006-September</v>
      </c>
      <c r="C40" s="697">
        <v>14317893.41</v>
      </c>
      <c r="D40" s="703">
        <v>-42600</v>
      </c>
      <c r="E40" s="707"/>
      <c r="F40" s="703"/>
      <c r="G40" s="703"/>
      <c r="H40" s="704"/>
      <c r="I40" s="704"/>
      <c r="J40" s="263">
        <f t="shared" si="0"/>
        <v>14275293.41</v>
      </c>
      <c r="K40" s="725">
        <f>IF(K$18='5.Variables'!$B$16,+'5.Variables'!$K28,+IF(K$18='5.Variables'!$B$39,+'5.Variables'!$K51,+IF(K$18='5.Variables'!$B$62,+'5.Variables'!$K65,+IF(K$18='5.Variables'!$B$76,+'5.Variables'!$K79,+IF(K$18='5.Variables'!$B$90,+'5.Variables'!$K93,+IF(K$18='5.Variables'!$B$104,+'5.Variables'!$K107,0))))))</f>
        <v>121</v>
      </c>
      <c r="L40" s="725">
        <f>IF(L$18='5.Variables'!$B$16,+'5.Variables'!$K27,+IF(L$18='5.Variables'!$B$39,+'5.Variables'!$K51,+IF(L$18='5.Variables'!$B$62,+'5.Variables'!$K65,+IF(L$18='5.Variables'!$B$76,+'5.Variables'!$K79,+IF(L$18='5.Variables'!$B$90,+'5.Variables'!$K93,+IF(L$18='5.Variables'!$B$104,+'5.Variables'!$K107,0))))))</f>
        <v>5.3</v>
      </c>
      <c r="M40" s="725">
        <f>IF(M$18='5.Variables'!$B$16,+'5.Variables'!$K27,+IF(M$18='5.Variables'!$B$39,+'5.Variables'!$K51,+IF(M$18='5.Variables'!$B$62,+'5.Variables'!$K65,+IF(M$18='5.Variables'!$B$76,+'5.Variables'!$K79,+IF(M$18='5.Variables'!$B$90,+'5.Variables'!$K93,+IF(M$18='5.Variables'!$B$104,+'5.Variables'!$K107,0))))))</f>
        <v>0</v>
      </c>
      <c r="N40" s="725">
        <f>IF(N$18='5.Variables'!$B$16,+'5.Variables'!$K27,+IF(N$18='5.Variables'!$B$39,+'5.Variables'!$K51,+IF(N$18='5.Variables'!$B$62,+'5.Variables'!$K65,+IF(N$18='5.Variables'!$B$76,+'5.Variables'!$K79,+IF(N$18='5.Variables'!$B$90,+'5.Variables'!$K93,+IF(N$18='5.Variables'!$B$104,+'5.Variables'!$K107,0))))))</f>
        <v>0</v>
      </c>
      <c r="O40" s="725">
        <f>IF(O$18='5.Variables'!$B$16,+'5.Variables'!$K27,+IF(O$18='5.Variables'!$B$39,+'5.Variables'!$K51,+IF(O$18='5.Variables'!$B$62,+'5.Variables'!$K65,+IF(O$18='5.Variables'!$B$76,+'5.Variables'!$K79,+IF(O$18='5.Variables'!$B$90,+'5.Variables'!$K93,+IF(O$18='5.Variables'!$B$104,+'5.Variables'!$K107,0))))))</f>
        <v>30</v>
      </c>
      <c r="P40" s="725">
        <f>IF(P$18='5.Variables'!$B$16,+'5.Variables'!$K27,+IF(P$18='5.Variables'!$B$39,+'5.Variables'!$K51,+IF(P$18='5.Variables'!$B$62,+'5.Variables'!$K65,+IF(P$18='5.Variables'!$B$76,+'5.Variables'!$K79,+IF(P$18='5.Variables'!$B$90,+'5.Variables'!$K93,+IF(P$18='5.Variables'!$B$104,+'5.Variables'!$K107,0))))))</f>
        <v>0</v>
      </c>
      <c r="Q40" s="245"/>
      <c r="R40" s="558">
        <f t="shared" si="1"/>
        <v>14086232.09607538</v>
      </c>
      <c r="S40" s="265"/>
      <c r="T40" s="519"/>
      <c r="U40" s="547"/>
      <c r="V40" s="547"/>
      <c r="W40" s="547"/>
      <c r="X40" s="547"/>
      <c r="Y40" s="547"/>
      <c r="Z40" s="547"/>
      <c r="AA40" s="547"/>
      <c r="AB40" s="547"/>
      <c r="AC40" s="547"/>
      <c r="AD40" s="261"/>
      <c r="AE40" s="245"/>
      <c r="AF40" s="245"/>
      <c r="AG40" s="245"/>
      <c r="AH40" s="245"/>
      <c r="AI40" s="245"/>
      <c r="AJ40" s="245"/>
      <c r="AK40" s="245"/>
      <c r="AL40" s="245"/>
      <c r="AM40" s="245"/>
    </row>
    <row r="41" spans="1:39" x14ac:dyDescent="0.2">
      <c r="A41" s="503">
        <f t="shared" si="2"/>
        <v>22</v>
      </c>
      <c r="B41" s="262" t="str">
        <f>CONCATENATE('3. Consumption by Rate Class'!B46,"-",'3. Consumption by Rate Class'!C46)</f>
        <v>2006-October</v>
      </c>
      <c r="C41" s="697">
        <v>16184185.029999999</v>
      </c>
      <c r="D41" s="703">
        <v>-39000</v>
      </c>
      <c r="E41" s="707"/>
      <c r="F41" s="703"/>
      <c r="G41" s="703"/>
      <c r="H41" s="704"/>
      <c r="I41" s="704"/>
      <c r="J41" s="263">
        <f t="shared" si="0"/>
        <v>16145185.029999999</v>
      </c>
      <c r="K41" s="725">
        <f>IF(K$18='5.Variables'!$B$16,+'5.Variables'!$L28,+IF(K$18='5.Variables'!$B$39,+'5.Variables'!$L51,+IF(K$18='5.Variables'!$B$62,+'5.Variables'!$L65,+IF(K$18='5.Variables'!$B$76,+'5.Variables'!$L79,+IF(K$18='5.Variables'!$B$90,+'5.Variables'!$L93,+IF(K$18='5.Variables'!$B$104,+'5.Variables'!$L107,0))))))</f>
        <v>335.7</v>
      </c>
      <c r="L41" s="725">
        <f>IF(L$18='5.Variables'!$B$16,+'5.Variables'!$L27,+IF(L$18='5.Variables'!$B$39,+'5.Variables'!$L51,+IF(L$18='5.Variables'!$B$62,+'5.Variables'!$L65,+IF(L$18='5.Variables'!$B$76,+'5.Variables'!$L79,+IF(L$18='5.Variables'!$B$90,+'5.Variables'!$L93,+IF(L$18='5.Variables'!$B$104,+'5.Variables'!$L107,0))))))</f>
        <v>0</v>
      </c>
      <c r="M41" s="725">
        <f>IF(M$18='5.Variables'!$B$16,+'5.Variables'!$L27,+IF(M$18='5.Variables'!$B$39,+'5.Variables'!$L51,+IF(M$18='5.Variables'!$B$62,+'5.Variables'!$L65,+IF(M$18='5.Variables'!$B$76,+'5.Variables'!$L79,+IF(M$18='5.Variables'!$B$90,+'5.Variables'!$L93,+IF(M$18='5.Variables'!$B$104,+'5.Variables'!$L107,0))))))</f>
        <v>0</v>
      </c>
      <c r="N41" s="725">
        <f>IF(N$18='5.Variables'!$B$16,+'5.Variables'!$L27,+IF(N$18='5.Variables'!$B$39,+'5.Variables'!$L51,+IF(N$18='5.Variables'!$B$62,+'5.Variables'!$L65,+IF(N$18='5.Variables'!$B$76,+'5.Variables'!$L79,+IF(N$18='5.Variables'!$B$90,+'5.Variables'!$L93,+IF(N$18='5.Variables'!$B$104,+'5.Variables'!$L107,0))))))</f>
        <v>0</v>
      </c>
      <c r="O41" s="725">
        <f>IF(O$18='5.Variables'!$B$16,+'5.Variables'!$L27,+IF(O$18='5.Variables'!$B$39,+'5.Variables'!$L51,+IF(O$18='5.Variables'!$B$62,+'5.Variables'!$L65,+IF(O$18='5.Variables'!$B$76,+'5.Variables'!$L79,+IF(O$18='5.Variables'!$B$90,+'5.Variables'!$L93,+IF(O$18='5.Variables'!$B$104,+'5.Variables'!$L107,0))))))</f>
        <v>31</v>
      </c>
      <c r="P41" s="725">
        <f>IF(P$18='5.Variables'!$B$16,+'5.Variables'!$L27,+IF(P$18='5.Variables'!$B$39,+'5.Variables'!$L51,+IF(P$18='5.Variables'!$B$62,+'5.Variables'!$L65,+IF(P$18='5.Variables'!$B$76,+'5.Variables'!$L79,+IF(P$18='5.Variables'!$B$90,+'5.Variables'!$L93,+IF(P$18='5.Variables'!$B$104,+'5.Variables'!$L107,0))))))</f>
        <v>0</v>
      </c>
      <c r="Q41" s="245"/>
      <c r="R41" s="558">
        <f t="shared" si="1"/>
        <v>15473473.983793832</v>
      </c>
      <c r="S41" s="265"/>
      <c r="T41" s="245"/>
      <c r="U41"/>
      <c r="V41"/>
      <c r="W41"/>
      <c r="X41"/>
      <c r="Y41"/>
      <c r="Z41"/>
      <c r="AA41"/>
      <c r="AB41"/>
      <c r="AC41"/>
      <c r="AD41" s="261"/>
      <c r="AE41" s="245"/>
      <c r="AF41" s="245"/>
      <c r="AG41" s="245"/>
      <c r="AH41" s="245"/>
      <c r="AI41" s="245"/>
      <c r="AJ41" s="245"/>
      <c r="AK41" s="245"/>
      <c r="AL41" s="245"/>
      <c r="AM41" s="245"/>
    </row>
    <row r="42" spans="1:39" x14ac:dyDescent="0.2">
      <c r="A42" s="503">
        <f t="shared" si="2"/>
        <v>23</v>
      </c>
      <c r="B42" s="262" t="str">
        <f>CONCATENATE('3. Consumption by Rate Class'!B47,"-",'3. Consumption by Rate Class'!C47)</f>
        <v>2006-November</v>
      </c>
      <c r="C42" s="697">
        <v>16855953.34</v>
      </c>
      <c r="D42" s="703">
        <v>-51000</v>
      </c>
      <c r="E42" s="707"/>
      <c r="F42" s="703"/>
      <c r="G42" s="703"/>
      <c r="H42" s="704"/>
      <c r="I42" s="704"/>
      <c r="J42" s="263">
        <f t="shared" si="0"/>
        <v>16804953.34</v>
      </c>
      <c r="K42" s="725">
        <f>IF(K$18='5.Variables'!$B$16,+'5.Variables'!$M28,+IF(K$18='5.Variables'!$B$39,+'5.Variables'!$M51,+IF(K$18='5.Variables'!$B$62,+'5.Variables'!$M65,+IF(K$18='5.Variables'!$B$76,+'5.Variables'!$M79,+IF(K$18='5.Variables'!$B$90,+'5.Variables'!$M93,+IF(K$18='5.Variables'!$B$104,+'5.Variables'!$M107,0))))))</f>
        <v>417.3</v>
      </c>
      <c r="L42" s="725">
        <f>IF(L$18='5.Variables'!$B$16,+'5.Variables'!$M27,+IF(L$18='5.Variables'!$B$39,+'5.Variables'!$M51,+IF(L$18='5.Variables'!$B$62,+'5.Variables'!$M65,+IF(L$18='5.Variables'!$B$76,+'5.Variables'!$M79,+IF(L$18='5.Variables'!$B$90,+'5.Variables'!$M93,+IF(L$18='5.Variables'!$B$104,+'5.Variables'!$M107,0))))))</f>
        <v>0</v>
      </c>
      <c r="M42" s="725">
        <f>IF(M$18='5.Variables'!$B$16,+'5.Variables'!$M27,+IF(M$18='5.Variables'!$B$39,+'5.Variables'!$M51,+IF(M$18='5.Variables'!$B$62,+'5.Variables'!$M65,+IF(M$18='5.Variables'!$B$76,+'5.Variables'!$M79,+IF(M$18='5.Variables'!$B$90,+'5.Variables'!$M93,+IF(M$18='5.Variables'!$B$104,+'5.Variables'!$M107,0))))))</f>
        <v>0</v>
      </c>
      <c r="N42" s="725">
        <f>IF(N$18='5.Variables'!$B$16,+'5.Variables'!$M27,+IF(N$18='5.Variables'!$B$39,+'5.Variables'!$M51,+IF(N$18='5.Variables'!$B$62,+'5.Variables'!$M65,+IF(N$18='5.Variables'!$B$76,+'5.Variables'!$M79,+IF(N$18='5.Variables'!$B$90,+'5.Variables'!$M93,+IF(N$18='5.Variables'!$B$104,+'5.Variables'!$M107,0))))))</f>
        <v>0</v>
      </c>
      <c r="O42" s="725">
        <f>IF(O$18='5.Variables'!$B$16,+'5.Variables'!$M27,+IF(O$18='5.Variables'!$B$39,+'5.Variables'!$M51,+IF(O$18='5.Variables'!$B$62,+'5.Variables'!$M65,+IF(O$18='5.Variables'!$B$76,+'5.Variables'!$M79,+IF(O$18='5.Variables'!$B$90,+'5.Variables'!$M93,+IF(O$18='5.Variables'!$B$104,+'5.Variables'!$M107,0))))))</f>
        <v>30</v>
      </c>
      <c r="P42" s="725">
        <f>IF(P$18='5.Variables'!$B$16,+'5.Variables'!$M27,+IF(P$18='5.Variables'!$B$39,+'5.Variables'!$M51,+IF(P$18='5.Variables'!$B$62,+'5.Variables'!$M65,+IF(P$18='5.Variables'!$B$76,+'5.Variables'!$M79,+IF(P$18='5.Variables'!$B$90,+'5.Variables'!$M93,+IF(P$18='5.Variables'!$B$104,+'5.Variables'!$M107,0))))))</f>
        <v>0</v>
      </c>
      <c r="Q42" s="245"/>
      <c r="R42" s="558">
        <f t="shared" si="1"/>
        <v>16056145.771210086</v>
      </c>
      <c r="S42" s="265"/>
      <c r="T42" s="245"/>
      <c r="U42"/>
      <c r="V42"/>
      <c r="W42"/>
      <c r="X42"/>
      <c r="Y42"/>
      <c r="Z42"/>
      <c r="AA42"/>
      <c r="AB42"/>
      <c r="AC42"/>
      <c r="AD42" s="261"/>
      <c r="AE42" s="245"/>
      <c r="AF42" s="245"/>
      <c r="AG42" s="245"/>
      <c r="AH42" s="245"/>
      <c r="AI42" s="245"/>
      <c r="AJ42" s="245"/>
      <c r="AK42" s="245"/>
      <c r="AL42" s="245"/>
      <c r="AM42" s="245"/>
    </row>
    <row r="43" spans="1:39" ht="13.5" customHeight="1" x14ac:dyDescent="0.2">
      <c r="A43" s="503">
        <f t="shared" si="2"/>
        <v>24</v>
      </c>
      <c r="B43" s="522" t="str">
        <f>CONCATENATE('3. Consumption by Rate Class'!B48,"-",'3. Consumption by Rate Class'!C48)</f>
        <v>2006-December</v>
      </c>
      <c r="C43" s="698">
        <v>19706058.609999999</v>
      </c>
      <c r="D43" s="705">
        <v>-42000</v>
      </c>
      <c r="E43" s="705"/>
      <c r="F43" s="705"/>
      <c r="G43" s="705"/>
      <c r="H43" s="706"/>
      <c r="I43" s="706"/>
      <c r="J43" s="263">
        <f t="shared" si="0"/>
        <v>19664058.609999999</v>
      </c>
      <c r="K43" s="725">
        <f>IF(K$18='5.Variables'!$B$16,+'5.Variables'!$N28,+IF(K$18='5.Variables'!$B$39,+'5.Variables'!$N51,+IF(K$18='5.Variables'!$B$62,+'5.Variables'!$N65,+IF(K$18='5.Variables'!$B$76,+'5.Variables'!$N79,+IF(K$18='5.Variables'!$B$90,+'5.Variables'!$N93,+IF(K$18='5.Variables'!$B$104,+'5.Variables'!$N107,0))))))</f>
        <v>610</v>
      </c>
      <c r="L43" s="725">
        <f>IF(L$18='5.Variables'!$B$16,+'5.Variables'!$N27,+IF(L$18='5.Variables'!$B$39,+'5.Variables'!$N51,+IF(L$18='5.Variables'!$B$62,+'5.Variables'!$N65,+IF(L$18='5.Variables'!$B$76,+'5.Variables'!$N79,+IF(L$18='5.Variables'!$B$90,+'5.Variables'!$N93,+IF(L$18='5.Variables'!$B$104,+'5.Variables'!$N107,0))))))</f>
        <v>0</v>
      </c>
      <c r="M43" s="725">
        <f>IF(M$18='5.Variables'!$B$16,+'5.Variables'!$N27,+IF(M$18='5.Variables'!$B$39,+'5.Variables'!$N51,+IF(M$18='5.Variables'!$B$62,+'5.Variables'!$N65,+IF(M$18='5.Variables'!$B$76,+'5.Variables'!$N79,+IF(M$18='5.Variables'!$B$90,+'5.Variables'!$N93,+IF(M$18='5.Variables'!$B$104,+'5.Variables'!$N107,0))))))</f>
        <v>1</v>
      </c>
      <c r="N43" s="725">
        <f>IF(N$18='5.Variables'!$B$16,+'5.Variables'!$N27,+IF(N$18='5.Variables'!$B$39,+'5.Variables'!$N51,+IF(N$18='5.Variables'!$B$62,+'5.Variables'!$N65,+IF(N$18='5.Variables'!$B$76,+'5.Variables'!$N79,+IF(N$18='5.Variables'!$B$90,+'5.Variables'!$N93,+IF(N$18='5.Variables'!$B$104,+'5.Variables'!$N107,0))))))</f>
        <v>1</v>
      </c>
      <c r="O43" s="725">
        <f>IF(O$18='5.Variables'!$B$16,+'5.Variables'!$N27,+IF(O$18='5.Variables'!$B$39,+'5.Variables'!$N51,+IF(O$18='5.Variables'!$B$62,+'5.Variables'!$N65,+IF(O$18='5.Variables'!$B$76,+'5.Variables'!$N79,+IF(O$18='5.Variables'!$B$90,+'5.Variables'!$N93,+IF(O$18='5.Variables'!$B$104,+'5.Variables'!$N107,0))))))</f>
        <v>31</v>
      </c>
      <c r="P43" s="725">
        <f>IF(P$18='5.Variables'!$B$16,+'5.Variables'!$N27,+IF(P$18='5.Variables'!$B$39,+'5.Variables'!$N51,+IF(P$18='5.Variables'!$B$62,+'5.Variables'!$N65,+IF(P$18='5.Variables'!$B$76,+'5.Variables'!$N79,+IF(P$18='5.Variables'!$B$90,+'5.Variables'!$N93,+IF(P$18='5.Variables'!$B$104,+'5.Variables'!$N107,0))))))</f>
        <v>0</v>
      </c>
      <c r="Q43" s="245"/>
      <c r="R43" s="558">
        <f t="shared" si="1"/>
        <v>18907084.844344527</v>
      </c>
      <c r="S43" s="265">
        <f>SUM(R32:R43)</f>
        <v>197556431.56635299</v>
      </c>
      <c r="T43" s="245"/>
      <c r="U43"/>
      <c r="V43"/>
      <c r="W43"/>
      <c r="X43"/>
      <c r="Y43"/>
      <c r="Z43"/>
      <c r="AA43"/>
      <c r="AB43"/>
      <c r="AC43"/>
      <c r="AD43" s="261"/>
      <c r="AE43" s="245"/>
      <c r="AF43" s="245"/>
      <c r="AG43" s="245"/>
      <c r="AH43" s="245"/>
      <c r="AI43" s="245"/>
      <c r="AJ43" s="245"/>
      <c r="AK43" s="245"/>
      <c r="AL43" s="245"/>
      <c r="AM43" s="245"/>
    </row>
    <row r="44" spans="1:39" x14ac:dyDescent="0.2">
      <c r="A44" s="503">
        <f t="shared" si="2"/>
        <v>25</v>
      </c>
      <c r="B44" s="262" t="str">
        <f>CONCATENATE('3. Consumption by Rate Class'!B49,"-",'3. Consumption by Rate Class'!C49)</f>
        <v>2007-January</v>
      </c>
      <c r="C44" s="697">
        <v>19930521.599999998</v>
      </c>
      <c r="D44" s="703">
        <v>-51600</v>
      </c>
      <c r="E44" s="707"/>
      <c r="F44" s="703"/>
      <c r="G44" s="703"/>
      <c r="H44" s="704"/>
      <c r="I44" s="704"/>
      <c r="J44" s="263">
        <f t="shared" si="0"/>
        <v>19878921.599999998</v>
      </c>
      <c r="K44" s="725">
        <f>IF(K$18='5.Variables'!$B$16,+'5.Variables'!$C29,+IF(K$18='5.Variables'!$B$39,+'5.Variables'!$C52,+IF(K$18='5.Variables'!$B$62,+'5.Variables'!$C66,+IF(K$18='5.Variables'!$B$76,+'5.Variables'!$C80,+IF(K$18='5.Variables'!$B$90,+'5.Variables'!$C94,+IF(K$18='5.Variables'!$B$104,+'5.Variables'!$C108,0))))))</f>
        <v>797.1</v>
      </c>
      <c r="L44" s="725">
        <f>IF(L$18='5.Variables'!$B$16,+'5.Variables'!$C28,+IF(L$18='5.Variables'!$B$39,+'5.Variables'!$C52,+IF(L$18='5.Variables'!$B$62,+'5.Variables'!$C66,+IF(L$18='5.Variables'!$B$76,+'5.Variables'!$C80,+IF(L$18='5.Variables'!$B$90,+'5.Variables'!$C94,+IF(L$18='5.Variables'!$B$104,+'5.Variables'!$C108,0))))))</f>
        <v>0</v>
      </c>
      <c r="M44" s="725">
        <f>IF(M$18='5.Variables'!$B$16,+'5.Variables'!$C28,+IF(M$18='5.Variables'!$B$39,+'5.Variables'!$C52,+IF(M$18='5.Variables'!$B$62,+'5.Variables'!$C66,+IF(M$18='5.Variables'!$B$76,+'5.Variables'!$C80,+IF(M$18='5.Variables'!$B$90,+'5.Variables'!$C94,+IF(M$18='5.Variables'!$B$104,+'5.Variables'!$C108,0))))))</f>
        <v>1</v>
      </c>
      <c r="N44" s="725">
        <f>IF(N$18='5.Variables'!$B$16,+'5.Variables'!$C28,+IF(N$18='5.Variables'!$B$39,+'5.Variables'!$C52,+IF(N$18='5.Variables'!$B$62,+'5.Variables'!$C66,+IF(N$18='5.Variables'!$B$76,+'5.Variables'!$C80,+IF(N$18='5.Variables'!$B$90,+'5.Variables'!$C94,+IF(N$18='5.Variables'!$B$104,+'5.Variables'!$C108,0))))))</f>
        <v>1</v>
      </c>
      <c r="O44" s="725">
        <f>IF(O$18='5.Variables'!$B$16,+'5.Variables'!$C28,+IF(O$18='5.Variables'!$B$39,+'5.Variables'!$C52,+IF(O$18='5.Variables'!$B$62,+'5.Variables'!$C66,+IF(O$18='5.Variables'!$B$76,+'5.Variables'!$C80,+IF(O$18='5.Variables'!$B$90,+'5.Variables'!$C94,+IF(O$18='5.Variables'!$B$104,+'5.Variables'!$C108,0))))))</f>
        <v>31</v>
      </c>
      <c r="P44" s="725">
        <f>IF(P$18='5.Variables'!$B$16,+'5.Variables'!$C28,+IF(P$18='5.Variables'!$B$39,+'5.Variables'!$C52,+IF(P$18='5.Variables'!$B$62,+'5.Variables'!$C66,+IF(P$18='5.Variables'!$B$76,+'5.Variables'!$C80,+IF(P$18='5.Variables'!$B$90,+'5.Variables'!$C94,+IF(P$18='5.Variables'!$B$104,+'5.Variables'!$C108,0))))))</f>
        <v>0</v>
      </c>
      <c r="Q44" s="245"/>
      <c r="R44" s="558">
        <f t="shared" si="1"/>
        <v>20243088.415736448</v>
      </c>
      <c r="S44" s="265"/>
      <c r="T44" s="245"/>
      <c r="U44" s="266" t="s">
        <v>166</v>
      </c>
      <c r="V44" s="259"/>
      <c r="W44" s="259"/>
      <c r="X44" s="259"/>
      <c r="Y44" s="259"/>
      <c r="Z44" s="259"/>
      <c r="AA44" s="259"/>
      <c r="AB44" s="259"/>
      <c r="AC44" s="259"/>
      <c r="AD44" s="261"/>
      <c r="AE44" s="245"/>
      <c r="AF44" s="245"/>
      <c r="AG44" s="245"/>
      <c r="AH44" s="245"/>
      <c r="AI44" s="245"/>
      <c r="AJ44" s="245"/>
      <c r="AK44" s="245"/>
      <c r="AL44" s="245"/>
      <c r="AM44" s="245"/>
    </row>
    <row r="45" spans="1:39" x14ac:dyDescent="0.2">
      <c r="A45" s="503">
        <f t="shared" si="2"/>
        <v>26</v>
      </c>
      <c r="B45" s="262" t="str">
        <f>CONCATENATE('3. Consumption by Rate Class'!B50,"-",'3. Consumption by Rate Class'!C50)</f>
        <v>2007-February</v>
      </c>
      <c r="C45" s="697">
        <v>20103742.48</v>
      </c>
      <c r="D45" s="703">
        <v>-53400</v>
      </c>
      <c r="E45" s="707"/>
      <c r="F45" s="703"/>
      <c r="G45" s="703"/>
      <c r="H45" s="704"/>
      <c r="I45" s="704"/>
      <c r="J45" s="263">
        <f t="shared" si="0"/>
        <v>20050342.48</v>
      </c>
      <c r="K45" s="725">
        <f>IF(K$18='5.Variables'!$B$16,+'5.Variables'!$D29,+IF(K$18='5.Variables'!$B$39,+'5.Variables'!$D52,+IF(K$18='5.Variables'!$B$62,+'5.Variables'!$D66,+IF(K$18='5.Variables'!$B$76,+'5.Variables'!$D80,+IF(K$18='5.Variables'!$B$90,+'5.Variables'!$D94,+IF(K$18='5.Variables'!$B$104,+'5.Variables'!$D108,0))))))</f>
        <v>820</v>
      </c>
      <c r="L45" s="725">
        <f>IF(L$18='5.Variables'!$B$16,+'5.Variables'!$D28,+IF(L$18='5.Variables'!$B$39,+'5.Variables'!$D52,+IF(L$18='5.Variables'!$B$62,+'5.Variables'!$D66,+IF(L$18='5.Variables'!$B$76,+'5.Variables'!$D80,+IF(L$18='5.Variables'!$B$90,+'5.Variables'!$D94,+IF(L$18='5.Variables'!$B$104,+'5.Variables'!$D108,0))))))</f>
        <v>0</v>
      </c>
      <c r="M45" s="725">
        <f>IF(M$18='5.Variables'!$B$16,+'5.Variables'!$D28,+IF(M$18='5.Variables'!$B$39,+'5.Variables'!$D52,+IF(M$18='5.Variables'!$B$62,+'5.Variables'!$D66,+IF(M$18='5.Variables'!$B$76,+'5.Variables'!$D80,+IF(M$18='5.Variables'!$B$90,+'5.Variables'!$D94,+IF(M$18='5.Variables'!$B$104,+'5.Variables'!$D108,0))))))</f>
        <v>1</v>
      </c>
      <c r="N45" s="725">
        <f>IF(N$18='5.Variables'!$B$16,+'5.Variables'!$D28,+IF(N$18='5.Variables'!$B$39,+'5.Variables'!$D52,+IF(N$18='5.Variables'!$B$62,+'5.Variables'!$D66,+IF(N$18='5.Variables'!$B$76,+'5.Variables'!$D80,+IF(N$18='5.Variables'!$B$90,+'5.Variables'!$D94,+IF(N$18='5.Variables'!$B$104,+'5.Variables'!$D108,0))))))</f>
        <v>0</v>
      </c>
      <c r="O45" s="725">
        <f>IF(O$18='5.Variables'!$B$16,+'5.Variables'!$D28,+IF(O$18='5.Variables'!$B$39,+'5.Variables'!$D52,+IF(O$18='5.Variables'!$B$62,+'5.Variables'!$D66,+IF(O$18='5.Variables'!$B$76,+'5.Variables'!$D80,+IF(O$18='5.Variables'!$B$90,+'5.Variables'!$D94,+IF(O$18='5.Variables'!$B$104,+'5.Variables'!$D108,0))))))</f>
        <v>28</v>
      </c>
      <c r="P45" s="725">
        <f>IF(P$18='5.Variables'!$B$16,+'5.Variables'!$D28,+IF(P$18='5.Variables'!$B$39,+'5.Variables'!$D52,+IF(P$18='5.Variables'!$B$62,+'5.Variables'!$D66,+IF(P$18='5.Variables'!$B$76,+'5.Variables'!$D80,+IF(P$18='5.Variables'!$B$90,+'5.Variables'!$D94,+IF(P$18='5.Variables'!$B$104,+'5.Variables'!$D108,0))))))</f>
        <v>0</v>
      </c>
      <c r="Q45" s="245"/>
      <c r="R45" s="558">
        <f t="shared" si="1"/>
        <v>20406607.826665767</v>
      </c>
      <c r="S45" s="265"/>
      <c r="T45" s="245"/>
      <c r="U45" s="249" t="s">
        <v>33</v>
      </c>
      <c r="V45" s="249" t="s">
        <v>43</v>
      </c>
      <c r="W45" s="249" t="s">
        <v>45</v>
      </c>
      <c r="X45" s="249" t="s">
        <v>31</v>
      </c>
      <c r="Y45" s="249" t="s">
        <v>45</v>
      </c>
      <c r="Z45" s="249" t="s">
        <v>46</v>
      </c>
      <c r="AA45" s="245"/>
      <c r="AB45" s="245"/>
      <c r="AC45" s="245"/>
      <c r="AD45" s="261"/>
      <c r="AE45" s="245"/>
      <c r="AF45" s="245"/>
      <c r="AG45" s="245"/>
      <c r="AH45" s="245"/>
      <c r="AI45" s="245"/>
      <c r="AJ45" s="245"/>
      <c r="AK45" s="245"/>
      <c r="AL45" s="245"/>
      <c r="AM45" s="245"/>
    </row>
    <row r="46" spans="1:39" x14ac:dyDescent="0.2">
      <c r="A46" s="503">
        <f t="shared" si="2"/>
        <v>27</v>
      </c>
      <c r="B46" s="262" t="str">
        <f>CONCATENATE('3. Consumption by Rate Class'!B51,"-",'3. Consumption by Rate Class'!C51)</f>
        <v>2007-March</v>
      </c>
      <c r="C46" s="697">
        <v>18408483.109999999</v>
      </c>
      <c r="D46" s="703">
        <v>-55200</v>
      </c>
      <c r="E46" s="707"/>
      <c r="F46" s="703"/>
      <c r="G46" s="703"/>
      <c r="H46" s="704"/>
      <c r="I46" s="704"/>
      <c r="J46" s="263">
        <f t="shared" si="0"/>
        <v>18353283.109999999</v>
      </c>
      <c r="K46" s="725">
        <f>IF(K$18='5.Variables'!$B$16,+'5.Variables'!$E29,+IF(K$18='5.Variables'!$B$39,+'5.Variables'!$E52,+IF(K$18='5.Variables'!$B$62,+'5.Variables'!$E66,+IF(K$18='5.Variables'!$B$76,+'5.Variables'!$E80,+IF(K$18='5.Variables'!$B$90,+'5.Variables'!$E94,+IF(K$18='5.Variables'!$B$104,+'5.Variables'!$E108,0))))))</f>
        <v>643</v>
      </c>
      <c r="L46" s="725">
        <f>IF(L$18='5.Variables'!$B$16,+'5.Variables'!$E28,+IF(L$18='5.Variables'!$B$39,+'5.Variables'!$E52,+IF(L$18='5.Variables'!$B$62,+'5.Variables'!$E66,+IF(L$18='5.Variables'!$B$76,+'5.Variables'!$E80,+IF(L$18='5.Variables'!$B$90,+'5.Variables'!$E94,+IF(L$18='5.Variables'!$B$104,+'5.Variables'!$E108,0))))))</f>
        <v>0</v>
      </c>
      <c r="M46" s="725">
        <f>IF(M$18='5.Variables'!$B$16,+'5.Variables'!$E28,+IF(M$18='5.Variables'!$B$39,+'5.Variables'!$E52,+IF(M$18='5.Variables'!$B$62,+'5.Variables'!$E66,+IF(M$18='5.Variables'!$B$76,+'5.Variables'!$E80,+IF(M$18='5.Variables'!$B$90,+'5.Variables'!$E94,+IF(M$18='5.Variables'!$B$104,+'5.Variables'!$E108,0))))))</f>
        <v>0</v>
      </c>
      <c r="N46" s="725">
        <f>IF(N$18='5.Variables'!$B$16,+'5.Variables'!$E28,+IF(N$18='5.Variables'!$B$39,+'5.Variables'!$E52,+IF(N$18='5.Variables'!$B$62,+'5.Variables'!$E66,+IF(N$18='5.Variables'!$B$76,+'5.Variables'!$E80,+IF(N$18='5.Variables'!$B$90,+'5.Variables'!$E94,+IF(N$18='5.Variables'!$B$104,+'5.Variables'!$E108,0))))))</f>
        <v>1</v>
      </c>
      <c r="O46" s="725">
        <f>IF(O$18='5.Variables'!$B$16,+'5.Variables'!$E28,+IF(O$18='5.Variables'!$B$39,+'5.Variables'!$E52,+IF(O$18='5.Variables'!$B$62,+'5.Variables'!$E66,+IF(O$18='5.Variables'!$B$76,+'5.Variables'!$E80,+IF(O$18='5.Variables'!$B$90,+'5.Variables'!$E94,+IF(O$18='5.Variables'!$B$104,+'5.Variables'!$E108,0))))))</f>
        <v>31</v>
      </c>
      <c r="P46" s="725">
        <f>IF(P$18='5.Variables'!$B$16,+'5.Variables'!$E28,+IF(P$18='5.Variables'!$B$39,+'5.Variables'!$E52,+IF(P$18='5.Variables'!$B$62,+'5.Variables'!$E66,+IF(P$18='5.Variables'!$B$76,+'5.Variables'!$E80,+IF(P$18='5.Variables'!$B$90,+'5.Variables'!$E94,+IF(P$18='5.Variables'!$B$104,+'5.Variables'!$E108,0))))))</f>
        <v>0</v>
      </c>
      <c r="Q46" s="245"/>
      <c r="R46" s="558">
        <f t="shared" si="1"/>
        <v>17667775.94792391</v>
      </c>
      <c r="S46" s="265"/>
      <c r="T46" s="245"/>
      <c r="U46" s="250">
        <f>'4. Customer Growth'!B17</f>
        <v>2005</v>
      </c>
      <c r="V46" s="267">
        <f>SUM(J20:J31)</f>
        <v>209871328.75141218</v>
      </c>
      <c r="W46" s="267"/>
      <c r="X46" s="267">
        <f>S31</f>
        <v>203844303.0754298</v>
      </c>
      <c r="Y46" s="267"/>
      <c r="Z46" s="268">
        <f t="shared" ref="Z46:Z55" si="3">(X46-V46)/V46</f>
        <v>-2.8717718193518756E-2</v>
      </c>
      <c r="AA46" s="245"/>
      <c r="AB46" s="245"/>
      <c r="AC46" s="245"/>
      <c r="AD46" s="261"/>
      <c r="AE46" s="245"/>
      <c r="AF46" s="245"/>
      <c r="AG46" s="245"/>
      <c r="AH46" s="245"/>
      <c r="AI46" s="245"/>
      <c r="AJ46" s="245"/>
      <c r="AK46" s="245"/>
      <c r="AL46" s="245"/>
      <c r="AM46" s="245"/>
    </row>
    <row r="47" spans="1:39" x14ac:dyDescent="0.2">
      <c r="A47" s="503">
        <f t="shared" si="2"/>
        <v>28</v>
      </c>
      <c r="B47" s="262" t="str">
        <f>CONCATENATE('3. Consumption by Rate Class'!B52,"-",'3. Consumption by Rate Class'!C52)</f>
        <v>2007-April</v>
      </c>
      <c r="C47" s="697">
        <v>16371659.470000001</v>
      </c>
      <c r="D47" s="703">
        <v>-51600</v>
      </c>
      <c r="E47" s="707"/>
      <c r="F47" s="703"/>
      <c r="G47" s="703"/>
      <c r="H47" s="704"/>
      <c r="I47" s="704"/>
      <c r="J47" s="263">
        <f t="shared" si="0"/>
        <v>16320059.470000001</v>
      </c>
      <c r="K47" s="725">
        <f>IF(K$18='5.Variables'!$B$16,+'5.Variables'!$F29,+IF(K$18='5.Variables'!$B$39,+'5.Variables'!$F52,+IF(K$18='5.Variables'!$B$62,+'5.Variables'!$F66,+IF(K$18='5.Variables'!$B$76,+'5.Variables'!$F80,+IF(K$18='5.Variables'!$B$90,+'5.Variables'!$F94,+IF(K$18='5.Variables'!$B$104,+'5.Variables'!$F108,0))))))</f>
        <v>361.1</v>
      </c>
      <c r="L47" s="725">
        <f>IF(L$18='5.Variables'!$B$16,+'5.Variables'!$F28,+IF(L$18='5.Variables'!$B$39,+'5.Variables'!$F52,+IF(L$18='5.Variables'!$B$62,+'5.Variables'!$F66,+IF(L$18='5.Variables'!$B$76,+'5.Variables'!$F80,+IF(L$18='5.Variables'!$B$90,+'5.Variables'!$F94,+IF(L$18='5.Variables'!$B$104,+'5.Variables'!$F108,0))))))</f>
        <v>0</v>
      </c>
      <c r="M47" s="725">
        <f>IF(M$18='5.Variables'!$B$16,+'5.Variables'!$F28,+IF(M$18='5.Variables'!$B$39,+'5.Variables'!$F52,+IF(M$18='5.Variables'!$B$62,+'5.Variables'!$F66,+IF(M$18='5.Variables'!$B$76,+'5.Variables'!$F80,+IF(M$18='5.Variables'!$B$90,+'5.Variables'!$F94,+IF(M$18='5.Variables'!$B$104,+'5.Variables'!$F108,0))))))</f>
        <v>0</v>
      </c>
      <c r="N47" s="725">
        <f>IF(N$18='5.Variables'!$B$16,+'5.Variables'!$F28,+IF(N$18='5.Variables'!$B$39,+'5.Variables'!$F52,+IF(N$18='5.Variables'!$B$62,+'5.Variables'!$F66,+IF(N$18='5.Variables'!$B$76,+'5.Variables'!$F80,+IF(N$18='5.Variables'!$B$90,+'5.Variables'!$F94,+IF(N$18='5.Variables'!$B$104,+'5.Variables'!$F108,0))))))</f>
        <v>0</v>
      </c>
      <c r="O47" s="725">
        <f>IF(O$18='5.Variables'!$B$16,+'5.Variables'!$F28,+IF(O$18='5.Variables'!$B$39,+'5.Variables'!$F52,+IF(O$18='5.Variables'!$B$62,+'5.Variables'!$F66,+IF(O$18='5.Variables'!$B$76,+'5.Variables'!$F80,+IF(O$18='5.Variables'!$B$90,+'5.Variables'!$F94,+IF(O$18='5.Variables'!$B$104,+'5.Variables'!$F108,0))))))</f>
        <v>30</v>
      </c>
      <c r="P47" s="725">
        <f>IF(P$18='5.Variables'!$B$16,+'5.Variables'!$F28,+IF(P$18='5.Variables'!$B$39,+'5.Variables'!$F52,+IF(P$18='5.Variables'!$B$62,+'5.Variables'!$F66,+IF(P$18='5.Variables'!$B$76,+'5.Variables'!$F80,+IF(P$18='5.Variables'!$B$90,+'5.Variables'!$F94,+IF(P$18='5.Variables'!$B$104,+'5.Variables'!$F108,0))))))</f>
        <v>0</v>
      </c>
      <c r="Q47" s="245"/>
      <c r="R47" s="558">
        <f t="shared" si="1"/>
        <v>15654844.858798401</v>
      </c>
      <c r="S47" s="265"/>
      <c r="T47" s="245"/>
      <c r="U47" s="250">
        <f>'4. Customer Growth'!B18</f>
        <v>2006</v>
      </c>
      <c r="V47" s="267">
        <f>SUM(J32:J43)</f>
        <v>203367791.46020103</v>
      </c>
      <c r="W47" s="268">
        <f>(V47-V46)/V46</f>
        <v>-3.0988212300854349E-2</v>
      </c>
      <c r="X47" s="267">
        <f>S43</f>
        <v>197556431.56635299</v>
      </c>
      <c r="Y47" s="268">
        <f>(X47-X46)/X46</f>
        <v>-3.0846442182640068E-2</v>
      </c>
      <c r="Z47" s="268">
        <f t="shared" si="3"/>
        <v>-2.8575615893361914E-2</v>
      </c>
      <c r="AA47" s="245"/>
      <c r="AB47" s="245"/>
      <c r="AC47" s="245"/>
      <c r="AD47" s="245"/>
      <c r="AE47" s="245"/>
      <c r="AF47" s="245"/>
      <c r="AG47" s="245"/>
      <c r="AH47" s="245"/>
      <c r="AI47" s="245"/>
      <c r="AJ47" s="245"/>
      <c r="AK47" s="245"/>
      <c r="AL47" s="245"/>
      <c r="AM47" s="245"/>
    </row>
    <row r="48" spans="1:39" x14ac:dyDescent="0.2">
      <c r="A48" s="503">
        <f t="shared" si="2"/>
        <v>29</v>
      </c>
      <c r="B48" s="262" t="str">
        <f>CONCATENATE('3. Consumption by Rate Class'!B53,"-",'3. Consumption by Rate Class'!C53)</f>
        <v>2007-May</v>
      </c>
      <c r="C48" s="697">
        <v>14545862.369999999</v>
      </c>
      <c r="D48" s="703">
        <v>-48600</v>
      </c>
      <c r="E48" s="707"/>
      <c r="F48" s="703"/>
      <c r="G48" s="703"/>
      <c r="H48" s="704"/>
      <c r="I48" s="704"/>
      <c r="J48" s="263">
        <f t="shared" si="0"/>
        <v>14497262.369999999</v>
      </c>
      <c r="K48" s="725">
        <f>IF(K$18='5.Variables'!$B$16,+'5.Variables'!$G29,+IF(K$18='5.Variables'!$B$39,+'5.Variables'!$G52,+IF(K$18='5.Variables'!$B$62,+'5.Variables'!$G66,+IF(K$18='5.Variables'!$B$76,+'5.Variables'!$G80,+IF(K$18='5.Variables'!$B$90,+'5.Variables'!$G94,+IF(K$18='5.Variables'!$B$104,+'5.Variables'!$G108,0))))))</f>
        <v>157.30000000000001</v>
      </c>
      <c r="L48" s="725">
        <f>IF(L$18='5.Variables'!$B$16,+'5.Variables'!$G28,+IF(L$18='5.Variables'!$B$39,+'5.Variables'!$G52,+IF(L$18='5.Variables'!$B$62,+'5.Variables'!$G66,+IF(L$18='5.Variables'!$B$76,+'5.Variables'!$G80,+IF(L$18='5.Variables'!$B$90,+'5.Variables'!$G94,+IF(L$18='5.Variables'!$B$104,+'5.Variables'!$G108,0))))))</f>
        <v>17.3</v>
      </c>
      <c r="M48" s="725">
        <f>IF(M$18='5.Variables'!$B$16,+'5.Variables'!$G28,+IF(M$18='5.Variables'!$B$39,+'5.Variables'!$G52,+IF(M$18='5.Variables'!$B$62,+'5.Variables'!$G66,+IF(M$18='5.Variables'!$B$76,+'5.Variables'!$G80,+IF(M$18='5.Variables'!$B$90,+'5.Variables'!$G94,+IF(M$18='5.Variables'!$B$104,+'5.Variables'!$G108,0))))))</f>
        <v>0</v>
      </c>
      <c r="N48" s="725">
        <f>IF(N$18='5.Variables'!$B$16,+'5.Variables'!$G28,+IF(N$18='5.Variables'!$B$39,+'5.Variables'!$G52,+IF(N$18='5.Variables'!$B$62,+'5.Variables'!$G66,+IF(N$18='5.Variables'!$B$76,+'5.Variables'!$G80,+IF(N$18='5.Variables'!$B$90,+'5.Variables'!$G94,+IF(N$18='5.Variables'!$B$104,+'5.Variables'!$G108,0))))))</f>
        <v>0</v>
      </c>
      <c r="O48" s="725">
        <f>IF(O$18='5.Variables'!$B$16,+'5.Variables'!$G28,+IF(O$18='5.Variables'!$B$39,+'5.Variables'!$G52,+IF(O$18='5.Variables'!$B$62,+'5.Variables'!$G66,+IF(O$18='5.Variables'!$B$76,+'5.Variables'!$G80,+IF(O$18='5.Variables'!$B$90,+'5.Variables'!$G94,+IF(O$18='5.Variables'!$B$104,+'5.Variables'!$G108,0))))))</f>
        <v>31</v>
      </c>
      <c r="P48" s="725">
        <f>IF(P$18='5.Variables'!$B$16,+'5.Variables'!$G28,+IF(P$18='5.Variables'!$B$39,+'5.Variables'!$G52,+IF(P$18='5.Variables'!$B$62,+'5.Variables'!$G66,+IF(P$18='5.Variables'!$B$76,+'5.Variables'!$G80,+IF(P$18='5.Variables'!$B$90,+'5.Variables'!$G94,+IF(P$18='5.Variables'!$B$104,+'5.Variables'!$G108,0))))))</f>
        <v>0</v>
      </c>
      <c r="Q48" s="245"/>
      <c r="R48" s="558">
        <f t="shared" si="1"/>
        <v>14675643.310065243</v>
      </c>
      <c r="S48" s="265"/>
      <c r="T48" s="245"/>
      <c r="U48" s="250">
        <f>'4. Customer Growth'!B19</f>
        <v>2007</v>
      </c>
      <c r="V48" s="267">
        <f>SUM(J44:J55)</f>
        <v>205302856.46000004</v>
      </c>
      <c r="W48" s="268">
        <f t="shared" ref="W48:Y55" si="4">(V48-V47)/V47</f>
        <v>9.5151006258417485E-3</v>
      </c>
      <c r="X48" s="267">
        <f>S55</f>
        <v>200186936.8660098</v>
      </c>
      <c r="Y48" s="268">
        <f t="shared" si="4"/>
        <v>1.3315209627955365E-2</v>
      </c>
      <c r="Z48" s="268">
        <f t="shared" si="3"/>
        <v>-2.4918891447508872E-2</v>
      </c>
      <c r="AA48" s="245"/>
      <c r="AB48" s="245"/>
      <c r="AC48" s="245"/>
      <c r="AD48" s="245"/>
      <c r="AE48" s="245"/>
      <c r="AF48" s="245"/>
      <c r="AG48" s="245"/>
      <c r="AH48" s="245"/>
      <c r="AI48" s="245"/>
      <c r="AJ48" s="245"/>
      <c r="AK48" s="245"/>
      <c r="AL48" s="245"/>
      <c r="AM48" s="245"/>
    </row>
    <row r="49" spans="1:39" x14ac:dyDescent="0.2">
      <c r="A49" s="503">
        <f t="shared" si="2"/>
        <v>30</v>
      </c>
      <c r="B49" s="262" t="str">
        <f>CONCATENATE('3. Consumption by Rate Class'!B54,"-",'3. Consumption by Rate Class'!C54)</f>
        <v>2007-June</v>
      </c>
      <c r="C49" s="697">
        <v>15445020.369999999</v>
      </c>
      <c r="D49" s="703">
        <v>-43200</v>
      </c>
      <c r="E49" s="707"/>
      <c r="F49" s="703"/>
      <c r="G49" s="703"/>
      <c r="H49" s="704"/>
      <c r="I49" s="704"/>
      <c r="J49" s="263">
        <f t="shared" si="0"/>
        <v>15401820.369999999</v>
      </c>
      <c r="K49" s="725">
        <f>IF(K$18='5.Variables'!$B$16,+'5.Variables'!$H29,+IF(K$18='5.Variables'!$B$39,+'5.Variables'!$H52,+IF(K$18='5.Variables'!$B$62,+'5.Variables'!$H66,+IF(K$18='5.Variables'!$B$76,+'5.Variables'!$H80,+IF(K$18='5.Variables'!$B$90,+'5.Variables'!$H94,+IF(K$18='5.Variables'!$B$104,+'5.Variables'!$H108,0))))))</f>
        <v>34.200000000000003</v>
      </c>
      <c r="L49" s="725">
        <f>IF(L$18='5.Variables'!$B$16,+'5.Variables'!$H28,+IF(L$18='5.Variables'!$B$39,+'5.Variables'!$H52,+IF(L$18='5.Variables'!$B$62,+'5.Variables'!$H66,+IF(L$18='5.Variables'!$B$76,+'5.Variables'!$H80,+IF(L$18='5.Variables'!$B$90,+'5.Variables'!$H94,+IF(L$18='5.Variables'!$B$104,+'5.Variables'!$H108,0))))))</f>
        <v>66.900000000000006</v>
      </c>
      <c r="M49" s="725">
        <f>IF(M$18='5.Variables'!$B$16,+'5.Variables'!$H28,+IF(M$18='5.Variables'!$B$39,+'5.Variables'!$H52,+IF(M$18='5.Variables'!$B$62,+'5.Variables'!$H66,+IF(M$18='5.Variables'!$B$76,+'5.Variables'!$H80,+IF(M$18='5.Variables'!$B$90,+'5.Variables'!$H94,+IF(M$18='5.Variables'!$B$104,+'5.Variables'!$H108,0))))))</f>
        <v>0</v>
      </c>
      <c r="N49" s="725">
        <f>IF(N$18='5.Variables'!$B$16,+'5.Variables'!$H28,+IF(N$18='5.Variables'!$B$39,+'5.Variables'!$H52,+IF(N$18='5.Variables'!$B$62,+'5.Variables'!$H66,+IF(N$18='5.Variables'!$B$76,+'5.Variables'!$H80,+IF(N$18='5.Variables'!$B$90,+'5.Variables'!$H94,+IF(N$18='5.Variables'!$B$104,+'5.Variables'!$H108,0))))))</f>
        <v>0</v>
      </c>
      <c r="O49" s="725">
        <f>IF(O$18='5.Variables'!$B$16,+'5.Variables'!$H28,+IF(O$18='5.Variables'!$B$39,+'5.Variables'!$H52,+IF(O$18='5.Variables'!$B$62,+'5.Variables'!$H66,+IF(O$18='5.Variables'!$B$76,+'5.Variables'!$H80,+IF(O$18='5.Variables'!$B$90,+'5.Variables'!$H94,+IF(O$18='5.Variables'!$B$104,+'5.Variables'!$H108,0))))))</f>
        <v>30</v>
      </c>
      <c r="P49" s="725">
        <f>IF(P$18='5.Variables'!$B$16,+'5.Variables'!$H28,+IF(P$18='5.Variables'!$B$39,+'5.Variables'!$H52,+IF(P$18='5.Variables'!$B$62,+'5.Variables'!$H66,+IF(P$18='5.Variables'!$B$76,+'5.Variables'!$H80,+IF(P$18='5.Variables'!$B$90,+'5.Variables'!$H94,+IF(P$18='5.Variables'!$B$104,+'5.Variables'!$H108,0))))))</f>
        <v>0</v>
      </c>
      <c r="Q49" s="245"/>
      <c r="R49" s="558">
        <f t="shared" si="1"/>
        <v>15161496.768884188</v>
      </c>
      <c r="S49" s="265"/>
      <c r="T49" s="245"/>
      <c r="U49" s="250">
        <f>'4. Customer Growth'!B20</f>
        <v>2008</v>
      </c>
      <c r="V49" s="267">
        <f>SUM(J56:J67)</f>
        <v>194146899.85907778</v>
      </c>
      <c r="W49" s="268">
        <f t="shared" si="4"/>
        <v>-5.4339022813819519E-2</v>
      </c>
      <c r="X49" s="267">
        <f>S67</f>
        <v>199277158.67089084</v>
      </c>
      <c r="Y49" s="268">
        <f t="shared" si="4"/>
        <v>-4.5446431688392405E-3</v>
      </c>
      <c r="Z49" s="268">
        <f t="shared" si="3"/>
        <v>2.6424623908683956E-2</v>
      </c>
      <c r="AA49" s="245"/>
      <c r="AB49" s="245"/>
      <c r="AC49" s="245"/>
      <c r="AD49" s="245"/>
      <c r="AE49" s="245"/>
      <c r="AF49" s="245"/>
      <c r="AG49" s="245"/>
      <c r="AH49" s="245"/>
      <c r="AI49" s="245"/>
      <c r="AJ49" s="245"/>
      <c r="AK49" s="245"/>
      <c r="AL49" s="245"/>
      <c r="AM49" s="245"/>
    </row>
    <row r="50" spans="1:39" x14ac:dyDescent="0.2">
      <c r="A50" s="503">
        <f t="shared" si="2"/>
        <v>31</v>
      </c>
      <c r="B50" s="262" t="str">
        <f>CONCATENATE('3. Consumption by Rate Class'!B55,"-",'3. Consumption by Rate Class'!C55)</f>
        <v>2007-July</v>
      </c>
      <c r="C50" s="697">
        <v>15701638.34</v>
      </c>
      <c r="D50" s="703">
        <v>-18600</v>
      </c>
      <c r="E50" s="707"/>
      <c r="F50" s="703"/>
      <c r="G50" s="703"/>
      <c r="H50" s="704"/>
      <c r="I50" s="704"/>
      <c r="J50" s="263">
        <f t="shared" si="0"/>
        <v>15683038.34</v>
      </c>
      <c r="K50" s="725">
        <f>IF(K$18='5.Variables'!$B$16,+'5.Variables'!$I29,+IF(K$18='5.Variables'!$B$39,+'5.Variables'!$I52,+IF(K$18='5.Variables'!$B$62,+'5.Variables'!$I66,+IF(K$18='5.Variables'!$B$76,+'5.Variables'!$I80,+IF(K$18='5.Variables'!$B$90,+'5.Variables'!$I94,+IF(K$18='5.Variables'!$B$104,+'5.Variables'!$I108,0))))))</f>
        <v>11.8</v>
      </c>
      <c r="L50" s="725">
        <f>IF(L$18='5.Variables'!$B$16,+'5.Variables'!$I28,+IF(L$18='5.Variables'!$B$39,+'5.Variables'!$I52,+IF(L$18='5.Variables'!$B$62,+'5.Variables'!$I66,+IF(L$18='5.Variables'!$B$76,+'5.Variables'!$I80,+IF(L$18='5.Variables'!$B$90,+'5.Variables'!$I94,+IF(L$18='5.Variables'!$B$104,+'5.Variables'!$I108,0))))))</f>
        <v>65.099999999999994</v>
      </c>
      <c r="M50" s="725">
        <f>IF(M$18='5.Variables'!$B$16,+'5.Variables'!$I28,+IF(M$18='5.Variables'!$B$39,+'5.Variables'!$I52,+IF(M$18='5.Variables'!$B$62,+'5.Variables'!$I66,+IF(M$18='5.Variables'!$B$76,+'5.Variables'!$I80,+IF(M$18='5.Variables'!$B$90,+'5.Variables'!$I94,+IF(M$18='5.Variables'!$B$104,+'5.Variables'!$I108,0))))))</f>
        <v>0</v>
      </c>
      <c r="N50" s="725">
        <f>IF(N$18='5.Variables'!$B$16,+'5.Variables'!$I28,+IF(N$18='5.Variables'!$B$39,+'5.Variables'!$I52,+IF(N$18='5.Variables'!$B$62,+'5.Variables'!$I66,+IF(N$18='5.Variables'!$B$76,+'5.Variables'!$I80,+IF(N$18='5.Variables'!$B$90,+'5.Variables'!$I94,+IF(N$18='5.Variables'!$B$104,+'5.Variables'!$I108,0))))))</f>
        <v>1</v>
      </c>
      <c r="O50" s="725">
        <f>IF(O$18='5.Variables'!$B$16,+'5.Variables'!$I28,+IF(O$18='5.Variables'!$B$39,+'5.Variables'!$I52,+IF(O$18='5.Variables'!$B$62,+'5.Variables'!$I66,+IF(O$18='5.Variables'!$B$76,+'5.Variables'!$I80,+IF(O$18='5.Variables'!$B$90,+'5.Variables'!$I94,+IF(O$18='5.Variables'!$B$104,+'5.Variables'!$I108,0))))))</f>
        <v>31</v>
      </c>
      <c r="P50" s="725">
        <f>IF(P$18='5.Variables'!$B$16,+'5.Variables'!$I28,+IF(P$18='5.Variables'!$B$39,+'5.Variables'!$I52,+IF(P$18='5.Variables'!$B$62,+'5.Variables'!$I66,+IF(P$18='5.Variables'!$B$76,+'5.Variables'!$I80,+IF(P$18='5.Variables'!$B$90,+'5.Variables'!$I94,+IF(P$18='5.Variables'!$B$104,+'5.Variables'!$I108,0))))))</f>
        <v>0</v>
      </c>
      <c r="Q50" s="245"/>
      <c r="R50" s="558">
        <f t="shared" si="1"/>
        <v>14952016.457427343</v>
      </c>
      <c r="S50" s="265"/>
      <c r="T50" s="245"/>
      <c r="U50" s="250">
        <f>'4. Customer Growth'!B21</f>
        <v>2009</v>
      </c>
      <c r="V50" s="267">
        <f>SUM(J68:J79)</f>
        <v>201115656.45999998</v>
      </c>
      <c r="W50" s="268">
        <f t="shared" si="4"/>
        <v>3.5894246088814676E-2</v>
      </c>
      <c r="X50" s="267">
        <f>S79</f>
        <v>198683586.06453371</v>
      </c>
      <c r="Y50" s="268">
        <f t="shared" si="4"/>
        <v>-2.9786284103810478E-3</v>
      </c>
      <c r="Z50" s="268">
        <f t="shared" si="3"/>
        <v>-1.2092894398552129E-2</v>
      </c>
      <c r="AA50" s="245"/>
      <c r="AB50" s="245"/>
      <c r="AC50" s="245"/>
      <c r="AD50" s="245"/>
      <c r="AE50" s="245"/>
      <c r="AF50" s="245"/>
      <c r="AG50" s="245"/>
      <c r="AH50" s="245"/>
      <c r="AI50" s="245"/>
      <c r="AJ50" s="245"/>
      <c r="AK50" s="245"/>
      <c r="AL50" s="245"/>
      <c r="AM50" s="245"/>
    </row>
    <row r="51" spans="1:39" x14ac:dyDescent="0.2">
      <c r="A51" s="503">
        <f t="shared" si="2"/>
        <v>32</v>
      </c>
      <c r="B51" s="262" t="str">
        <f>CONCATENATE('3. Consumption by Rate Class'!B56,"-",'3. Consumption by Rate Class'!C56)</f>
        <v>2007-August</v>
      </c>
      <c r="C51" s="697">
        <v>15347848.23</v>
      </c>
      <c r="D51" s="703">
        <v>-46800</v>
      </c>
      <c r="E51" s="707"/>
      <c r="F51" s="703"/>
      <c r="G51" s="703"/>
      <c r="H51" s="704"/>
      <c r="I51" s="704"/>
      <c r="J51" s="263">
        <f t="shared" si="0"/>
        <v>15301048.23</v>
      </c>
      <c r="K51" s="725">
        <f>IF(K$18='5.Variables'!$B$16,+'5.Variables'!$J29,+IF(K$18='5.Variables'!$B$39,+'5.Variables'!$J52,+IF(K$18='5.Variables'!$B$62,+'5.Variables'!$J66,+IF(K$18='5.Variables'!$B$76,+'5.Variables'!$J80,+IF(K$18='5.Variables'!$B$90,+'5.Variables'!$J94,+IF(K$18='5.Variables'!$B$104,+'5.Variables'!$J108,0))))))</f>
        <v>20.100000000000001</v>
      </c>
      <c r="L51" s="725">
        <f>IF(L$18='5.Variables'!$B$16,+'5.Variables'!$J28,+IF(L$18='5.Variables'!$B$39,+'5.Variables'!$J52,+IF(L$18='5.Variables'!$B$62,+'5.Variables'!$J66,+IF(L$18='5.Variables'!$B$76,+'5.Variables'!$J80,+IF(L$18='5.Variables'!$B$90,+'5.Variables'!$J94,+IF(L$18='5.Variables'!$B$104,+'5.Variables'!$J108,0))))))</f>
        <v>79.3</v>
      </c>
      <c r="M51" s="725">
        <f>IF(M$18='5.Variables'!$B$16,+'5.Variables'!$J28,+IF(M$18='5.Variables'!$B$39,+'5.Variables'!$J52,+IF(M$18='5.Variables'!$B$62,+'5.Variables'!$J66,+IF(M$18='5.Variables'!$B$76,+'5.Variables'!$J80,+IF(M$18='5.Variables'!$B$90,+'5.Variables'!$J94,+IF(M$18='5.Variables'!$B$104,+'5.Variables'!$J108,0))))))</f>
        <v>0</v>
      </c>
      <c r="N51" s="725">
        <f>IF(N$18='5.Variables'!$B$16,+'5.Variables'!$J28,+IF(N$18='5.Variables'!$B$39,+'5.Variables'!$J52,+IF(N$18='5.Variables'!$B$62,+'5.Variables'!$J66,+IF(N$18='5.Variables'!$B$76,+'5.Variables'!$J80,+IF(N$18='5.Variables'!$B$90,+'5.Variables'!$J94,+IF(N$18='5.Variables'!$B$104,+'5.Variables'!$J108,0))))))</f>
        <v>0</v>
      </c>
      <c r="O51" s="725">
        <f>IF(O$18='5.Variables'!$B$16,+'5.Variables'!$J28,+IF(O$18='5.Variables'!$B$39,+'5.Variables'!$J52,+IF(O$18='5.Variables'!$B$62,+'5.Variables'!$J66,+IF(O$18='5.Variables'!$B$76,+'5.Variables'!$J80,+IF(O$18='5.Variables'!$B$90,+'5.Variables'!$J94,+IF(O$18='5.Variables'!$B$104,+'5.Variables'!$J108,0))))))</f>
        <v>31</v>
      </c>
      <c r="P51" s="725">
        <f>IF(P$18='5.Variables'!$B$16,+'5.Variables'!$J28,+IF(P$18='5.Variables'!$B$39,+'5.Variables'!$J52,+IF(P$18='5.Variables'!$B$62,+'5.Variables'!$J66,+IF(P$18='5.Variables'!$B$76,+'5.Variables'!$J80,+IF(P$18='5.Variables'!$B$90,+'5.Variables'!$J94,+IF(P$18='5.Variables'!$B$104,+'5.Variables'!$J108,0))))))</f>
        <v>0</v>
      </c>
      <c r="Q51" s="245"/>
      <c r="R51" s="558">
        <f t="shared" si="1"/>
        <v>15402029.398970859</v>
      </c>
      <c r="S51" s="265"/>
      <c r="T51" s="245"/>
      <c r="U51" s="250">
        <f>'4. Customer Growth'!B22</f>
        <v>2010</v>
      </c>
      <c r="V51" s="267">
        <f>SUM(J80:J91)</f>
        <v>197081317.46300003</v>
      </c>
      <c r="W51" s="268">
        <f t="shared" si="4"/>
        <v>-2.0059795781251579E-2</v>
      </c>
      <c r="X51" s="267">
        <f>S91</f>
        <v>199197021.01412955</v>
      </c>
      <c r="Y51" s="268">
        <f t="shared" si="4"/>
        <v>2.5841840273059689E-3</v>
      </c>
      <c r="Z51" s="268">
        <f t="shared" si="3"/>
        <v>1.0735180677522726E-2</v>
      </c>
      <c r="AA51" s="245"/>
      <c r="AB51" s="245"/>
      <c r="AC51" s="245"/>
      <c r="AD51" s="245"/>
      <c r="AE51" s="245"/>
      <c r="AF51" s="245"/>
      <c r="AG51" s="245"/>
      <c r="AH51" s="245"/>
      <c r="AI51" s="245"/>
      <c r="AJ51" s="245"/>
      <c r="AK51" s="245"/>
      <c r="AL51" s="245"/>
      <c r="AM51" s="245"/>
    </row>
    <row r="52" spans="1:39" x14ac:dyDescent="0.2">
      <c r="A52" s="503">
        <f t="shared" si="2"/>
        <v>33</v>
      </c>
      <c r="B52" s="262" t="str">
        <f>CONCATENATE('3. Consumption by Rate Class'!B57,"-",'3. Consumption by Rate Class'!C57)</f>
        <v>2007-September</v>
      </c>
      <c r="C52" s="697">
        <v>15532450.050000001</v>
      </c>
      <c r="D52" s="703">
        <v>-37200</v>
      </c>
      <c r="E52" s="707"/>
      <c r="F52" s="703"/>
      <c r="G52" s="703"/>
      <c r="H52" s="704"/>
      <c r="I52" s="704"/>
      <c r="J52" s="263">
        <f t="shared" si="0"/>
        <v>15495250.050000001</v>
      </c>
      <c r="K52" s="725">
        <f>IF(K$18='5.Variables'!$B$16,+'5.Variables'!$K29,+IF(K$18='5.Variables'!$B$39,+'5.Variables'!$K52,+IF(K$18='5.Variables'!$B$62,+'5.Variables'!$K66,+IF(K$18='5.Variables'!$B$76,+'5.Variables'!$K80,+IF(K$18='5.Variables'!$B$90,+'5.Variables'!$K94,+IF(K$18='5.Variables'!$B$104,+'5.Variables'!$K108,0))))))</f>
        <v>76</v>
      </c>
      <c r="L52" s="725">
        <f>IF(L$18='5.Variables'!$B$16,+'5.Variables'!$K28,+IF(L$18='5.Variables'!$B$39,+'5.Variables'!$K52,+IF(L$18='5.Variables'!$B$62,+'5.Variables'!$K66,+IF(L$18='5.Variables'!$B$76,+'5.Variables'!$K80,+IF(L$18='5.Variables'!$B$90,+'5.Variables'!$K94,+IF(L$18='5.Variables'!$B$104,+'5.Variables'!$K108,0))))))</f>
        <v>25.7</v>
      </c>
      <c r="M52" s="725">
        <f>IF(M$18='5.Variables'!$B$16,+'5.Variables'!$K28,+IF(M$18='5.Variables'!$B$39,+'5.Variables'!$K52,+IF(M$18='5.Variables'!$B$62,+'5.Variables'!$K66,+IF(M$18='5.Variables'!$B$76,+'5.Variables'!$K80,+IF(M$18='5.Variables'!$B$90,+'5.Variables'!$K94,+IF(M$18='5.Variables'!$B$104,+'5.Variables'!$K108,0))))))</f>
        <v>0</v>
      </c>
      <c r="N52" s="725">
        <f>IF(N$18='5.Variables'!$B$16,+'5.Variables'!$K28,+IF(N$18='5.Variables'!$B$39,+'5.Variables'!$K52,+IF(N$18='5.Variables'!$B$62,+'5.Variables'!$K66,+IF(N$18='5.Variables'!$B$76,+'5.Variables'!$K80,+IF(N$18='5.Variables'!$B$90,+'5.Variables'!$K94,+IF(N$18='5.Variables'!$B$104,+'5.Variables'!$K108,0))))))</f>
        <v>0</v>
      </c>
      <c r="O52" s="725">
        <f>IF(O$18='5.Variables'!$B$16,+'5.Variables'!$K28,+IF(O$18='5.Variables'!$B$39,+'5.Variables'!$K52,+IF(O$18='5.Variables'!$B$62,+'5.Variables'!$K66,+IF(O$18='5.Variables'!$B$76,+'5.Variables'!$K80,+IF(O$18='5.Variables'!$B$90,+'5.Variables'!$K94,+IF(O$18='5.Variables'!$B$104,+'5.Variables'!$K108,0))))))</f>
        <v>30</v>
      </c>
      <c r="P52" s="725">
        <f>IF(P$18='5.Variables'!$B$16,+'5.Variables'!$K28,+IF(P$18='5.Variables'!$B$39,+'5.Variables'!$K52,+IF(P$18='5.Variables'!$B$62,+'5.Variables'!$K66,+IF(P$18='5.Variables'!$B$76,+'5.Variables'!$K80,+IF(P$18='5.Variables'!$B$90,+'5.Variables'!$K94,+IF(P$18='5.Variables'!$B$104,+'5.Variables'!$K108,0))))))</f>
        <v>0</v>
      </c>
      <c r="Q52" s="245"/>
      <c r="R52" s="558">
        <f t="shared" si="1"/>
        <v>14326259.267270055</v>
      </c>
      <c r="S52" s="265"/>
      <c r="T52" s="245"/>
      <c r="U52" s="250">
        <f>'4. Customer Growth'!B23</f>
        <v>2011</v>
      </c>
      <c r="V52" s="267">
        <f>SUM(J92:J103)</f>
        <v>199623009.43799999</v>
      </c>
      <c r="W52" s="268">
        <f t="shared" si="4"/>
        <v>1.2896666247814893E-2</v>
      </c>
      <c r="X52" s="267">
        <f>S103:S103</f>
        <v>197051606.59096599</v>
      </c>
      <c r="Y52" s="268">
        <f t="shared" si="4"/>
        <v>-1.0770313794057108E-2</v>
      </c>
      <c r="Z52" s="268">
        <f t="shared" si="3"/>
        <v>-1.2881294868128154E-2</v>
      </c>
      <c r="AA52" s="245"/>
      <c r="AB52" s="245"/>
      <c r="AC52" s="245"/>
      <c r="AD52" s="245"/>
      <c r="AE52" s="245"/>
      <c r="AF52" s="245"/>
      <c r="AG52" s="245"/>
      <c r="AH52" s="245"/>
      <c r="AI52" s="245"/>
      <c r="AJ52" s="245"/>
      <c r="AK52" s="245"/>
      <c r="AL52" s="245"/>
      <c r="AM52" s="245"/>
    </row>
    <row r="53" spans="1:39" x14ac:dyDescent="0.2">
      <c r="A53" s="503">
        <f t="shared" si="2"/>
        <v>34</v>
      </c>
      <c r="B53" s="262" t="str">
        <f>CONCATENATE('3. Consumption by Rate Class'!B58,"-",'3. Consumption by Rate Class'!C58)</f>
        <v>2007-October</v>
      </c>
      <c r="C53" s="697">
        <v>14439653.280000001</v>
      </c>
      <c r="D53" s="703">
        <v>-38400</v>
      </c>
      <c r="E53" s="707"/>
      <c r="F53" s="703"/>
      <c r="G53" s="703"/>
      <c r="H53" s="704"/>
      <c r="I53" s="704"/>
      <c r="J53" s="263">
        <f t="shared" si="0"/>
        <v>14401253.280000001</v>
      </c>
      <c r="K53" s="725">
        <f>IF(K$18='5.Variables'!$B$16,+'5.Variables'!$L29,+IF(K$18='5.Variables'!$B$39,+'5.Variables'!$L52,+IF(K$18='5.Variables'!$B$62,+'5.Variables'!$L66,+IF(K$18='5.Variables'!$B$76,+'5.Variables'!$L80,+IF(K$18='5.Variables'!$B$90,+'5.Variables'!$L94,+IF(K$18='5.Variables'!$B$104,+'5.Variables'!$L108,0))))))</f>
        <v>227.5</v>
      </c>
      <c r="L53" s="725">
        <f>IF(L$18='5.Variables'!$B$16,+'5.Variables'!$L28,+IF(L$18='5.Variables'!$B$39,+'5.Variables'!$L52,+IF(L$18='5.Variables'!$B$62,+'5.Variables'!$L66,+IF(L$18='5.Variables'!$B$76,+'5.Variables'!$L80,+IF(L$18='5.Variables'!$B$90,+'5.Variables'!$L94,+IF(L$18='5.Variables'!$B$104,+'5.Variables'!$L108,0))))))</f>
        <v>1.9</v>
      </c>
      <c r="M53" s="725">
        <f>IF(M$18='5.Variables'!$B$16,+'5.Variables'!$L28,+IF(M$18='5.Variables'!$B$39,+'5.Variables'!$L52,+IF(M$18='5.Variables'!$B$62,+'5.Variables'!$L66,+IF(M$18='5.Variables'!$B$76,+'5.Variables'!$L80,+IF(M$18='5.Variables'!$B$90,+'5.Variables'!$L94,+IF(M$18='5.Variables'!$B$104,+'5.Variables'!$L108,0))))))</f>
        <v>0</v>
      </c>
      <c r="N53" s="725">
        <f>IF(N$18='5.Variables'!$B$16,+'5.Variables'!$L28,+IF(N$18='5.Variables'!$B$39,+'5.Variables'!$L52,+IF(N$18='5.Variables'!$B$62,+'5.Variables'!$L66,+IF(N$18='5.Variables'!$B$76,+'5.Variables'!$L80,+IF(N$18='5.Variables'!$B$90,+'5.Variables'!$L94,+IF(N$18='5.Variables'!$B$104,+'5.Variables'!$L108,0))))))</f>
        <v>0</v>
      </c>
      <c r="O53" s="725">
        <f>IF(O$18='5.Variables'!$B$16,+'5.Variables'!$L28,+IF(O$18='5.Variables'!$B$39,+'5.Variables'!$L52,+IF(O$18='5.Variables'!$B$62,+'5.Variables'!$L66,+IF(O$18='5.Variables'!$B$76,+'5.Variables'!$L80,+IF(O$18='5.Variables'!$B$90,+'5.Variables'!$L94,+IF(O$18='5.Variables'!$B$104,+'5.Variables'!$L108,0))))))</f>
        <v>31</v>
      </c>
      <c r="P53" s="725">
        <f>IF(P$18='5.Variables'!$B$16,+'5.Variables'!$L28,+IF(P$18='5.Variables'!$B$39,+'5.Variables'!$L52,+IF(P$18='5.Variables'!$B$62,+'5.Variables'!$L66,+IF(P$18='5.Variables'!$B$76,+'5.Variables'!$L80,+IF(P$18='5.Variables'!$B$90,+'5.Variables'!$L94,+IF(P$18='5.Variables'!$B$104,+'5.Variables'!$L108,0))))))</f>
        <v>0</v>
      </c>
      <c r="Q53" s="245"/>
      <c r="R53" s="558">
        <f t="shared" si="1"/>
        <v>14753145.544922946</v>
      </c>
      <c r="S53" s="265"/>
      <c r="T53" s="245"/>
      <c r="U53" s="250">
        <f>'4. Customer Growth'!B24</f>
        <v>2012</v>
      </c>
      <c r="V53" s="267">
        <f>SUM(J104:J115)</f>
        <v>194771161.25000003</v>
      </c>
      <c r="W53" s="268">
        <f t="shared" si="4"/>
        <v>-2.430505482138259E-2</v>
      </c>
      <c r="X53" s="267">
        <f>S115</f>
        <v>200061553.77745542</v>
      </c>
      <c r="Y53" s="268">
        <f t="shared" si="4"/>
        <v>1.5274918274264032E-2</v>
      </c>
      <c r="Z53" s="268">
        <f t="shared" si="3"/>
        <v>2.7162093677024726E-2</v>
      </c>
      <c r="AA53" s="245"/>
      <c r="AB53" s="245"/>
      <c r="AC53" s="245"/>
      <c r="AD53" s="245"/>
      <c r="AE53" s="245"/>
      <c r="AF53" s="245"/>
      <c r="AG53" s="245"/>
      <c r="AH53" s="245"/>
      <c r="AI53" s="245"/>
      <c r="AJ53" s="245"/>
      <c r="AK53" s="245"/>
      <c r="AL53" s="245"/>
      <c r="AM53" s="245"/>
    </row>
    <row r="54" spans="1:39" x14ac:dyDescent="0.2">
      <c r="A54" s="503">
        <f t="shared" si="2"/>
        <v>35</v>
      </c>
      <c r="B54" s="262" t="str">
        <f>CONCATENATE('3. Consumption by Rate Class'!B59,"-",'3. Consumption by Rate Class'!C59)</f>
        <v>2007-November</v>
      </c>
      <c r="C54" s="697">
        <v>18194599.109999999</v>
      </c>
      <c r="D54" s="703">
        <v>-39000</v>
      </c>
      <c r="E54" s="707"/>
      <c r="F54" s="703"/>
      <c r="G54" s="703"/>
      <c r="H54" s="704"/>
      <c r="I54" s="704"/>
      <c r="J54" s="263">
        <f t="shared" si="0"/>
        <v>18155599.109999999</v>
      </c>
      <c r="K54" s="725">
        <f>IF(K$18='5.Variables'!$B$16,+'5.Variables'!$M29,+IF(K$18='5.Variables'!$B$39,+'5.Variables'!$M52,+IF(K$18='5.Variables'!$B$62,+'5.Variables'!$M66,+IF(K$18='5.Variables'!$B$76,+'5.Variables'!$M80,+IF(K$18='5.Variables'!$B$90,+'5.Variables'!$M94,+IF(K$18='5.Variables'!$B$104,+'5.Variables'!$M108,0))))))</f>
        <v>517</v>
      </c>
      <c r="L54" s="725">
        <f>IF(L$18='5.Variables'!$B$16,+'5.Variables'!$M28,+IF(L$18='5.Variables'!$B$39,+'5.Variables'!$M52,+IF(L$18='5.Variables'!$B$62,+'5.Variables'!$M66,+IF(L$18='5.Variables'!$B$76,+'5.Variables'!$M80,+IF(L$18='5.Variables'!$B$90,+'5.Variables'!$M94,+IF(L$18='5.Variables'!$B$104,+'5.Variables'!$M108,0))))))</f>
        <v>0</v>
      </c>
      <c r="M54" s="725">
        <f>IF(M$18='5.Variables'!$B$16,+'5.Variables'!$M28,+IF(M$18='5.Variables'!$B$39,+'5.Variables'!$M52,+IF(M$18='5.Variables'!$B$62,+'5.Variables'!$M66,+IF(M$18='5.Variables'!$B$76,+'5.Variables'!$M80,+IF(M$18='5.Variables'!$B$90,+'5.Variables'!$M94,+IF(M$18='5.Variables'!$B$104,+'5.Variables'!$M108,0))))))</f>
        <v>0</v>
      </c>
      <c r="N54" s="725">
        <f>IF(N$18='5.Variables'!$B$16,+'5.Variables'!$M28,+IF(N$18='5.Variables'!$B$39,+'5.Variables'!$M52,+IF(N$18='5.Variables'!$B$62,+'5.Variables'!$M66,+IF(N$18='5.Variables'!$B$76,+'5.Variables'!$M80,+IF(N$18='5.Variables'!$B$90,+'5.Variables'!$M94,+IF(N$18='5.Variables'!$B$104,+'5.Variables'!$M108,0))))))</f>
        <v>0</v>
      </c>
      <c r="O54" s="725">
        <f>IF(O$18='5.Variables'!$B$16,+'5.Variables'!$M28,+IF(O$18='5.Variables'!$B$39,+'5.Variables'!$M52,+IF(O$18='5.Variables'!$B$62,+'5.Variables'!$M66,+IF(O$18='5.Variables'!$B$76,+'5.Variables'!$M80,+IF(O$18='5.Variables'!$B$90,+'5.Variables'!$M94,+IF(O$18='5.Variables'!$B$104,+'5.Variables'!$M108,0))))))</f>
        <v>30</v>
      </c>
      <c r="P54" s="725">
        <f>IF(P$18='5.Variables'!$B$16,+'5.Variables'!$M28,+IF(P$18='5.Variables'!$B$39,+'5.Variables'!$M52,+IF(P$18='5.Variables'!$B$62,+'5.Variables'!$M66,+IF(P$18='5.Variables'!$B$76,+'5.Variables'!$M80,+IF(P$18='5.Variables'!$B$90,+'5.Variables'!$M94,+IF(P$18='5.Variables'!$B$104,+'5.Variables'!$M108,0))))))</f>
        <v>0</v>
      </c>
      <c r="Q54" s="245"/>
      <c r="R54" s="558">
        <f t="shared" si="1"/>
        <v>16768062.158531168</v>
      </c>
      <c r="S54" s="265"/>
      <c r="T54" s="245"/>
      <c r="U54" s="250">
        <f>'4. Customer Growth'!B25</f>
        <v>2013</v>
      </c>
      <c r="V54" s="267">
        <f>SUM(J116:J127)</f>
        <v>198259056.0149</v>
      </c>
      <c r="W54" s="268">
        <f t="shared" si="4"/>
        <v>1.7907655027137488E-2</v>
      </c>
      <c r="X54" s="267">
        <f>S127</f>
        <v>199210663.16643396</v>
      </c>
      <c r="Y54" s="268">
        <f t="shared" si="4"/>
        <v>-4.2531440696895384E-3</v>
      </c>
      <c r="Z54" s="268">
        <f t="shared" si="3"/>
        <v>4.7998168187709115E-3</v>
      </c>
      <c r="AA54" s="245"/>
      <c r="AB54" s="245"/>
      <c r="AC54" s="245"/>
      <c r="AD54" s="245"/>
      <c r="AE54" s="245"/>
      <c r="AF54" s="245"/>
      <c r="AG54" s="245"/>
      <c r="AH54" s="245"/>
      <c r="AI54" s="245"/>
      <c r="AJ54" s="245"/>
      <c r="AK54" s="245"/>
      <c r="AL54" s="245"/>
      <c r="AM54" s="245"/>
    </row>
    <row r="55" spans="1:39" x14ac:dyDescent="0.2">
      <c r="A55" s="503">
        <f t="shared" si="2"/>
        <v>36</v>
      </c>
      <c r="B55" s="522" t="str">
        <f>CONCATENATE('3. Consumption by Rate Class'!B60,"-",'3. Consumption by Rate Class'!C60)</f>
        <v>2007-December</v>
      </c>
      <c r="C55" s="698">
        <v>21797378.050000001</v>
      </c>
      <c r="D55" s="705">
        <v>-32400</v>
      </c>
      <c r="E55" s="705"/>
      <c r="F55" s="705"/>
      <c r="G55" s="705"/>
      <c r="H55" s="706"/>
      <c r="I55" s="706"/>
      <c r="J55" s="263">
        <f t="shared" si="0"/>
        <v>21764978.050000001</v>
      </c>
      <c r="K55" s="725">
        <f>IF(K$18='5.Variables'!$B$16,+'5.Variables'!$N29,+IF(K$18='5.Variables'!$B$39,+'5.Variables'!$N52,+IF(K$18='5.Variables'!$B$62,+'5.Variables'!$N66,+IF(K$18='5.Variables'!$B$76,+'5.Variables'!$N80,+IF(K$18='5.Variables'!$B$90,+'5.Variables'!$N94,+IF(K$18='5.Variables'!$B$104,+'5.Variables'!$N108,0))))))</f>
        <v>787.7</v>
      </c>
      <c r="L55" s="725">
        <f>IF(L$18='5.Variables'!$B$16,+'5.Variables'!$N28,+IF(L$18='5.Variables'!$B$39,+'5.Variables'!$N52,+IF(L$18='5.Variables'!$B$62,+'5.Variables'!$N66,+IF(L$18='5.Variables'!$B$76,+'5.Variables'!$N80,+IF(L$18='5.Variables'!$B$90,+'5.Variables'!$N94,+IF(L$18='5.Variables'!$B$104,+'5.Variables'!$N108,0))))))</f>
        <v>0</v>
      </c>
      <c r="M55" s="725">
        <f>IF(M$18='5.Variables'!$B$16,+'5.Variables'!$N28,+IF(M$18='5.Variables'!$B$39,+'5.Variables'!$N52,+IF(M$18='5.Variables'!$B$62,+'5.Variables'!$N66,+IF(M$18='5.Variables'!$B$76,+'5.Variables'!$N80,+IF(M$18='5.Variables'!$B$90,+'5.Variables'!$N94,+IF(M$18='5.Variables'!$B$104,+'5.Variables'!$N108,0))))))</f>
        <v>1</v>
      </c>
      <c r="N55" s="725">
        <f>IF(N$18='5.Variables'!$B$16,+'5.Variables'!$N28,+IF(N$18='5.Variables'!$B$39,+'5.Variables'!$N52,+IF(N$18='5.Variables'!$B$62,+'5.Variables'!$N66,+IF(N$18='5.Variables'!$B$76,+'5.Variables'!$N80,+IF(N$18='5.Variables'!$B$90,+'5.Variables'!$N94,+IF(N$18='5.Variables'!$B$104,+'5.Variables'!$N108,0))))))</f>
        <v>1</v>
      </c>
      <c r="O55" s="725">
        <f>IF(O$18='5.Variables'!$B$16,+'5.Variables'!$N28,+IF(O$18='5.Variables'!$B$39,+'5.Variables'!$N52,+IF(O$18='5.Variables'!$B$62,+'5.Variables'!$N66,+IF(O$18='5.Variables'!$B$76,+'5.Variables'!$N80,+IF(O$18='5.Variables'!$B$90,+'5.Variables'!$N94,+IF(O$18='5.Variables'!$B$104,+'5.Variables'!$N108,0))))))</f>
        <v>31</v>
      </c>
      <c r="P55" s="725">
        <f>IF(P$18='5.Variables'!$B$16,+'5.Variables'!$N28,+IF(P$18='5.Variables'!$B$39,+'5.Variables'!$N52,+IF(P$18='5.Variables'!$B$62,+'5.Variables'!$N66,+IF(P$18='5.Variables'!$B$76,+'5.Variables'!$N80,+IF(P$18='5.Variables'!$B$90,+'5.Variables'!$N94,+IF(P$18='5.Variables'!$B$104,+'5.Variables'!$N108,0))))))</f>
        <v>0</v>
      </c>
      <c r="Q55" s="245"/>
      <c r="R55" s="558">
        <f t="shared" si="1"/>
        <v>20175966.910813499</v>
      </c>
      <c r="S55" s="265">
        <f>SUM(R44:R55)</f>
        <v>200186936.8660098</v>
      </c>
      <c r="T55" s="245"/>
      <c r="U55" s="250">
        <f>'4. Customer Growth'!B26</f>
        <v>2014</v>
      </c>
      <c r="V55" s="267">
        <f>SUM(J128:J139)</f>
        <v>191637148.35999998</v>
      </c>
      <c r="W55" s="268">
        <f t="shared" si="4"/>
        <v>-3.3400278342908839E-2</v>
      </c>
      <c r="X55" s="267">
        <f>S139</f>
        <v>200106964.7243894</v>
      </c>
      <c r="Y55" s="268">
        <f t="shared" si="4"/>
        <v>4.4992649675916867E-3</v>
      </c>
      <c r="Z55" s="268">
        <f t="shared" si="3"/>
        <v>4.4197152988722441E-2</v>
      </c>
      <c r="AA55" s="245"/>
      <c r="AB55" s="245"/>
      <c r="AC55" s="245"/>
      <c r="AD55" s="245"/>
      <c r="AE55" s="245"/>
      <c r="AF55" s="245"/>
      <c r="AG55" s="245"/>
      <c r="AH55" s="245"/>
      <c r="AI55" s="245"/>
      <c r="AJ55" s="245"/>
      <c r="AK55" s="245"/>
      <c r="AL55" s="245"/>
      <c r="AM55" s="245"/>
    </row>
    <row r="56" spans="1:39" x14ac:dyDescent="0.2">
      <c r="A56" s="503">
        <f t="shared" si="2"/>
        <v>37</v>
      </c>
      <c r="B56" s="262" t="str">
        <f>CONCATENATE('3. Consumption by Rate Class'!B61,"-",'3. Consumption by Rate Class'!C61)</f>
        <v>2008-January</v>
      </c>
      <c r="C56" s="697">
        <v>18319619</v>
      </c>
      <c r="D56" s="703">
        <v>-33600</v>
      </c>
      <c r="E56" s="707"/>
      <c r="F56" s="703"/>
      <c r="G56" s="703"/>
      <c r="H56" s="704"/>
      <c r="I56" s="704"/>
      <c r="J56" s="263">
        <f t="shared" si="0"/>
        <v>18286019</v>
      </c>
      <c r="K56" s="725">
        <f>IF(K$18='5.Variables'!$B$16,+'5.Variables'!$C30,+IF(K$18='5.Variables'!$B$39,+'5.Variables'!$C53,+IF(K$18='5.Variables'!$B$62,+'5.Variables'!$C67,+IF(K$18='5.Variables'!$B$76,+'5.Variables'!$C81,+IF(K$18='5.Variables'!$B$90,+'5.Variables'!$C95,+IF(K$18='5.Variables'!$B$104,+'5.Variables'!$C109,0))))))</f>
        <v>754.2</v>
      </c>
      <c r="L56" s="725">
        <f>IF(L$18='5.Variables'!$B$16,+'5.Variables'!$C29,+IF(L$18='5.Variables'!$B$39,+'5.Variables'!$C53,+IF(L$18='5.Variables'!$B$62,+'5.Variables'!$C67,+IF(L$18='5.Variables'!$B$76,+'5.Variables'!$C81,+IF(L$18='5.Variables'!$B$90,+'5.Variables'!$C95,+IF(L$18='5.Variables'!$B$104,+'5.Variables'!$C109,0))))))</f>
        <v>0</v>
      </c>
      <c r="M56" s="725">
        <f>IF(M$18='5.Variables'!$B$16,+'5.Variables'!$C29,+IF(M$18='5.Variables'!$B$39,+'5.Variables'!$C53,+IF(M$18='5.Variables'!$B$62,+'5.Variables'!$C67,+IF(M$18='5.Variables'!$B$76,+'5.Variables'!$C81,+IF(M$18='5.Variables'!$B$90,+'5.Variables'!$C95,+IF(M$18='5.Variables'!$B$104,+'5.Variables'!$C109,0))))))</f>
        <v>1</v>
      </c>
      <c r="N56" s="725">
        <f>IF(N$18='5.Variables'!$B$16,+'5.Variables'!$C29,+IF(N$18='5.Variables'!$B$39,+'5.Variables'!$C53,+IF(N$18='5.Variables'!$B$62,+'5.Variables'!$C67,+IF(N$18='5.Variables'!$B$76,+'5.Variables'!$C81,+IF(N$18='5.Variables'!$B$90,+'5.Variables'!$C95,+IF(N$18='5.Variables'!$B$104,+'5.Variables'!$C109,0))))))</f>
        <v>1</v>
      </c>
      <c r="O56" s="725">
        <f>IF(O$18='5.Variables'!$B$16,+'5.Variables'!$C29,+IF(O$18='5.Variables'!$B$39,+'5.Variables'!$C53,+IF(O$18='5.Variables'!$B$62,+'5.Variables'!$C67,+IF(O$18='5.Variables'!$B$76,+'5.Variables'!$C81,+IF(O$18='5.Variables'!$B$90,+'5.Variables'!$C95,+IF(O$18='5.Variables'!$B$104,+'5.Variables'!$C109,0))))))</f>
        <v>31</v>
      </c>
      <c r="P56" s="725">
        <f>IF(P$18='5.Variables'!$B$16,+'5.Variables'!$C29,+IF(P$18='5.Variables'!$B$39,+'5.Variables'!$C53,+IF(P$18='5.Variables'!$B$62,+'5.Variables'!$C67,+IF(P$18='5.Variables'!$B$76,+'5.Variables'!$C81,+IF(P$18='5.Variables'!$B$90,+'5.Variables'!$C95,+IF(P$18='5.Variables'!$B$104,+'5.Variables'!$C109,0))))))</f>
        <v>0</v>
      </c>
      <c r="Q56" s="245"/>
      <c r="R56" s="558">
        <f t="shared" si="1"/>
        <v>19936757.29220511</v>
      </c>
      <c r="S56" s="265"/>
      <c r="T56" s="245"/>
      <c r="U56" s="731"/>
      <c r="V56" s="732"/>
      <c r="W56" s="733"/>
      <c r="X56" s="732"/>
      <c r="Y56" s="733"/>
      <c r="Z56" s="733"/>
      <c r="AA56" s="245"/>
      <c r="AB56" s="245"/>
      <c r="AC56" s="245"/>
      <c r="AD56" s="245"/>
      <c r="AE56" s="245"/>
      <c r="AF56" s="245"/>
      <c r="AG56" s="245"/>
      <c r="AH56" s="245"/>
      <c r="AI56" s="245"/>
      <c r="AJ56" s="245"/>
      <c r="AK56" s="245"/>
      <c r="AL56" s="245"/>
      <c r="AM56" s="245"/>
    </row>
    <row r="57" spans="1:39" ht="13.5" customHeight="1" x14ac:dyDescent="0.2">
      <c r="A57" s="503">
        <f t="shared" si="2"/>
        <v>38</v>
      </c>
      <c r="B57" s="262" t="str">
        <f>CONCATENATE('3. Consumption by Rate Class'!B62,"-",'3. Consumption by Rate Class'!C62)</f>
        <v>2008-February</v>
      </c>
      <c r="C57" s="697">
        <v>18192995.420000002</v>
      </c>
      <c r="D57" s="703">
        <v>-35400</v>
      </c>
      <c r="E57" s="707"/>
      <c r="F57" s="703"/>
      <c r="G57" s="703"/>
      <c r="H57" s="704"/>
      <c r="I57" s="704"/>
      <c r="J57" s="263">
        <f t="shared" si="0"/>
        <v>18157595.420000002</v>
      </c>
      <c r="K57" s="725">
        <f>IF(K$18='5.Variables'!$B$16,+'5.Variables'!$D30,+IF(K$18='5.Variables'!$B$39,+'5.Variables'!$D53,+IF(K$18='5.Variables'!$B$62,+'5.Variables'!$D67,+IF(K$18='5.Variables'!$B$76,+'5.Variables'!$D81,+IF(K$18='5.Variables'!$B$90,+'5.Variables'!$D95,+IF(K$18='5.Variables'!$B$104,+'5.Variables'!$D109,0))))))</f>
        <v>774.3</v>
      </c>
      <c r="L57" s="725">
        <f>IF(L$18='5.Variables'!$B$16,+'5.Variables'!$D29,+IF(L$18='5.Variables'!$B$39,+'5.Variables'!$D53,+IF(L$18='5.Variables'!$B$62,+'5.Variables'!$D67,+IF(L$18='5.Variables'!$B$76,+'5.Variables'!$D81,+IF(L$18='5.Variables'!$B$90,+'5.Variables'!$D95,+IF(L$18='5.Variables'!$B$104,+'5.Variables'!$D109,0))))))</f>
        <v>0</v>
      </c>
      <c r="M57" s="725">
        <f>IF(M$18='5.Variables'!$B$16,+'5.Variables'!$D29,+IF(M$18='5.Variables'!$B$39,+'5.Variables'!$D53,+IF(M$18='5.Variables'!$B$62,+'5.Variables'!$D67,+IF(M$18='5.Variables'!$B$76,+'5.Variables'!$D81,+IF(M$18='5.Variables'!$B$90,+'5.Variables'!$D95,+IF(M$18='5.Variables'!$B$104,+'5.Variables'!$D109,0))))))</f>
        <v>1</v>
      </c>
      <c r="N57" s="725">
        <f>IF(N$18='5.Variables'!$B$16,+'5.Variables'!$D29,+IF(N$18='5.Variables'!$B$39,+'5.Variables'!$D53,+IF(N$18='5.Variables'!$B$62,+'5.Variables'!$D67,+IF(N$18='5.Variables'!$B$76,+'5.Variables'!$D81,+IF(N$18='5.Variables'!$B$90,+'5.Variables'!$D95,+IF(N$18='5.Variables'!$B$104,+'5.Variables'!$D109,0))))))</f>
        <v>0</v>
      </c>
      <c r="O57" s="725">
        <f>IF(O$18='5.Variables'!$B$16,+'5.Variables'!$D29,+IF(O$18='5.Variables'!$B$39,+'5.Variables'!$D53,+IF(O$18='5.Variables'!$B$62,+'5.Variables'!$D67,+IF(O$18='5.Variables'!$B$76,+'5.Variables'!$D81,+IF(O$18='5.Variables'!$B$90,+'5.Variables'!$D95,+IF(O$18='5.Variables'!$B$104,+'5.Variables'!$D109,0))))))</f>
        <v>29</v>
      </c>
      <c r="P57" s="725">
        <f>IF(P$18='5.Variables'!$B$16,+'5.Variables'!$D29,+IF(P$18='5.Variables'!$B$39,+'5.Variables'!$D53,+IF(P$18='5.Variables'!$B$62,+'5.Variables'!$D67,+IF(P$18='5.Variables'!$B$76,+'5.Variables'!$D81,+IF(P$18='5.Variables'!$B$90,+'5.Variables'!$D95,+IF(P$18='5.Variables'!$B$104,+'5.Variables'!$D109,0))))))</f>
        <v>0</v>
      </c>
      <c r="Q57" s="245"/>
      <c r="R57" s="558">
        <f t="shared" si="1"/>
        <v>20080283.063370142</v>
      </c>
      <c r="S57" s="265"/>
      <c r="T57" s="245"/>
      <c r="U57" s="245"/>
      <c r="V57" s="269"/>
      <c r="W57" s="269"/>
      <c r="X57" s="270"/>
      <c r="Y57" s="245"/>
      <c r="Z57" s="245"/>
      <c r="AA57" s="245"/>
      <c r="AB57" s="245"/>
      <c r="AC57" s="245"/>
      <c r="AD57" s="245"/>
      <c r="AE57" s="245"/>
      <c r="AF57" s="245"/>
      <c r="AG57" s="245"/>
      <c r="AH57" s="245"/>
      <c r="AI57" s="245"/>
      <c r="AJ57" s="245"/>
      <c r="AK57" s="245"/>
      <c r="AL57" s="245"/>
      <c r="AM57" s="245"/>
    </row>
    <row r="58" spans="1:39" x14ac:dyDescent="0.2">
      <c r="A58" s="503">
        <f t="shared" si="2"/>
        <v>39</v>
      </c>
      <c r="B58" s="262" t="str">
        <f>CONCATENATE('3. Consumption by Rate Class'!B63,"-",'3. Consumption by Rate Class'!C63)</f>
        <v>2008-March</v>
      </c>
      <c r="C58" s="697">
        <v>18595476.210000001</v>
      </c>
      <c r="D58" s="703">
        <v>-25800</v>
      </c>
      <c r="E58" s="707"/>
      <c r="F58" s="703"/>
      <c r="G58" s="703"/>
      <c r="H58" s="704"/>
      <c r="I58" s="704"/>
      <c r="J58" s="263">
        <f t="shared" si="0"/>
        <v>18569676.210000001</v>
      </c>
      <c r="K58" s="725">
        <f>IF(K$18='5.Variables'!$B$16,+'5.Variables'!$E30,+IF(K$18='5.Variables'!$B$39,+'5.Variables'!$E53,+IF(K$18='5.Variables'!$B$62,+'5.Variables'!$E67,+IF(K$18='5.Variables'!$B$76,+'5.Variables'!$E81,+IF(K$18='5.Variables'!$B$90,+'5.Variables'!$E95,+IF(K$18='5.Variables'!$B$104,+'5.Variables'!$E109,0))))))</f>
        <v>721.1</v>
      </c>
      <c r="L58" s="725">
        <f>IF(L$18='5.Variables'!$B$16,+'5.Variables'!$E29,+IF(L$18='5.Variables'!$B$39,+'5.Variables'!$E53,+IF(L$18='5.Variables'!$B$62,+'5.Variables'!$E67,+IF(L$18='5.Variables'!$B$76,+'5.Variables'!$E81,+IF(L$18='5.Variables'!$B$90,+'5.Variables'!$E95,+IF(L$18='5.Variables'!$B$104,+'5.Variables'!$E109,0))))))</f>
        <v>0</v>
      </c>
      <c r="M58" s="725">
        <f>IF(M$18='5.Variables'!$B$16,+'5.Variables'!$E29,+IF(M$18='5.Variables'!$B$39,+'5.Variables'!$E53,+IF(M$18='5.Variables'!$B$62,+'5.Variables'!$E67,+IF(M$18='5.Variables'!$B$76,+'5.Variables'!$E81,+IF(M$18='5.Variables'!$B$90,+'5.Variables'!$E95,+IF(M$18='5.Variables'!$B$104,+'5.Variables'!$E109,0))))))</f>
        <v>0</v>
      </c>
      <c r="N58" s="725">
        <f>IF(N$18='5.Variables'!$B$16,+'5.Variables'!$E29,+IF(N$18='5.Variables'!$B$39,+'5.Variables'!$E53,+IF(N$18='5.Variables'!$B$62,+'5.Variables'!$E67,+IF(N$18='5.Variables'!$B$76,+'5.Variables'!$E81,+IF(N$18='5.Variables'!$B$90,+'5.Variables'!$E95,+IF(N$18='5.Variables'!$B$104,+'5.Variables'!$E109,0))))))</f>
        <v>1</v>
      </c>
      <c r="O58" s="725">
        <f>IF(O$18='5.Variables'!$B$16,+'5.Variables'!$E29,+IF(O$18='5.Variables'!$B$39,+'5.Variables'!$E53,+IF(O$18='5.Variables'!$B$62,+'5.Variables'!$E67,+IF(O$18='5.Variables'!$B$76,+'5.Variables'!$E81,+IF(O$18='5.Variables'!$B$90,+'5.Variables'!$E95,+IF(O$18='5.Variables'!$B$104,+'5.Variables'!$E109,0))))))</f>
        <v>31</v>
      </c>
      <c r="P58" s="725">
        <f>IF(P$18='5.Variables'!$B$16,+'5.Variables'!$E29,+IF(P$18='5.Variables'!$B$39,+'5.Variables'!$E53,+IF(P$18='5.Variables'!$B$62,+'5.Variables'!$E67,+IF(P$18='5.Variables'!$B$76,+'5.Variables'!$E81,+IF(P$18='5.Variables'!$B$90,+'5.Variables'!$E95,+IF(P$18='5.Variables'!$B$104,+'5.Variables'!$E109,0))))))</f>
        <v>0</v>
      </c>
      <c r="Q58" s="245"/>
      <c r="R58" s="558">
        <f t="shared" si="1"/>
        <v>18225455.68563481</v>
      </c>
      <c r="S58" s="265"/>
      <c r="T58" s="245"/>
      <c r="U58" s="249" t="s">
        <v>33</v>
      </c>
      <c r="V58" s="249" t="s">
        <v>43</v>
      </c>
      <c r="W58" s="249" t="s">
        <v>31</v>
      </c>
      <c r="X58" s="249" t="s">
        <v>30</v>
      </c>
      <c r="Y58" s="245"/>
      <c r="Z58" s="245"/>
      <c r="AA58" s="245"/>
      <c r="AB58" s="245"/>
      <c r="AC58" s="245"/>
      <c r="AD58" s="245"/>
      <c r="AE58" s="245"/>
      <c r="AF58" s="245"/>
      <c r="AG58" s="245"/>
      <c r="AH58" s="245"/>
      <c r="AI58" s="245"/>
      <c r="AJ58" s="245"/>
      <c r="AK58" s="245"/>
      <c r="AL58" s="245"/>
      <c r="AM58" s="245"/>
    </row>
    <row r="59" spans="1:39" x14ac:dyDescent="0.2">
      <c r="A59" s="503">
        <f t="shared" si="2"/>
        <v>40</v>
      </c>
      <c r="B59" s="262" t="str">
        <f>CONCATENATE('3. Consumption by Rate Class'!B64,"-",'3. Consumption by Rate Class'!C64)</f>
        <v>2008-April</v>
      </c>
      <c r="C59" s="697">
        <v>13653101.949999999</v>
      </c>
      <c r="D59" s="703">
        <v>-31800</v>
      </c>
      <c r="E59" s="707"/>
      <c r="F59" s="703"/>
      <c r="G59" s="703"/>
      <c r="H59" s="704"/>
      <c r="I59" s="704"/>
      <c r="J59" s="263">
        <f t="shared" si="0"/>
        <v>13621301.949999999</v>
      </c>
      <c r="K59" s="725">
        <f>IF(K$18='5.Variables'!$B$16,+'5.Variables'!$F30,+IF(K$18='5.Variables'!$B$39,+'5.Variables'!$F53,+IF(K$18='5.Variables'!$B$62,+'5.Variables'!$F67,+IF(K$18='5.Variables'!$B$76,+'5.Variables'!$F81,+IF(K$18='5.Variables'!$B$90,+'5.Variables'!$F95,+IF(K$18='5.Variables'!$B$104,+'5.Variables'!$F109,0))))))</f>
        <v>299.60000000000002</v>
      </c>
      <c r="L59" s="725">
        <f>IF(L$18='5.Variables'!$B$16,+'5.Variables'!$F29,+IF(L$18='5.Variables'!$B$39,+'5.Variables'!$F53,+IF(L$18='5.Variables'!$B$62,+'5.Variables'!$F67,+IF(L$18='5.Variables'!$B$76,+'5.Variables'!$F81,+IF(L$18='5.Variables'!$B$90,+'5.Variables'!$F95,+IF(L$18='5.Variables'!$B$104,+'5.Variables'!$F109,0))))))</f>
        <v>0</v>
      </c>
      <c r="M59" s="725">
        <f>IF(M$18='5.Variables'!$B$16,+'5.Variables'!$F29,+IF(M$18='5.Variables'!$B$39,+'5.Variables'!$F53,+IF(M$18='5.Variables'!$B$62,+'5.Variables'!$F67,+IF(M$18='5.Variables'!$B$76,+'5.Variables'!$F81,+IF(M$18='5.Variables'!$B$90,+'5.Variables'!$F95,+IF(M$18='5.Variables'!$B$104,+'5.Variables'!$F109,0))))))</f>
        <v>0</v>
      </c>
      <c r="N59" s="725">
        <f>IF(N$18='5.Variables'!$B$16,+'5.Variables'!$F29,+IF(N$18='5.Variables'!$B$39,+'5.Variables'!$F53,+IF(N$18='5.Variables'!$B$62,+'5.Variables'!$F67,+IF(N$18='5.Variables'!$B$76,+'5.Variables'!$F81,+IF(N$18='5.Variables'!$B$90,+'5.Variables'!$F95,+IF(N$18='5.Variables'!$B$104,+'5.Variables'!$F109,0))))))</f>
        <v>0</v>
      </c>
      <c r="O59" s="725">
        <f>IF(O$18='5.Variables'!$B$16,+'5.Variables'!$F29,+IF(O$18='5.Variables'!$B$39,+'5.Variables'!$F53,+IF(O$18='5.Variables'!$B$62,+'5.Variables'!$F67,+IF(O$18='5.Variables'!$B$76,+'5.Variables'!$F81,+IF(O$18='5.Variables'!$B$90,+'5.Variables'!$F95,+IF(O$18='5.Variables'!$B$104,+'5.Variables'!$F109,0))))))</f>
        <v>30</v>
      </c>
      <c r="P59" s="725">
        <f>IF(P$18='5.Variables'!$B$16,+'5.Variables'!$F29,+IF(P$18='5.Variables'!$B$39,+'5.Variables'!$F53,+IF(P$18='5.Variables'!$B$62,+'5.Variables'!$F67,+IF(P$18='5.Variables'!$B$76,+'5.Variables'!$F81,+IF(P$18='5.Variables'!$B$90,+'5.Variables'!$F95,+IF(P$18='5.Variables'!$B$104,+'5.Variables'!$F109,0))))))</f>
        <v>0</v>
      </c>
      <c r="Q59" s="245"/>
      <c r="R59" s="558">
        <f t="shared" si="1"/>
        <v>15215698.842547182</v>
      </c>
      <c r="S59" s="265"/>
      <c r="T59" s="245"/>
      <c r="U59" s="250">
        <f>'4. Customer Growth'!B17</f>
        <v>2005</v>
      </c>
      <c r="V59" s="267">
        <f t="shared" ref="V59:V68" si="5">V46</f>
        <v>209871328.75141218</v>
      </c>
      <c r="W59" s="267">
        <f t="shared" ref="W59:W68" si="6">X46</f>
        <v>203844303.0754298</v>
      </c>
      <c r="X59" s="268">
        <f>IF(ABS(V59-W59)=0,0,ABS(V59-W59)/V59)</f>
        <v>2.8717718193518756E-2</v>
      </c>
      <c r="Y59" s="245"/>
      <c r="Z59" s="245"/>
      <c r="AA59" s="245"/>
      <c r="AB59" s="245"/>
      <c r="AC59" s="245"/>
      <c r="AD59" s="245"/>
      <c r="AE59" s="245"/>
      <c r="AF59" s="245"/>
      <c r="AG59" s="245"/>
      <c r="AH59" s="245"/>
      <c r="AI59" s="245"/>
      <c r="AJ59" s="245"/>
      <c r="AK59" s="245"/>
      <c r="AL59" s="245"/>
      <c r="AM59" s="245"/>
    </row>
    <row r="60" spans="1:39" x14ac:dyDescent="0.2">
      <c r="A60" s="503">
        <f t="shared" si="2"/>
        <v>41</v>
      </c>
      <c r="B60" s="262" t="str">
        <f>CONCATENATE('3. Consumption by Rate Class'!B65,"-",'3. Consumption by Rate Class'!C65)</f>
        <v>2008-May</v>
      </c>
      <c r="C60" s="697">
        <v>13261223.890000001</v>
      </c>
      <c r="D60" s="703">
        <v>-30000</v>
      </c>
      <c r="E60" s="707"/>
      <c r="F60" s="703"/>
      <c r="G60" s="703"/>
      <c r="H60" s="704"/>
      <c r="I60" s="704"/>
      <c r="J60" s="263">
        <f t="shared" si="0"/>
        <v>13231223.890000001</v>
      </c>
      <c r="K60" s="725">
        <f>IF(K$18='5.Variables'!$B$16,+'5.Variables'!$G30,+IF(K$18='5.Variables'!$B$39,+'5.Variables'!$G53,+IF(K$18='5.Variables'!$B$62,+'5.Variables'!$G67,+IF(K$18='5.Variables'!$B$76,+'5.Variables'!$G81,+IF(K$18='5.Variables'!$B$90,+'5.Variables'!$G95,+IF(K$18='5.Variables'!$B$104,+'5.Variables'!$G109,0))))))</f>
        <v>185.4</v>
      </c>
      <c r="L60" s="725">
        <f>IF(L$18='5.Variables'!$B$16,+'5.Variables'!$G29,+IF(L$18='5.Variables'!$B$39,+'5.Variables'!$G53,+IF(L$18='5.Variables'!$B$62,+'5.Variables'!$G67,+IF(L$18='5.Variables'!$B$76,+'5.Variables'!$G81,+IF(L$18='5.Variables'!$B$90,+'5.Variables'!$G95,+IF(L$18='5.Variables'!$B$104,+'5.Variables'!$G109,0))))))</f>
        <v>0</v>
      </c>
      <c r="M60" s="725">
        <f>IF(M$18='5.Variables'!$B$16,+'5.Variables'!$G29,+IF(M$18='5.Variables'!$B$39,+'5.Variables'!$G53,+IF(M$18='5.Variables'!$B$62,+'5.Variables'!$G67,+IF(M$18='5.Variables'!$B$76,+'5.Variables'!$G81,+IF(M$18='5.Variables'!$B$90,+'5.Variables'!$G95,+IF(M$18='5.Variables'!$B$104,+'5.Variables'!$G109,0))))))</f>
        <v>0</v>
      </c>
      <c r="N60" s="725">
        <f>IF(N$18='5.Variables'!$B$16,+'5.Variables'!$G29,+IF(N$18='5.Variables'!$B$39,+'5.Variables'!$G53,+IF(N$18='5.Variables'!$B$62,+'5.Variables'!$G67,+IF(N$18='5.Variables'!$B$76,+'5.Variables'!$G81,+IF(N$18='5.Variables'!$B$90,+'5.Variables'!$G95,+IF(N$18='5.Variables'!$B$104,+'5.Variables'!$G109,0))))))</f>
        <v>0</v>
      </c>
      <c r="O60" s="725">
        <f>IF(O$18='5.Variables'!$B$16,+'5.Variables'!$G29,+IF(O$18='5.Variables'!$B$39,+'5.Variables'!$G53,+IF(O$18='5.Variables'!$B$62,+'5.Variables'!$G67,+IF(O$18='5.Variables'!$B$76,+'5.Variables'!$G81,+IF(O$18='5.Variables'!$B$90,+'5.Variables'!$G95,+IF(O$18='5.Variables'!$B$104,+'5.Variables'!$G109,0))))))</f>
        <v>31</v>
      </c>
      <c r="P60" s="725">
        <f>IF(P$18='5.Variables'!$B$16,+'5.Variables'!$G29,+IF(P$18='5.Variables'!$B$39,+'5.Variables'!$G53,+IF(P$18='5.Variables'!$B$62,+'5.Variables'!$G67,+IF(P$18='5.Variables'!$B$76,+'5.Variables'!$G81,+IF(P$18='5.Variables'!$B$90,+'5.Variables'!$G95,+IF(P$18='5.Variables'!$B$104,+'5.Variables'!$G109,0))))))</f>
        <v>0</v>
      </c>
      <c r="Q60" s="245"/>
      <c r="R60" s="558">
        <f t="shared" si="1"/>
        <v>14400243.963589633</v>
      </c>
      <c r="S60" s="265"/>
      <c r="T60" s="245"/>
      <c r="U60" s="250">
        <f>'4. Customer Growth'!B18</f>
        <v>2006</v>
      </c>
      <c r="V60" s="267">
        <f t="shared" si="5"/>
        <v>203367791.46020103</v>
      </c>
      <c r="W60" s="267">
        <f t="shared" si="6"/>
        <v>197556431.56635299</v>
      </c>
      <c r="X60" s="268">
        <f t="shared" ref="X60:X68" si="7">IF(ABS(V60-W60)=0,0,ABS(V60-W60)/V60)</f>
        <v>2.8575615893361914E-2</v>
      </c>
      <c r="Y60" s="271"/>
      <c r="Z60" s="245"/>
      <c r="AA60" s="245"/>
      <c r="AB60" s="245"/>
      <c r="AC60" s="245"/>
      <c r="AD60" s="245"/>
      <c r="AE60" s="245"/>
      <c r="AF60" s="245"/>
      <c r="AG60" s="245"/>
      <c r="AH60" s="245"/>
      <c r="AI60" s="245"/>
      <c r="AJ60" s="245"/>
      <c r="AK60" s="245"/>
      <c r="AL60" s="245"/>
      <c r="AM60" s="245"/>
    </row>
    <row r="61" spans="1:39" x14ac:dyDescent="0.2">
      <c r="A61" s="503">
        <f t="shared" si="2"/>
        <v>42</v>
      </c>
      <c r="B61" s="262" t="str">
        <f>CONCATENATE('3. Consumption by Rate Class'!B66,"-",'3. Consumption by Rate Class'!C66)</f>
        <v>2008-June</v>
      </c>
      <c r="C61" s="697">
        <v>14214619.83</v>
      </c>
      <c r="D61" s="703">
        <v>-25200</v>
      </c>
      <c r="E61" s="707"/>
      <c r="F61" s="703"/>
      <c r="G61" s="703"/>
      <c r="H61" s="704"/>
      <c r="I61" s="704"/>
      <c r="J61" s="263">
        <f t="shared" si="0"/>
        <v>14189419.83</v>
      </c>
      <c r="K61" s="725">
        <f>IF(K$18='5.Variables'!$B$16,+'5.Variables'!$H30,+IF(K$18='5.Variables'!$B$39,+'5.Variables'!$H53,+IF(K$18='5.Variables'!$B$62,+'5.Variables'!$H67,+IF(K$18='5.Variables'!$B$76,+'5.Variables'!$H81,+IF(K$18='5.Variables'!$B$90,+'5.Variables'!$H95,+IF(K$18='5.Variables'!$B$104,+'5.Variables'!$H109,0))))))</f>
        <v>22.4</v>
      </c>
      <c r="L61" s="725">
        <f>IF(L$18='5.Variables'!$B$16,+'5.Variables'!$H29,+IF(L$18='5.Variables'!$B$39,+'5.Variables'!$H53,+IF(L$18='5.Variables'!$B$62,+'5.Variables'!$H67,+IF(L$18='5.Variables'!$B$76,+'5.Variables'!$H81,+IF(L$18='5.Variables'!$B$90,+'5.Variables'!$H95,+IF(L$18='5.Variables'!$B$104,+'5.Variables'!$H109,0))))))</f>
        <v>60.5</v>
      </c>
      <c r="M61" s="725">
        <f>IF(M$18='5.Variables'!$B$16,+'5.Variables'!$H29,+IF(M$18='5.Variables'!$B$39,+'5.Variables'!$H53,+IF(M$18='5.Variables'!$B$62,+'5.Variables'!$H67,+IF(M$18='5.Variables'!$B$76,+'5.Variables'!$H81,+IF(M$18='5.Variables'!$B$90,+'5.Variables'!$H95,+IF(M$18='5.Variables'!$B$104,+'5.Variables'!$H109,0))))))</f>
        <v>0</v>
      </c>
      <c r="N61" s="725">
        <f>IF(N$18='5.Variables'!$B$16,+'5.Variables'!$H29,+IF(N$18='5.Variables'!$B$39,+'5.Variables'!$H53,+IF(N$18='5.Variables'!$B$62,+'5.Variables'!$H67,+IF(N$18='5.Variables'!$B$76,+'5.Variables'!$H81,+IF(N$18='5.Variables'!$B$90,+'5.Variables'!$H95,+IF(N$18='5.Variables'!$B$104,+'5.Variables'!$H109,0))))))</f>
        <v>0</v>
      </c>
      <c r="O61" s="725">
        <f>IF(O$18='5.Variables'!$B$16,+'5.Variables'!$H29,+IF(O$18='5.Variables'!$B$39,+'5.Variables'!$H53,+IF(O$18='5.Variables'!$B$62,+'5.Variables'!$H67,+IF(O$18='5.Variables'!$B$76,+'5.Variables'!$H81,+IF(O$18='5.Variables'!$B$90,+'5.Variables'!$H95,+IF(O$18='5.Variables'!$B$104,+'5.Variables'!$H109,0))))))</f>
        <v>30</v>
      </c>
      <c r="P61" s="725">
        <f>IF(P$18='5.Variables'!$B$16,+'5.Variables'!$H29,+IF(P$18='5.Variables'!$B$39,+'5.Variables'!$H53,+IF(P$18='5.Variables'!$B$62,+'5.Variables'!$H67,+IF(P$18='5.Variables'!$B$76,+'5.Variables'!$H81,+IF(P$18='5.Variables'!$B$90,+'5.Variables'!$H95,+IF(P$18='5.Variables'!$B$104,+'5.Variables'!$H109,0))))))</f>
        <v>0</v>
      </c>
      <c r="Q61" s="245"/>
      <c r="R61" s="558">
        <f t="shared" si="1"/>
        <v>14901126.948786492</v>
      </c>
      <c r="S61" s="265"/>
      <c r="T61" s="245"/>
      <c r="U61" s="250">
        <f>'4. Customer Growth'!B19</f>
        <v>2007</v>
      </c>
      <c r="V61" s="267">
        <f t="shared" si="5"/>
        <v>205302856.46000004</v>
      </c>
      <c r="W61" s="267">
        <f t="shared" si="6"/>
        <v>200186936.8660098</v>
      </c>
      <c r="X61" s="268">
        <f t="shared" si="7"/>
        <v>2.4918891447508872E-2</v>
      </c>
      <c r="Y61" s="271"/>
      <c r="Z61" s="245"/>
      <c r="AA61" s="245"/>
      <c r="AB61" s="245"/>
      <c r="AC61" s="245"/>
      <c r="AD61" s="245"/>
      <c r="AE61" s="245"/>
      <c r="AF61" s="245"/>
      <c r="AG61" s="245"/>
      <c r="AH61" s="245"/>
      <c r="AI61" s="245"/>
      <c r="AJ61" s="245"/>
      <c r="AK61" s="245"/>
      <c r="AL61" s="245"/>
      <c r="AM61" s="245"/>
    </row>
    <row r="62" spans="1:39" x14ac:dyDescent="0.2">
      <c r="A62" s="503">
        <f t="shared" si="2"/>
        <v>43</v>
      </c>
      <c r="B62" s="262" t="str">
        <f>CONCATENATE('3. Consumption by Rate Class'!B67,"-",'3. Consumption by Rate Class'!C67)</f>
        <v>2008-July</v>
      </c>
      <c r="C62" s="697">
        <v>14468868.02</v>
      </c>
      <c r="D62" s="703">
        <v>-16200</v>
      </c>
      <c r="E62" s="707"/>
      <c r="F62" s="703"/>
      <c r="G62" s="703"/>
      <c r="H62" s="704"/>
      <c r="I62" s="704"/>
      <c r="J62" s="263">
        <f t="shared" si="0"/>
        <v>14452668.02</v>
      </c>
      <c r="K62" s="725">
        <f>IF(K$18='5.Variables'!$B$16,+'5.Variables'!$I30,+IF(K$18='5.Variables'!$B$39,+'5.Variables'!$I53,+IF(K$18='5.Variables'!$B$62,+'5.Variables'!$I67,+IF(K$18='5.Variables'!$B$76,+'5.Variables'!$I81,+IF(K$18='5.Variables'!$B$90,+'5.Variables'!$I95,+IF(K$18='5.Variables'!$B$104,+'5.Variables'!$I109,0))))))</f>
        <v>0.3</v>
      </c>
      <c r="L62" s="725">
        <f>IF(L$18='5.Variables'!$B$16,+'5.Variables'!$I29,+IF(L$18='5.Variables'!$B$39,+'5.Variables'!$I53,+IF(L$18='5.Variables'!$B$62,+'5.Variables'!$I67,+IF(L$18='5.Variables'!$B$76,+'5.Variables'!$I81,+IF(L$18='5.Variables'!$B$90,+'5.Variables'!$I95,+IF(L$18='5.Variables'!$B$104,+'5.Variables'!$I109,0))))))</f>
        <v>78.900000000000006</v>
      </c>
      <c r="M62" s="725">
        <f>IF(M$18='5.Variables'!$B$16,+'5.Variables'!$I29,+IF(M$18='5.Variables'!$B$39,+'5.Variables'!$I53,+IF(M$18='5.Variables'!$B$62,+'5.Variables'!$I67,+IF(M$18='5.Variables'!$B$76,+'5.Variables'!$I81,+IF(M$18='5.Variables'!$B$90,+'5.Variables'!$I95,+IF(M$18='5.Variables'!$B$104,+'5.Variables'!$I109,0))))))</f>
        <v>0</v>
      </c>
      <c r="N62" s="725">
        <f>IF(N$18='5.Variables'!$B$16,+'5.Variables'!$I29,+IF(N$18='5.Variables'!$B$39,+'5.Variables'!$I53,+IF(N$18='5.Variables'!$B$62,+'5.Variables'!$I67,+IF(N$18='5.Variables'!$B$76,+'5.Variables'!$I81,+IF(N$18='5.Variables'!$B$90,+'5.Variables'!$I95,+IF(N$18='5.Variables'!$B$104,+'5.Variables'!$I109,0))))))</f>
        <v>1</v>
      </c>
      <c r="O62" s="725">
        <f>IF(O$18='5.Variables'!$B$16,+'5.Variables'!$I29,+IF(O$18='5.Variables'!$B$39,+'5.Variables'!$I53,+IF(O$18='5.Variables'!$B$62,+'5.Variables'!$I67,+IF(O$18='5.Variables'!$B$76,+'5.Variables'!$I81,+IF(O$18='5.Variables'!$B$90,+'5.Variables'!$I95,+IF(O$18='5.Variables'!$B$104,+'5.Variables'!$I109,0))))))</f>
        <v>31</v>
      </c>
      <c r="P62" s="725">
        <f>IF(P$18='5.Variables'!$B$16,+'5.Variables'!$I29,+IF(P$18='5.Variables'!$B$39,+'5.Variables'!$I53,+IF(P$18='5.Variables'!$B$62,+'5.Variables'!$I67,+IF(P$18='5.Variables'!$B$76,+'5.Variables'!$I81,+IF(P$18='5.Variables'!$B$90,+'5.Variables'!$I95,+IF(P$18='5.Variables'!$B$104,+'5.Variables'!$I109,0))))))</f>
        <v>0</v>
      </c>
      <c r="Q62" s="245"/>
      <c r="R62" s="558">
        <f t="shared" si="1"/>
        <v>15249638.87164095</v>
      </c>
      <c r="S62" s="265"/>
      <c r="T62" s="245"/>
      <c r="U62" s="250">
        <f>'4. Customer Growth'!B20</f>
        <v>2008</v>
      </c>
      <c r="V62" s="267">
        <f t="shared" si="5"/>
        <v>194146899.85907778</v>
      </c>
      <c r="W62" s="267">
        <f t="shared" si="6"/>
        <v>199277158.67089084</v>
      </c>
      <c r="X62" s="268">
        <f t="shared" si="7"/>
        <v>2.6424623908683956E-2</v>
      </c>
      <c r="Y62" s="271"/>
      <c r="Z62" s="245"/>
      <c r="AA62" s="245"/>
      <c r="AB62" s="245"/>
      <c r="AC62" s="245"/>
      <c r="AD62" s="245"/>
      <c r="AE62" s="245"/>
      <c r="AF62" s="245"/>
      <c r="AG62" s="245"/>
      <c r="AH62" s="245"/>
      <c r="AI62" s="245"/>
      <c r="AJ62" s="245"/>
      <c r="AK62" s="245"/>
      <c r="AL62" s="245"/>
      <c r="AM62" s="245"/>
    </row>
    <row r="63" spans="1:39" x14ac:dyDescent="0.2">
      <c r="A63" s="503">
        <f t="shared" si="2"/>
        <v>44</v>
      </c>
      <c r="B63" s="262" t="str">
        <f>CONCATENATE('3. Consumption by Rate Class'!B68,"-",'3. Consumption by Rate Class'!C68)</f>
        <v>2008-August</v>
      </c>
      <c r="C63" s="697">
        <v>16066893.470000001</v>
      </c>
      <c r="D63" s="703">
        <v>-22800</v>
      </c>
      <c r="E63" s="707"/>
      <c r="F63" s="703"/>
      <c r="G63" s="703"/>
      <c r="H63" s="704"/>
      <c r="I63" s="704"/>
      <c r="J63" s="263">
        <f t="shared" si="0"/>
        <v>16044093.470000001</v>
      </c>
      <c r="K63" s="725">
        <f>IF(K$18='5.Variables'!$B$16,+'5.Variables'!$J30,+IF(K$18='5.Variables'!$B$39,+'5.Variables'!$J53,+IF(K$18='5.Variables'!$B$62,+'5.Variables'!$J67,+IF(K$18='5.Variables'!$B$76,+'5.Variables'!$J81,+IF(K$18='5.Variables'!$B$90,+'5.Variables'!$J95,+IF(K$18='5.Variables'!$B$104,+'5.Variables'!$J109,0))))))</f>
        <v>14.4</v>
      </c>
      <c r="L63" s="725">
        <f>IF(L$18='5.Variables'!$B$16,+'5.Variables'!$J29,+IF(L$18='5.Variables'!$B$39,+'5.Variables'!$J53,+IF(L$18='5.Variables'!$B$62,+'5.Variables'!$J67,+IF(L$18='5.Variables'!$B$76,+'5.Variables'!$J81,+IF(L$18='5.Variables'!$B$90,+'5.Variables'!$J95,+IF(L$18='5.Variables'!$B$104,+'5.Variables'!$J109,0))))))</f>
        <v>49.5</v>
      </c>
      <c r="M63" s="725">
        <f>IF(M$18='5.Variables'!$B$16,+'5.Variables'!$J29,+IF(M$18='5.Variables'!$B$39,+'5.Variables'!$J53,+IF(M$18='5.Variables'!$B$62,+'5.Variables'!$J67,+IF(M$18='5.Variables'!$B$76,+'5.Variables'!$J81,+IF(M$18='5.Variables'!$B$90,+'5.Variables'!$J95,+IF(M$18='5.Variables'!$B$104,+'5.Variables'!$J109,0))))))</f>
        <v>0</v>
      </c>
      <c r="N63" s="725">
        <f>IF(N$18='5.Variables'!$B$16,+'5.Variables'!$J29,+IF(N$18='5.Variables'!$B$39,+'5.Variables'!$J53,+IF(N$18='5.Variables'!$B$62,+'5.Variables'!$J67,+IF(N$18='5.Variables'!$B$76,+'5.Variables'!$J81,+IF(N$18='5.Variables'!$B$90,+'5.Variables'!$J95,+IF(N$18='5.Variables'!$B$104,+'5.Variables'!$J109,0))))))</f>
        <v>0</v>
      </c>
      <c r="O63" s="725">
        <f>IF(O$18='5.Variables'!$B$16,+'5.Variables'!$J29,+IF(O$18='5.Variables'!$B$39,+'5.Variables'!$J53,+IF(O$18='5.Variables'!$B$62,+'5.Variables'!$J67,+IF(O$18='5.Variables'!$B$76,+'5.Variables'!$J81,+IF(O$18='5.Variables'!$B$90,+'5.Variables'!$J95,+IF(O$18='5.Variables'!$B$104,+'5.Variables'!$J109,0))))))</f>
        <v>31</v>
      </c>
      <c r="P63" s="725">
        <f>IF(P$18='5.Variables'!$B$16,+'5.Variables'!$J29,+IF(P$18='5.Variables'!$B$39,+'5.Variables'!$J53,+IF(P$18='5.Variables'!$B$62,+'5.Variables'!$J67,+IF(P$18='5.Variables'!$B$76,+'5.Variables'!$J81,+IF(P$18='5.Variables'!$B$90,+'5.Variables'!$J95,+IF(P$18='5.Variables'!$B$104,+'5.Variables'!$J109,0))))))</f>
        <v>0</v>
      </c>
      <c r="Q63" s="245"/>
      <c r="R63" s="558">
        <f t="shared" si="1"/>
        <v>14541311.637763256</v>
      </c>
      <c r="S63" s="265"/>
      <c r="T63" s="245"/>
      <c r="U63" s="250">
        <f>'4. Customer Growth'!B21</f>
        <v>2009</v>
      </c>
      <c r="V63" s="267">
        <f t="shared" si="5"/>
        <v>201115656.45999998</v>
      </c>
      <c r="W63" s="267">
        <f t="shared" si="6"/>
        <v>198683586.06453371</v>
      </c>
      <c r="X63" s="268">
        <f t="shared" si="7"/>
        <v>1.2092894398552129E-2</v>
      </c>
      <c r="Y63" s="271"/>
      <c r="Z63" s="245"/>
      <c r="AA63" s="245"/>
      <c r="AB63" s="245"/>
      <c r="AC63" s="245"/>
      <c r="AD63" s="245"/>
      <c r="AE63" s="245"/>
      <c r="AF63" s="245"/>
      <c r="AG63" s="245"/>
      <c r="AH63" s="245"/>
      <c r="AI63" s="245"/>
      <c r="AJ63" s="245"/>
      <c r="AK63" s="245"/>
      <c r="AL63" s="245"/>
      <c r="AM63" s="245"/>
    </row>
    <row r="64" spans="1:39" x14ac:dyDescent="0.2">
      <c r="A64" s="503">
        <f t="shared" si="2"/>
        <v>45</v>
      </c>
      <c r="B64" s="262" t="str">
        <f>CONCATENATE('3. Consumption by Rate Class'!B69,"-",'3. Consumption by Rate Class'!C69)</f>
        <v>2008-September</v>
      </c>
      <c r="C64" s="697">
        <v>14339118.18</v>
      </c>
      <c r="D64" s="703">
        <v>-24097.32</v>
      </c>
      <c r="E64" s="707"/>
      <c r="F64" s="703"/>
      <c r="G64" s="703"/>
      <c r="H64" s="704"/>
      <c r="I64" s="704"/>
      <c r="J64" s="263">
        <f t="shared" si="0"/>
        <v>14315020.859999999</v>
      </c>
      <c r="K64" s="725">
        <f>IF(K$18='5.Variables'!$B$16,+'5.Variables'!$K30,+IF(K$18='5.Variables'!$B$39,+'5.Variables'!$K53,+IF(K$18='5.Variables'!$B$62,+'5.Variables'!$K67,+IF(K$18='5.Variables'!$B$76,+'5.Variables'!$K81,+IF(K$18='5.Variables'!$B$90,+'5.Variables'!$K95,+IF(K$18='5.Variables'!$B$104,+'5.Variables'!$K109,0))))))</f>
        <v>95.4</v>
      </c>
      <c r="L64" s="725">
        <f>IF(L$18='5.Variables'!$B$16,+'5.Variables'!$K29,+IF(L$18='5.Variables'!$B$39,+'5.Variables'!$K53,+IF(L$18='5.Variables'!$B$62,+'5.Variables'!$K67,+IF(L$18='5.Variables'!$B$76,+'5.Variables'!$K81,+IF(L$18='5.Variables'!$B$90,+'5.Variables'!$K95,+IF(L$18='5.Variables'!$B$104,+'5.Variables'!$K109,0))))))</f>
        <v>25</v>
      </c>
      <c r="M64" s="725">
        <f>IF(M$18='5.Variables'!$B$16,+'5.Variables'!$K29,+IF(M$18='5.Variables'!$B$39,+'5.Variables'!$K53,+IF(M$18='5.Variables'!$B$62,+'5.Variables'!$K67,+IF(M$18='5.Variables'!$B$76,+'5.Variables'!$K81,+IF(M$18='5.Variables'!$B$90,+'5.Variables'!$K95,+IF(M$18='5.Variables'!$B$104,+'5.Variables'!$K109,0))))))</f>
        <v>0</v>
      </c>
      <c r="N64" s="725">
        <f>IF(N$18='5.Variables'!$B$16,+'5.Variables'!$K29,+IF(N$18='5.Variables'!$B$39,+'5.Variables'!$K53,+IF(N$18='5.Variables'!$B$62,+'5.Variables'!$K67,+IF(N$18='5.Variables'!$B$76,+'5.Variables'!$K81,+IF(N$18='5.Variables'!$B$90,+'5.Variables'!$K95,+IF(N$18='5.Variables'!$B$104,+'5.Variables'!$K109,0))))))</f>
        <v>0</v>
      </c>
      <c r="O64" s="725">
        <f>IF(O$18='5.Variables'!$B$16,+'5.Variables'!$K29,+IF(O$18='5.Variables'!$B$39,+'5.Variables'!$K53,+IF(O$18='5.Variables'!$B$62,+'5.Variables'!$K67,+IF(O$18='5.Variables'!$B$76,+'5.Variables'!$K81,+IF(O$18='5.Variables'!$B$90,+'5.Variables'!$K95,+IF(O$18='5.Variables'!$B$104,+'5.Variables'!$K109,0))))))</f>
        <v>30</v>
      </c>
      <c r="P64" s="725">
        <f>IF(P$18='5.Variables'!$B$16,+'5.Variables'!$K29,+IF(P$18='5.Variables'!$B$39,+'5.Variables'!$K53,+IF(P$18='5.Variables'!$B$62,+'5.Variables'!$K67,+IF(P$18='5.Variables'!$B$76,+'5.Variables'!$K81,+IF(P$18='5.Variables'!$B$90,+'5.Variables'!$K95,+IF(P$18='5.Variables'!$B$104,+'5.Variables'!$K109,0))))))</f>
        <v>0</v>
      </c>
      <c r="Q64" s="245"/>
      <c r="R64" s="558">
        <f t="shared" si="1"/>
        <v>14445524.497749681</v>
      </c>
      <c r="S64" s="265"/>
      <c r="T64" s="245"/>
      <c r="U64" s="250">
        <f>'4. Customer Growth'!B22</f>
        <v>2010</v>
      </c>
      <c r="V64" s="267">
        <f t="shared" si="5"/>
        <v>197081317.46300003</v>
      </c>
      <c r="W64" s="267">
        <f t="shared" si="6"/>
        <v>199197021.01412955</v>
      </c>
      <c r="X64" s="268">
        <f t="shared" si="7"/>
        <v>1.0735180677522726E-2</v>
      </c>
      <c r="Y64" s="271"/>
      <c r="Z64" s="245"/>
      <c r="AA64" s="245"/>
      <c r="AB64" s="245"/>
      <c r="AC64" s="245"/>
      <c r="AD64" s="245"/>
      <c r="AE64" s="245"/>
      <c r="AF64" s="245"/>
      <c r="AG64" s="245"/>
      <c r="AH64" s="245"/>
      <c r="AI64" s="245"/>
      <c r="AJ64" s="245"/>
      <c r="AK64" s="245"/>
      <c r="AL64" s="245"/>
      <c r="AM64" s="245"/>
    </row>
    <row r="65" spans="1:39" x14ac:dyDescent="0.2">
      <c r="A65" s="503">
        <f t="shared" si="2"/>
        <v>46</v>
      </c>
      <c r="B65" s="262" t="str">
        <f>CONCATENATE('3. Consumption by Rate Class'!B70,"-",'3. Consumption by Rate Class'!C70)</f>
        <v>2008-October</v>
      </c>
      <c r="C65" s="697">
        <v>15216338.729077807</v>
      </c>
      <c r="D65" s="703">
        <v>-29170.44</v>
      </c>
      <c r="E65" s="707"/>
      <c r="F65" s="703"/>
      <c r="G65" s="703"/>
      <c r="H65" s="703"/>
      <c r="I65" s="704"/>
      <c r="J65" s="263">
        <f t="shared" si="0"/>
        <v>15187168.289077807</v>
      </c>
      <c r="K65" s="725">
        <f>IF(K$18='5.Variables'!$B$16,+'5.Variables'!$L30,+IF(K$18='5.Variables'!$B$39,+'5.Variables'!$L53,+IF(K$18='5.Variables'!$B$62,+'5.Variables'!$L67,+IF(K$18='5.Variables'!$B$76,+'5.Variables'!$L81,+IF(K$18='5.Variables'!$B$90,+'5.Variables'!$L95,+IF(K$18='5.Variables'!$B$104,+'5.Variables'!$L109,0))))))</f>
        <v>321.8</v>
      </c>
      <c r="L65" s="725">
        <f>IF(L$18='5.Variables'!$B$16,+'5.Variables'!$L29,+IF(L$18='5.Variables'!$B$39,+'5.Variables'!$L53,+IF(L$18='5.Variables'!$B$62,+'5.Variables'!$L67,+IF(L$18='5.Variables'!$B$76,+'5.Variables'!$L81,+IF(L$18='5.Variables'!$B$90,+'5.Variables'!$L95,+IF(L$18='5.Variables'!$B$104,+'5.Variables'!$L109,0))))))</f>
        <v>0</v>
      </c>
      <c r="M65" s="725">
        <f>IF(M$18='5.Variables'!$B$16,+'5.Variables'!$L29,+IF(M$18='5.Variables'!$B$39,+'5.Variables'!$L53,+IF(M$18='5.Variables'!$B$62,+'5.Variables'!$L67,+IF(M$18='5.Variables'!$B$76,+'5.Variables'!$L81,+IF(M$18='5.Variables'!$B$90,+'5.Variables'!$L95,+IF(M$18='5.Variables'!$B$104,+'5.Variables'!$L109,0))))))</f>
        <v>0</v>
      </c>
      <c r="N65" s="725">
        <f>IF(N$18='5.Variables'!$B$16,+'5.Variables'!$L29,+IF(N$18='5.Variables'!$B$39,+'5.Variables'!$L53,+IF(N$18='5.Variables'!$B$62,+'5.Variables'!$L67,+IF(N$18='5.Variables'!$B$76,+'5.Variables'!$L81,+IF(N$18='5.Variables'!$B$90,+'5.Variables'!$L95,+IF(N$18='5.Variables'!$B$104,+'5.Variables'!$L109,0))))))</f>
        <v>0</v>
      </c>
      <c r="O65" s="725">
        <f>IF(O$18='5.Variables'!$B$16,+'5.Variables'!$L29,+IF(O$18='5.Variables'!$B$39,+'5.Variables'!$L53,+IF(O$18='5.Variables'!$B$62,+'5.Variables'!$L67,+IF(O$18='5.Variables'!$B$76,+'5.Variables'!$L81,+IF(O$18='5.Variables'!$B$90,+'5.Variables'!$L95,+IF(O$18='5.Variables'!$B$104,+'5.Variables'!$L109,0))))))</f>
        <v>31</v>
      </c>
      <c r="P65" s="725">
        <f>IF(P$18='5.Variables'!$B$16,+'5.Variables'!$L29,+IF(P$18='5.Variables'!$B$39,+'5.Variables'!$L53,+IF(P$18='5.Variables'!$B$62,+'5.Variables'!$L67,+IF(P$18='5.Variables'!$B$76,+'5.Variables'!$L81,+IF(P$18='5.Variables'!$B$90,+'5.Variables'!$L95,+IF(P$18='5.Variables'!$B$104,+'5.Variables'!$L109,0))))))</f>
        <v>0</v>
      </c>
      <c r="Q65" s="245"/>
      <c r="R65" s="558">
        <f t="shared" si="1"/>
        <v>15374219.843535427</v>
      </c>
      <c r="S65" s="265"/>
      <c r="T65" s="245"/>
      <c r="U65" s="250">
        <f>'4. Customer Growth'!B23</f>
        <v>2011</v>
      </c>
      <c r="V65" s="267">
        <f t="shared" si="5"/>
        <v>199623009.43799999</v>
      </c>
      <c r="W65" s="267">
        <f t="shared" si="6"/>
        <v>197051606.59096599</v>
      </c>
      <c r="X65" s="268">
        <f t="shared" si="7"/>
        <v>1.2881294868128154E-2</v>
      </c>
      <c r="Y65" s="271"/>
      <c r="Z65" s="245"/>
      <c r="AA65" s="245"/>
      <c r="AB65" s="245"/>
      <c r="AC65" s="245"/>
      <c r="AD65" s="245"/>
      <c r="AE65" s="245"/>
      <c r="AF65" s="245"/>
      <c r="AG65" s="245"/>
      <c r="AH65" s="245"/>
      <c r="AI65" s="245"/>
      <c r="AJ65" s="245"/>
      <c r="AK65" s="245"/>
      <c r="AL65" s="245"/>
      <c r="AM65" s="245"/>
    </row>
    <row r="66" spans="1:39" x14ac:dyDescent="0.2">
      <c r="A66" s="503">
        <f t="shared" si="2"/>
        <v>47</v>
      </c>
      <c r="B66" s="262" t="str">
        <f>CONCATENATE('3. Consumption by Rate Class'!B71,"-",'3. Consumption by Rate Class'!C71)</f>
        <v>2008-November</v>
      </c>
      <c r="C66" s="697">
        <v>17594469.57</v>
      </c>
      <c r="D66" s="703">
        <v>-26633.88</v>
      </c>
      <c r="E66" s="707"/>
      <c r="F66" s="703"/>
      <c r="G66" s="703"/>
      <c r="H66" s="703"/>
      <c r="I66" s="704"/>
      <c r="J66" s="263">
        <f t="shared" si="0"/>
        <v>17567835.690000001</v>
      </c>
      <c r="K66" s="725">
        <f>IF(K$18='5.Variables'!$B$16,+'5.Variables'!$M30,+IF(K$18='5.Variables'!$B$39,+'5.Variables'!$M53,+IF(K$18='5.Variables'!$B$62,+'5.Variables'!$M67,+IF(K$18='5.Variables'!$B$76,+'5.Variables'!$M81,+IF(K$18='5.Variables'!$B$90,+'5.Variables'!$M95,+IF(K$18='5.Variables'!$B$104,+'5.Variables'!$M109,0))))))</f>
        <v>502.8</v>
      </c>
      <c r="L66" s="725">
        <f>IF(L$18='5.Variables'!$B$16,+'5.Variables'!$M29,+IF(L$18='5.Variables'!$B$39,+'5.Variables'!$M53,+IF(L$18='5.Variables'!$B$62,+'5.Variables'!$M67,+IF(L$18='5.Variables'!$B$76,+'5.Variables'!$M81,+IF(L$18='5.Variables'!$B$90,+'5.Variables'!$M95,+IF(L$18='5.Variables'!$B$104,+'5.Variables'!$M109,0))))))</f>
        <v>0</v>
      </c>
      <c r="M66" s="725">
        <f>IF(M$18='5.Variables'!$B$16,+'5.Variables'!$M29,+IF(M$18='5.Variables'!$B$39,+'5.Variables'!$M53,+IF(M$18='5.Variables'!$B$62,+'5.Variables'!$M67,+IF(M$18='5.Variables'!$B$76,+'5.Variables'!$M81,+IF(M$18='5.Variables'!$B$90,+'5.Variables'!$M95,+IF(M$18='5.Variables'!$B$104,+'5.Variables'!$M109,0))))))</f>
        <v>0</v>
      </c>
      <c r="N66" s="725">
        <f>IF(N$18='5.Variables'!$B$16,+'5.Variables'!$M29,+IF(N$18='5.Variables'!$B$39,+'5.Variables'!$M53,+IF(N$18='5.Variables'!$B$62,+'5.Variables'!$M67,+IF(N$18='5.Variables'!$B$76,+'5.Variables'!$M81,+IF(N$18='5.Variables'!$B$90,+'5.Variables'!$M95,+IF(N$18='5.Variables'!$B$104,+'5.Variables'!$M109,0))))))</f>
        <v>0</v>
      </c>
      <c r="O66" s="725">
        <f>IF(O$18='5.Variables'!$B$16,+'5.Variables'!$M29,+IF(O$18='5.Variables'!$B$39,+'5.Variables'!$M53,+IF(O$18='5.Variables'!$B$62,+'5.Variables'!$M67,+IF(O$18='5.Variables'!$B$76,+'5.Variables'!$M81,+IF(O$18='5.Variables'!$B$90,+'5.Variables'!$M95,+IF(O$18='5.Variables'!$B$104,+'5.Variables'!$M109,0))))))</f>
        <v>30</v>
      </c>
      <c r="P66" s="725">
        <f>IF(P$18='5.Variables'!$B$16,+'5.Variables'!$M29,+IF(P$18='5.Variables'!$B$39,+'5.Variables'!$M53,+IF(P$18='5.Variables'!$B$62,+'5.Variables'!$M67,+IF(P$18='5.Variables'!$B$76,+'5.Variables'!$M81,+IF(P$18='5.Variables'!$B$90,+'5.Variables'!$M95,+IF(P$18='5.Variables'!$B$104,+'5.Variables'!$M109,0))))))</f>
        <v>0</v>
      </c>
      <c r="Q66" s="245"/>
      <c r="R66" s="558">
        <f t="shared" si="1"/>
        <v>16666665.842583733</v>
      </c>
      <c r="S66" s="265"/>
      <c r="T66" s="245"/>
      <c r="U66" s="250">
        <f>'4. Customer Growth'!B24</f>
        <v>2012</v>
      </c>
      <c r="V66" s="267">
        <f t="shared" si="5"/>
        <v>194771161.25000003</v>
      </c>
      <c r="W66" s="267">
        <f t="shared" si="6"/>
        <v>200061553.77745542</v>
      </c>
      <c r="X66" s="268">
        <f t="shared" si="7"/>
        <v>2.7162093677024726E-2</v>
      </c>
      <c r="Y66" s="271"/>
      <c r="Z66" s="245"/>
      <c r="AA66" s="245"/>
      <c r="AB66" s="245"/>
      <c r="AC66" s="245"/>
      <c r="AD66" s="245"/>
      <c r="AE66" s="245"/>
      <c r="AF66" s="245"/>
      <c r="AG66" s="245"/>
      <c r="AH66" s="245"/>
      <c r="AI66" s="245"/>
      <c r="AJ66" s="245"/>
      <c r="AK66" s="245"/>
      <c r="AL66" s="245"/>
      <c r="AM66" s="245"/>
    </row>
    <row r="67" spans="1:39" x14ac:dyDescent="0.2">
      <c r="A67" s="503">
        <f t="shared" si="2"/>
        <v>48</v>
      </c>
      <c r="B67" s="522" t="str">
        <f>CONCATENATE('3. Consumption by Rate Class'!B72,"-",'3. Consumption by Rate Class'!C72)</f>
        <v>2008-December</v>
      </c>
      <c r="C67" s="698">
        <v>20548340.41</v>
      </c>
      <c r="D67" s="705">
        <v>-23463.18</v>
      </c>
      <c r="E67" s="705"/>
      <c r="F67" s="705"/>
      <c r="G67" s="705"/>
      <c r="H67" s="705"/>
      <c r="I67" s="706"/>
      <c r="J67" s="263">
        <f t="shared" si="0"/>
        <v>20524877.23</v>
      </c>
      <c r="K67" s="725">
        <f>IF(K$18='5.Variables'!$B$16,+'5.Variables'!$N30,+IF(K$18='5.Variables'!$B$39,+'5.Variables'!$N53,+IF(K$18='5.Variables'!$B$62,+'5.Variables'!$N67,+IF(K$18='5.Variables'!$B$76,+'5.Variables'!$N81,+IF(K$18='5.Variables'!$B$90,+'5.Variables'!$N95,+IF(K$18='5.Variables'!$B$104,+'5.Variables'!$N109,0))))))</f>
        <v>796.7</v>
      </c>
      <c r="L67" s="725">
        <f>IF(L$18='5.Variables'!$B$16,+'5.Variables'!$N29,+IF(L$18='5.Variables'!$B$39,+'5.Variables'!$N53,+IF(L$18='5.Variables'!$B$62,+'5.Variables'!$N67,+IF(L$18='5.Variables'!$B$76,+'5.Variables'!$N81,+IF(L$18='5.Variables'!$B$90,+'5.Variables'!$N95,+IF(L$18='5.Variables'!$B$104,+'5.Variables'!$N109,0))))))</f>
        <v>0</v>
      </c>
      <c r="M67" s="725">
        <f>IF(M$18='5.Variables'!$B$16,+'5.Variables'!$N29,+IF(M$18='5.Variables'!$B$39,+'5.Variables'!$N53,+IF(M$18='5.Variables'!$B$62,+'5.Variables'!$N67,+IF(M$18='5.Variables'!$B$76,+'5.Variables'!$N81,+IF(M$18='5.Variables'!$B$90,+'5.Variables'!$N95,+IF(M$18='5.Variables'!$B$104,+'5.Variables'!$N109,0))))))</f>
        <v>1</v>
      </c>
      <c r="N67" s="725">
        <f>IF(N$18='5.Variables'!$B$16,+'5.Variables'!$N29,+IF(N$18='5.Variables'!$B$39,+'5.Variables'!$N53,+IF(N$18='5.Variables'!$B$62,+'5.Variables'!$N67,+IF(N$18='5.Variables'!$B$76,+'5.Variables'!$N81,+IF(N$18='5.Variables'!$B$90,+'5.Variables'!$N95,+IF(N$18='5.Variables'!$B$104,+'5.Variables'!$N109,0))))))</f>
        <v>1</v>
      </c>
      <c r="O67" s="725">
        <f>IF(O$18='5.Variables'!$B$16,+'5.Variables'!$N29,+IF(O$18='5.Variables'!$B$39,+'5.Variables'!$N53,+IF(O$18='5.Variables'!$B$62,+'5.Variables'!$N67,+IF(O$18='5.Variables'!$B$76,+'5.Variables'!$N81,+IF(O$18='5.Variables'!$B$90,+'5.Variables'!$N95,+IF(O$18='5.Variables'!$B$104,+'5.Variables'!$N109,0))))))</f>
        <v>31</v>
      </c>
      <c r="P67" s="725">
        <f>IF(P$18='5.Variables'!$B$16,+'5.Variables'!$N29,+IF(P$18='5.Variables'!$B$39,+'5.Variables'!$N53,+IF(P$18='5.Variables'!$B$62,+'5.Variables'!$N67,+IF(P$18='5.Variables'!$B$76,+'5.Variables'!$N81,+IF(P$18='5.Variables'!$B$90,+'5.Variables'!$N95,+IF(P$18='5.Variables'!$B$104,+'5.Variables'!$N109,0))))))</f>
        <v>0</v>
      </c>
      <c r="Q67" s="245"/>
      <c r="R67" s="558">
        <f t="shared" si="1"/>
        <v>20240232.181484409</v>
      </c>
      <c r="S67" s="265">
        <f>SUM(R56:R67)</f>
        <v>199277158.67089084</v>
      </c>
      <c r="T67" s="245"/>
      <c r="U67" s="250">
        <f>'4. Customer Growth'!B25</f>
        <v>2013</v>
      </c>
      <c r="V67" s="267">
        <f t="shared" si="5"/>
        <v>198259056.0149</v>
      </c>
      <c r="W67" s="267">
        <f t="shared" si="6"/>
        <v>199210663.16643396</v>
      </c>
      <c r="X67" s="268">
        <f t="shared" si="7"/>
        <v>4.7998168187709115E-3</v>
      </c>
      <c r="Y67" s="271"/>
      <c r="Z67" s="245"/>
      <c r="AA67" s="245"/>
      <c r="AB67" s="245"/>
      <c r="AC67" s="245"/>
      <c r="AD67" s="245"/>
      <c r="AE67" s="245"/>
      <c r="AF67" s="245"/>
      <c r="AG67" s="245"/>
      <c r="AH67" s="245"/>
      <c r="AI67" s="245"/>
      <c r="AJ67" s="245"/>
      <c r="AK67" s="245"/>
      <c r="AL67" s="245"/>
      <c r="AM67" s="245"/>
    </row>
    <row r="68" spans="1:39" x14ac:dyDescent="0.2">
      <c r="A68" s="503">
        <f t="shared" si="2"/>
        <v>49</v>
      </c>
      <c r="B68" s="262" t="str">
        <f>CONCATENATE('3. Consumption by Rate Class'!B73,"-",'3. Consumption by Rate Class'!C73)</f>
        <v>2009-January</v>
      </c>
      <c r="C68" s="697">
        <v>21876886.25</v>
      </c>
      <c r="D68" s="703">
        <v>-25365.599999999999</v>
      </c>
      <c r="E68" s="707"/>
      <c r="F68" s="703"/>
      <c r="G68" s="703"/>
      <c r="H68" s="703"/>
      <c r="I68" s="704"/>
      <c r="J68" s="263">
        <f t="shared" si="0"/>
        <v>21851520.649999999</v>
      </c>
      <c r="K68" s="725">
        <f>IF(K$18='5.Variables'!$B$16,+'5.Variables'!$C31,+IF(K$18='5.Variables'!$B$39,+'5.Variables'!$C54,+IF(K$18='5.Variables'!$B$62,+'5.Variables'!$C68,+IF(K$18='5.Variables'!$B$76,+'5.Variables'!$C82,+IF(K$18='5.Variables'!$B$90,+'5.Variables'!$C96,+IF(K$18='5.Variables'!$B$104,+'5.Variables'!$C110,0))))))</f>
        <v>979.5</v>
      </c>
      <c r="L68" s="725">
        <f>IF(L$18='5.Variables'!$B$16,+'5.Variables'!$C30,+IF(L$18='5.Variables'!$B$39,+'5.Variables'!$C54,+IF(L$18='5.Variables'!$B$62,+'5.Variables'!$C68,+IF(L$18='5.Variables'!$B$76,+'5.Variables'!$C82,+IF(L$18='5.Variables'!$B$90,+'5.Variables'!$C96,+IF(L$18='5.Variables'!$B$104,+'5.Variables'!$C110,0))))))</f>
        <v>0</v>
      </c>
      <c r="M68" s="725">
        <f>IF(M$18='5.Variables'!$B$16,+'5.Variables'!$C30,+IF(M$18='5.Variables'!$B$39,+'5.Variables'!$C54,+IF(M$18='5.Variables'!$B$62,+'5.Variables'!$C68,+IF(M$18='5.Variables'!$B$76,+'5.Variables'!$C82,+IF(M$18='5.Variables'!$B$90,+'5.Variables'!$C96,+IF(M$18='5.Variables'!$B$104,+'5.Variables'!$C110,0))))))</f>
        <v>1</v>
      </c>
      <c r="N68" s="725">
        <f>IF(N$18='5.Variables'!$B$16,+'5.Variables'!$C30,+IF(N$18='5.Variables'!$B$39,+'5.Variables'!$C54,+IF(N$18='5.Variables'!$B$62,+'5.Variables'!$C68,+IF(N$18='5.Variables'!$B$76,+'5.Variables'!$C82,+IF(N$18='5.Variables'!$B$90,+'5.Variables'!$C96,+IF(N$18='5.Variables'!$B$104,+'5.Variables'!$C110,0))))))</f>
        <v>1</v>
      </c>
      <c r="O68" s="725">
        <f>IF(O$18='5.Variables'!$B$16,+'5.Variables'!$C30,+IF(O$18='5.Variables'!$B$39,+'5.Variables'!$C54,+IF(O$18='5.Variables'!$B$62,+'5.Variables'!$C68,+IF(O$18='5.Variables'!$B$76,+'5.Variables'!$C82,+IF(O$18='5.Variables'!$B$90,+'5.Variables'!$C96,+IF(O$18='5.Variables'!$B$104,+'5.Variables'!$C110,0))))))</f>
        <v>31</v>
      </c>
      <c r="P68" s="725">
        <f>IF(P$18='5.Variables'!$B$16,+'5.Variables'!$C30,+IF(P$18='5.Variables'!$B$39,+'5.Variables'!$C54,+IF(P$18='5.Variables'!$B$62,+'5.Variables'!$C68,+IF(P$18='5.Variables'!$B$76,+'5.Variables'!$C82,+IF(P$18='5.Variables'!$B$90,+'5.Variables'!$C96,+IF(P$18='5.Variables'!$B$104,+'5.Variables'!$C110,0))))))</f>
        <v>0</v>
      </c>
      <c r="Q68" s="245"/>
      <c r="R68" s="558">
        <f t="shared" si="1"/>
        <v>21545531.234666895</v>
      </c>
      <c r="S68" s="265"/>
      <c r="T68" s="245"/>
      <c r="U68" s="250">
        <f>'4. Customer Growth'!B26</f>
        <v>2014</v>
      </c>
      <c r="V68" s="267">
        <f t="shared" si="5"/>
        <v>191637148.35999998</v>
      </c>
      <c r="W68" s="267">
        <f t="shared" si="6"/>
        <v>200106964.7243894</v>
      </c>
      <c r="X68" s="268">
        <f t="shared" si="7"/>
        <v>4.4197152988722441E-2</v>
      </c>
      <c r="Y68" s="271">
        <f>(W68-V68)/V68</f>
        <v>4.4197152988722441E-2</v>
      </c>
      <c r="Z68" s="245"/>
      <c r="AA68" s="245"/>
      <c r="AB68" s="245"/>
      <c r="AC68" s="245"/>
      <c r="AD68" s="245"/>
      <c r="AE68" s="245"/>
      <c r="AF68" s="245"/>
      <c r="AG68" s="245"/>
      <c r="AH68" s="245"/>
      <c r="AI68" s="245"/>
      <c r="AJ68" s="245"/>
      <c r="AK68" s="245"/>
      <c r="AL68" s="245"/>
      <c r="AM68" s="245"/>
    </row>
    <row r="69" spans="1:39" x14ac:dyDescent="0.2">
      <c r="A69" s="503">
        <f t="shared" si="2"/>
        <v>50</v>
      </c>
      <c r="B69" s="262" t="str">
        <f>CONCATENATE('3. Consumption by Rate Class'!B74,"-",'3. Consumption by Rate Class'!C74)</f>
        <v>2009-February</v>
      </c>
      <c r="C69" s="697">
        <v>20243845.07</v>
      </c>
      <c r="D69" s="703">
        <v>-24731.46</v>
      </c>
      <c r="E69" s="707"/>
      <c r="F69" s="703"/>
      <c r="G69" s="703"/>
      <c r="H69" s="703"/>
      <c r="I69" s="704"/>
      <c r="J69" s="263">
        <f t="shared" si="0"/>
        <v>20219113.609999999</v>
      </c>
      <c r="K69" s="725">
        <f>IF(K$18='5.Variables'!$B$16,+'5.Variables'!$D31,+IF(K$18='5.Variables'!$B$39,+'5.Variables'!$D54,+IF(K$18='5.Variables'!$B$62,+'5.Variables'!$D68,+IF(K$18='5.Variables'!$B$76,+'5.Variables'!$D82,+IF(K$18='5.Variables'!$B$90,+'5.Variables'!$D96,+IF(K$18='5.Variables'!$B$104,+'5.Variables'!$D110,0))))))</f>
        <v>711.5</v>
      </c>
      <c r="L69" s="725">
        <f>IF(L$18='5.Variables'!$B$16,+'5.Variables'!$D30,+IF(L$18='5.Variables'!$B$39,+'5.Variables'!$D54,+IF(L$18='5.Variables'!$B$62,+'5.Variables'!$D68,+IF(L$18='5.Variables'!$B$76,+'5.Variables'!$D82,+IF(L$18='5.Variables'!$B$90,+'5.Variables'!$D96,+IF(L$18='5.Variables'!$B$104,+'5.Variables'!$D110,0))))))</f>
        <v>0</v>
      </c>
      <c r="M69" s="725">
        <f>IF(M$18='5.Variables'!$B$16,+'5.Variables'!$D30,+IF(M$18='5.Variables'!$B$39,+'5.Variables'!$D54,+IF(M$18='5.Variables'!$B$62,+'5.Variables'!$D68,+IF(M$18='5.Variables'!$B$76,+'5.Variables'!$D82,+IF(M$18='5.Variables'!$B$90,+'5.Variables'!$D96,+IF(M$18='5.Variables'!$B$104,+'5.Variables'!$D110,0))))))</f>
        <v>1</v>
      </c>
      <c r="N69" s="725">
        <f>IF(N$18='5.Variables'!$B$16,+'5.Variables'!$D30,+IF(N$18='5.Variables'!$B$39,+'5.Variables'!$D54,+IF(N$18='5.Variables'!$B$62,+'5.Variables'!$D68,+IF(N$18='5.Variables'!$B$76,+'5.Variables'!$D82,+IF(N$18='5.Variables'!$B$90,+'5.Variables'!$D96,+IF(N$18='5.Variables'!$B$104,+'5.Variables'!$D110,0))))))</f>
        <v>0</v>
      </c>
      <c r="O69" s="725">
        <f>IF(O$18='5.Variables'!$B$16,+'5.Variables'!$D30,+IF(O$18='5.Variables'!$B$39,+'5.Variables'!$D54,+IF(O$18='5.Variables'!$B$62,+'5.Variables'!$D68,+IF(O$18='5.Variables'!$B$76,+'5.Variables'!$D82,+IF(O$18='5.Variables'!$B$90,+'5.Variables'!$D96,+IF(O$18='5.Variables'!$B$104,+'5.Variables'!$D110,0))))))</f>
        <v>28</v>
      </c>
      <c r="P69" s="725">
        <f>IF(P$18='5.Variables'!$B$16,+'5.Variables'!$D30,+IF(P$18='5.Variables'!$B$39,+'5.Variables'!$D54,+IF(P$18='5.Variables'!$B$62,+'5.Variables'!$D68,+IF(P$18='5.Variables'!$B$76,+'5.Variables'!$D82,+IF(P$18='5.Variables'!$B$90,+'5.Variables'!$D96,+IF(P$18='5.Variables'!$B$104,+'5.Variables'!$D110,0))))))</f>
        <v>0</v>
      </c>
      <c r="Q69" s="245"/>
      <c r="R69" s="558">
        <f t="shared" si="1"/>
        <v>19631854.285799794</v>
      </c>
      <c r="S69" s="265"/>
      <c r="T69" s="245"/>
      <c r="U69" s="272" t="s">
        <v>47</v>
      </c>
      <c r="V69" s="272"/>
      <c r="W69" s="272"/>
      <c r="X69" s="273">
        <f>AVERAGE(X59:X68)</f>
        <v>2.2050528287179454E-2</v>
      </c>
      <c r="Y69" s="245"/>
      <c r="Z69" s="245"/>
      <c r="AA69" s="245"/>
      <c r="AB69" s="245"/>
      <c r="AC69" s="245"/>
      <c r="AD69" s="245"/>
      <c r="AE69" s="245"/>
      <c r="AF69" s="245"/>
      <c r="AG69" s="245"/>
      <c r="AH69" s="245"/>
      <c r="AI69" s="245"/>
      <c r="AJ69" s="245"/>
      <c r="AK69" s="245"/>
      <c r="AL69" s="245"/>
      <c r="AM69" s="245"/>
    </row>
    <row r="70" spans="1:39" x14ac:dyDescent="0.2">
      <c r="A70" s="503">
        <f t="shared" si="2"/>
        <v>51</v>
      </c>
      <c r="B70" s="262" t="str">
        <f>CONCATENATE('3. Consumption by Rate Class'!B75,"-",'3. Consumption by Rate Class'!C75)</f>
        <v>2009-March</v>
      </c>
      <c r="C70" s="697">
        <v>17337916.890000001</v>
      </c>
      <c r="D70" s="703">
        <v>-28536.3</v>
      </c>
      <c r="E70" s="707"/>
      <c r="F70" s="703"/>
      <c r="G70" s="703"/>
      <c r="H70" s="703"/>
      <c r="I70" s="704"/>
      <c r="J70" s="263">
        <f t="shared" si="0"/>
        <v>17309380.59</v>
      </c>
      <c r="K70" s="725">
        <f>IF(K$18='5.Variables'!$B$16,+'5.Variables'!$E31,+IF(K$18='5.Variables'!$B$39,+'5.Variables'!$E54,+IF(K$18='5.Variables'!$B$62,+'5.Variables'!$E68,+IF(K$18='5.Variables'!$B$76,+'5.Variables'!$E82,+IF(K$18='5.Variables'!$B$90,+'5.Variables'!$E96,+IF(K$18='5.Variables'!$B$104,+'5.Variables'!$E110,0))))))</f>
        <v>598.29999999999995</v>
      </c>
      <c r="L70" s="725">
        <f>IF(L$18='5.Variables'!$B$16,+'5.Variables'!$E30,+IF(L$18='5.Variables'!$B$39,+'5.Variables'!$E54,+IF(L$18='5.Variables'!$B$62,+'5.Variables'!$E68,+IF(L$18='5.Variables'!$B$76,+'5.Variables'!$E82,+IF(L$18='5.Variables'!$B$90,+'5.Variables'!$E96,+IF(L$18='5.Variables'!$B$104,+'5.Variables'!$E110,0))))))</f>
        <v>0</v>
      </c>
      <c r="M70" s="725">
        <f>IF(M$18='5.Variables'!$B$16,+'5.Variables'!$E30,+IF(M$18='5.Variables'!$B$39,+'5.Variables'!$E54,+IF(M$18='5.Variables'!$B$62,+'5.Variables'!$E68,+IF(M$18='5.Variables'!$B$76,+'5.Variables'!$E82,+IF(M$18='5.Variables'!$B$90,+'5.Variables'!$E96,+IF(M$18='5.Variables'!$B$104,+'5.Variables'!$E110,0))))))</f>
        <v>0</v>
      </c>
      <c r="N70" s="725">
        <f>IF(N$18='5.Variables'!$B$16,+'5.Variables'!$E30,+IF(N$18='5.Variables'!$B$39,+'5.Variables'!$E54,+IF(N$18='5.Variables'!$B$62,+'5.Variables'!$E68,+IF(N$18='5.Variables'!$B$76,+'5.Variables'!$E82,+IF(N$18='5.Variables'!$B$90,+'5.Variables'!$E96,+IF(N$18='5.Variables'!$B$104,+'5.Variables'!$E110,0))))))</f>
        <v>1</v>
      </c>
      <c r="O70" s="725">
        <f>IF(O$18='5.Variables'!$B$16,+'5.Variables'!$E30,+IF(O$18='5.Variables'!$B$39,+'5.Variables'!$E54,+IF(O$18='5.Variables'!$B$62,+'5.Variables'!$E68,+IF(O$18='5.Variables'!$B$76,+'5.Variables'!$E82,+IF(O$18='5.Variables'!$B$90,+'5.Variables'!$E96,+IF(O$18='5.Variables'!$B$104,+'5.Variables'!$E110,0))))))</f>
        <v>31</v>
      </c>
      <c r="P70" s="725">
        <f>IF(P$18='5.Variables'!$B$16,+'5.Variables'!$E30,+IF(P$18='5.Variables'!$B$39,+'5.Variables'!$E54,+IF(P$18='5.Variables'!$B$62,+'5.Variables'!$E68,+IF(P$18='5.Variables'!$B$76,+'5.Variables'!$E82,+IF(P$18='5.Variables'!$B$90,+'5.Variables'!$E96,+IF(P$18='5.Variables'!$B$104,+'5.Variables'!$E110,0))))))</f>
        <v>0</v>
      </c>
      <c r="Q70" s="245"/>
      <c r="R70" s="558">
        <f t="shared" si="1"/>
        <v>17348591.770258389</v>
      </c>
      <c r="S70" s="265"/>
      <c r="T70" s="245"/>
      <c r="U70" s="272" t="s">
        <v>63</v>
      </c>
      <c r="V70" s="245"/>
      <c r="W70" s="245"/>
      <c r="X70" s="273">
        <f>MEDIAN(X59:X68)</f>
        <v>2.5671757678096416E-2</v>
      </c>
      <c r="Y70" s="245"/>
      <c r="Z70" s="245"/>
      <c r="AA70" s="245"/>
      <c r="AB70" s="245"/>
      <c r="AC70" s="245"/>
      <c r="AD70" s="245"/>
      <c r="AE70" s="245"/>
      <c r="AF70" s="245"/>
      <c r="AG70" s="245"/>
      <c r="AH70" s="245"/>
      <c r="AI70" s="245"/>
      <c r="AJ70" s="245"/>
      <c r="AK70" s="245"/>
      <c r="AL70" s="245"/>
      <c r="AM70" s="245"/>
    </row>
    <row r="71" spans="1:39" x14ac:dyDescent="0.2">
      <c r="A71" s="503">
        <f t="shared" si="2"/>
        <v>52</v>
      </c>
      <c r="B71" s="262" t="str">
        <f>CONCATENATE('3. Consumption by Rate Class'!B76,"-",'3. Consumption by Rate Class'!C76)</f>
        <v>2009-April</v>
      </c>
      <c r="C71" s="697">
        <v>15916362.57</v>
      </c>
      <c r="D71" s="703">
        <v>-25365.599999999999</v>
      </c>
      <c r="E71" s="707"/>
      <c r="F71" s="703"/>
      <c r="G71" s="703"/>
      <c r="H71" s="703"/>
      <c r="I71" s="704"/>
      <c r="J71" s="263">
        <f t="shared" si="0"/>
        <v>15890996.970000001</v>
      </c>
      <c r="K71" s="725">
        <f>IF(K$18='5.Variables'!$B$16,+'5.Variables'!$F31,+IF(K$18='5.Variables'!$B$39,+'5.Variables'!$F54,+IF(K$18='5.Variables'!$B$62,+'5.Variables'!$F68,+IF(K$18='5.Variables'!$B$76,+'5.Variables'!$F82,+IF(K$18='5.Variables'!$B$90,+'5.Variables'!$F96,+IF(K$18='5.Variables'!$B$104,+'5.Variables'!$F110,0))))))</f>
        <v>334.3</v>
      </c>
      <c r="L71" s="725">
        <f>IF(L$18='5.Variables'!$B$16,+'5.Variables'!$F30,+IF(L$18='5.Variables'!$B$39,+'5.Variables'!$F54,+IF(L$18='5.Variables'!$B$62,+'5.Variables'!$F68,+IF(L$18='5.Variables'!$B$76,+'5.Variables'!$F82,+IF(L$18='5.Variables'!$B$90,+'5.Variables'!$F96,+IF(L$18='5.Variables'!$B$104,+'5.Variables'!$F110,0))))))</f>
        <v>2.5</v>
      </c>
      <c r="M71" s="725">
        <f>IF(M$18='5.Variables'!$B$16,+'5.Variables'!$F30,+IF(M$18='5.Variables'!$B$39,+'5.Variables'!$F54,+IF(M$18='5.Variables'!$B$62,+'5.Variables'!$F68,+IF(M$18='5.Variables'!$B$76,+'5.Variables'!$F82,+IF(M$18='5.Variables'!$B$90,+'5.Variables'!$F96,+IF(M$18='5.Variables'!$B$104,+'5.Variables'!$F110,0))))))</f>
        <v>0</v>
      </c>
      <c r="N71" s="725">
        <f>IF(N$18='5.Variables'!$B$16,+'5.Variables'!$F30,+IF(N$18='5.Variables'!$B$39,+'5.Variables'!$F54,+IF(N$18='5.Variables'!$B$62,+'5.Variables'!$F68,+IF(N$18='5.Variables'!$B$76,+'5.Variables'!$F82,+IF(N$18='5.Variables'!$B$90,+'5.Variables'!$F96,+IF(N$18='5.Variables'!$B$104,+'5.Variables'!$F110,0))))))</f>
        <v>0</v>
      </c>
      <c r="O71" s="725">
        <f>IF(O$18='5.Variables'!$B$16,+'5.Variables'!$F30,+IF(O$18='5.Variables'!$B$39,+'5.Variables'!$F54,+IF(O$18='5.Variables'!$B$62,+'5.Variables'!$F68,+IF(O$18='5.Variables'!$B$76,+'5.Variables'!$F82,+IF(O$18='5.Variables'!$B$90,+'5.Variables'!$F96,+IF(O$18='5.Variables'!$B$104,+'5.Variables'!$F110,0))))))</f>
        <v>30</v>
      </c>
      <c r="P71" s="725">
        <f>IF(P$18='5.Variables'!$B$16,+'5.Variables'!$F30,+IF(P$18='5.Variables'!$B$39,+'5.Variables'!$F54,+IF(P$18='5.Variables'!$B$62,+'5.Variables'!$F68,+IF(P$18='5.Variables'!$B$76,+'5.Variables'!$F82,+IF(P$18='5.Variables'!$B$90,+'5.Variables'!$F96,+IF(P$18='5.Variables'!$B$104,+'5.Variables'!$F110,0))))))</f>
        <v>0</v>
      </c>
      <c r="Q71" s="245"/>
      <c r="R71" s="558">
        <f t="shared" si="1"/>
        <v>15532270.487998608</v>
      </c>
      <c r="S71" s="265"/>
      <c r="T71" s="245"/>
      <c r="U71" s="245"/>
      <c r="V71" s="245"/>
      <c r="W71" s="245"/>
      <c r="X71" s="245"/>
      <c r="Y71" s="245"/>
      <c r="Z71" s="245"/>
      <c r="AA71" s="245"/>
      <c r="AB71" s="245"/>
      <c r="AC71" s="245"/>
      <c r="AD71" s="245"/>
      <c r="AE71" s="245"/>
      <c r="AF71" s="245"/>
      <c r="AG71" s="245"/>
      <c r="AH71" s="245"/>
      <c r="AI71" s="245"/>
      <c r="AJ71" s="245"/>
      <c r="AK71" s="245"/>
      <c r="AL71" s="245"/>
      <c r="AM71" s="245"/>
    </row>
    <row r="72" spans="1:39" x14ac:dyDescent="0.2">
      <c r="A72" s="503">
        <f t="shared" si="2"/>
        <v>53</v>
      </c>
      <c r="B72" s="262" t="str">
        <f>CONCATENATE('3. Consumption by Rate Class'!B77,"-",'3. Consumption by Rate Class'!C77)</f>
        <v>2009-May</v>
      </c>
      <c r="C72" s="697">
        <v>14633883.960000001</v>
      </c>
      <c r="D72" s="703">
        <v>-25365.599999999999</v>
      </c>
      <c r="E72" s="707"/>
      <c r="F72" s="703"/>
      <c r="G72" s="703"/>
      <c r="H72" s="703"/>
      <c r="I72" s="704"/>
      <c r="J72" s="263">
        <f t="shared" si="0"/>
        <v>14608518.360000001</v>
      </c>
      <c r="K72" s="725">
        <f>IF(K$18='5.Variables'!$B$16,+'5.Variables'!$G31,+IF(K$18='5.Variables'!$B$39,+'5.Variables'!$G54,+IF(K$18='5.Variables'!$B$62,+'5.Variables'!$G68,+IF(K$18='5.Variables'!$B$76,+'5.Variables'!$G82,+IF(K$18='5.Variables'!$B$90,+'5.Variables'!$G96,+IF(K$18='5.Variables'!$B$104,+'5.Variables'!$G110,0))))))</f>
        <v>181.6</v>
      </c>
      <c r="L72" s="725">
        <f>IF(L$18='5.Variables'!$B$16,+'5.Variables'!$G30,+IF(L$18='5.Variables'!$B$39,+'5.Variables'!$G54,+IF(L$18='5.Variables'!$B$62,+'5.Variables'!$G68,+IF(L$18='5.Variables'!$B$76,+'5.Variables'!$G82,+IF(L$18='5.Variables'!$B$90,+'5.Variables'!$G96,+IF(L$18='5.Variables'!$B$104,+'5.Variables'!$G110,0))))))</f>
        <v>3.2</v>
      </c>
      <c r="M72" s="725">
        <f>IF(M$18='5.Variables'!$B$16,+'5.Variables'!$G30,+IF(M$18='5.Variables'!$B$39,+'5.Variables'!$G54,+IF(M$18='5.Variables'!$B$62,+'5.Variables'!$G68,+IF(M$18='5.Variables'!$B$76,+'5.Variables'!$G82,+IF(M$18='5.Variables'!$B$90,+'5.Variables'!$G96,+IF(M$18='5.Variables'!$B$104,+'5.Variables'!$G110,0))))))</f>
        <v>0</v>
      </c>
      <c r="N72" s="725">
        <f>IF(N$18='5.Variables'!$B$16,+'5.Variables'!$G30,+IF(N$18='5.Variables'!$B$39,+'5.Variables'!$G54,+IF(N$18='5.Variables'!$B$62,+'5.Variables'!$G68,+IF(N$18='5.Variables'!$B$76,+'5.Variables'!$G82,+IF(N$18='5.Variables'!$B$90,+'5.Variables'!$G96,+IF(N$18='5.Variables'!$B$104,+'5.Variables'!$G110,0))))))</f>
        <v>0</v>
      </c>
      <c r="O72" s="725">
        <f>IF(O$18='5.Variables'!$B$16,+'5.Variables'!$G30,+IF(O$18='5.Variables'!$B$39,+'5.Variables'!$G54,+IF(O$18='5.Variables'!$B$62,+'5.Variables'!$G68,+IF(O$18='5.Variables'!$B$76,+'5.Variables'!$G82,+IF(O$18='5.Variables'!$B$90,+'5.Variables'!$G96,+IF(O$18='5.Variables'!$B$104,+'5.Variables'!$G110,0))))))</f>
        <v>31</v>
      </c>
      <c r="P72" s="725">
        <f>IF(P$18='5.Variables'!$B$16,+'5.Variables'!$G30,+IF(P$18='5.Variables'!$B$39,+'5.Variables'!$G54,+IF(P$18='5.Variables'!$B$62,+'5.Variables'!$G68,+IF(P$18='5.Variables'!$B$76,+'5.Variables'!$G82,+IF(P$18='5.Variables'!$B$90,+'5.Variables'!$G96,+IF(P$18='5.Variables'!$B$104,+'5.Variables'!$G110,0))))))</f>
        <v>0</v>
      </c>
      <c r="Q72" s="245"/>
      <c r="R72" s="558">
        <f t="shared" si="1"/>
        <v>14461165.1930265</v>
      </c>
      <c r="S72" s="265"/>
      <c r="T72" s="245"/>
      <c r="U72" s="245" t="s">
        <v>125</v>
      </c>
      <c r="V72" s="245"/>
      <c r="W72" s="245"/>
      <c r="X72" s="245"/>
      <c r="Y72" s="245"/>
      <c r="Z72" s="245"/>
      <c r="AA72" s="245"/>
      <c r="AB72" s="245"/>
      <c r="AC72" s="245"/>
      <c r="AD72" s="245"/>
      <c r="AE72" s="245"/>
      <c r="AF72" s="245"/>
      <c r="AG72" s="245"/>
      <c r="AH72" s="245"/>
      <c r="AI72" s="245"/>
      <c r="AJ72" s="245"/>
      <c r="AK72" s="245"/>
      <c r="AL72" s="245"/>
      <c r="AM72" s="245"/>
    </row>
    <row r="73" spans="1:39" x14ac:dyDescent="0.2">
      <c r="A73" s="503">
        <f t="shared" si="2"/>
        <v>54</v>
      </c>
      <c r="B73" s="262" t="str">
        <f>CONCATENATE('3. Consumption by Rate Class'!B78,"-",'3. Consumption by Rate Class'!C78)</f>
        <v>2009-June</v>
      </c>
      <c r="C73" s="697">
        <v>14792272.42</v>
      </c>
      <c r="D73" s="703">
        <v>-19024.2</v>
      </c>
      <c r="E73" s="707"/>
      <c r="F73" s="703"/>
      <c r="G73" s="703"/>
      <c r="H73" s="703"/>
      <c r="I73" s="704"/>
      <c r="J73" s="263">
        <f t="shared" si="0"/>
        <v>14773248.220000001</v>
      </c>
      <c r="K73" s="725">
        <f>IF(K$18='5.Variables'!$B$16,+'5.Variables'!$H31,+IF(K$18='5.Variables'!$B$39,+'5.Variables'!$H54,+IF(K$18='5.Variables'!$B$62,+'5.Variables'!$H68,+IF(K$18='5.Variables'!$B$76,+'5.Variables'!$H82,+IF(K$18='5.Variables'!$B$90,+'5.Variables'!$H96,+IF(K$18='5.Variables'!$B$104,+'5.Variables'!$H110,0))))))</f>
        <v>50.4</v>
      </c>
      <c r="L73" s="725">
        <f>IF(L$18='5.Variables'!$B$16,+'5.Variables'!$H30,+IF(L$18='5.Variables'!$B$39,+'5.Variables'!$H54,+IF(L$18='5.Variables'!$B$62,+'5.Variables'!$H68,+IF(L$18='5.Variables'!$B$76,+'5.Variables'!$H82,+IF(L$18='5.Variables'!$B$90,+'5.Variables'!$H96,+IF(L$18='5.Variables'!$B$104,+'5.Variables'!$H110,0))))))</f>
        <v>44.9</v>
      </c>
      <c r="M73" s="725">
        <f>IF(M$18='5.Variables'!$B$16,+'5.Variables'!$H30,+IF(M$18='5.Variables'!$B$39,+'5.Variables'!$H54,+IF(M$18='5.Variables'!$B$62,+'5.Variables'!$H68,+IF(M$18='5.Variables'!$B$76,+'5.Variables'!$H82,+IF(M$18='5.Variables'!$B$90,+'5.Variables'!$H96,+IF(M$18='5.Variables'!$B$104,+'5.Variables'!$H110,0))))))</f>
        <v>0</v>
      </c>
      <c r="N73" s="725">
        <f>IF(N$18='5.Variables'!$B$16,+'5.Variables'!$H30,+IF(N$18='5.Variables'!$B$39,+'5.Variables'!$H54,+IF(N$18='5.Variables'!$B$62,+'5.Variables'!$H68,+IF(N$18='5.Variables'!$B$76,+'5.Variables'!$H82,+IF(N$18='5.Variables'!$B$90,+'5.Variables'!$H96,+IF(N$18='5.Variables'!$B$104,+'5.Variables'!$H110,0))))))</f>
        <v>0</v>
      </c>
      <c r="O73" s="725">
        <f>IF(O$18='5.Variables'!$B$16,+'5.Variables'!$H30,+IF(O$18='5.Variables'!$B$39,+'5.Variables'!$H54,+IF(O$18='5.Variables'!$B$62,+'5.Variables'!$H68,+IF(O$18='5.Variables'!$B$76,+'5.Variables'!$H82,+IF(O$18='5.Variables'!$B$90,+'5.Variables'!$H96,+IF(O$18='5.Variables'!$B$104,+'5.Variables'!$H110,0))))))</f>
        <v>30</v>
      </c>
      <c r="P73" s="725">
        <f>IF(P$18='5.Variables'!$B$16,+'5.Variables'!$H30,+IF(P$18='5.Variables'!$B$39,+'5.Variables'!$H54,+IF(P$18='5.Variables'!$B$62,+'5.Variables'!$H68,+IF(P$18='5.Variables'!$B$76,+'5.Variables'!$H82,+IF(P$18='5.Variables'!$B$90,+'5.Variables'!$H96,+IF(P$18='5.Variables'!$B$104,+'5.Variables'!$H110,0))))))</f>
        <v>0</v>
      </c>
      <c r="Q73" s="245"/>
      <c r="R73" s="558">
        <f t="shared" si="1"/>
        <v>14671793.004126973</v>
      </c>
      <c r="S73" s="265"/>
      <c r="T73" s="245"/>
      <c r="U73" s="245" t="s">
        <v>168</v>
      </c>
      <c r="V73" s="245"/>
      <c r="W73" s="245"/>
      <c r="X73" s="245"/>
      <c r="Y73" s="245"/>
      <c r="Z73" s="245"/>
      <c r="AA73" s="245"/>
      <c r="AB73" s="245"/>
      <c r="AC73" s="245"/>
      <c r="AD73" s="245"/>
      <c r="AE73" s="245"/>
      <c r="AF73" s="245"/>
      <c r="AG73" s="245"/>
      <c r="AH73" s="245"/>
      <c r="AI73" s="245"/>
      <c r="AJ73" s="245"/>
      <c r="AK73" s="245"/>
      <c r="AL73" s="245"/>
      <c r="AM73" s="245"/>
    </row>
    <row r="74" spans="1:39" x14ac:dyDescent="0.2">
      <c r="A74" s="503">
        <f t="shared" si="2"/>
        <v>55</v>
      </c>
      <c r="B74" s="262" t="str">
        <f>CONCATENATE('3. Consumption by Rate Class'!B79,"-",'3. Consumption by Rate Class'!C79)</f>
        <v>2009-July</v>
      </c>
      <c r="C74" s="697">
        <v>14407933.99</v>
      </c>
      <c r="D74" s="703">
        <v>-10780.38</v>
      </c>
      <c r="E74" s="707"/>
      <c r="F74" s="703"/>
      <c r="G74" s="703"/>
      <c r="H74" s="703"/>
      <c r="I74" s="704"/>
      <c r="J74" s="263">
        <f t="shared" si="0"/>
        <v>14397153.609999999</v>
      </c>
      <c r="K74" s="725">
        <f>IF(K$18='5.Variables'!$B$16,+'5.Variables'!$I31,+IF(K$18='5.Variables'!$B$39,+'5.Variables'!$I54,+IF(K$18='5.Variables'!$B$62,+'5.Variables'!$I68,+IF(K$18='5.Variables'!$B$76,+'5.Variables'!$I82,+IF(K$18='5.Variables'!$B$90,+'5.Variables'!$I96,+IF(K$18='5.Variables'!$B$104,+'5.Variables'!$I110,0))))))</f>
        <v>13.1</v>
      </c>
      <c r="L74" s="725">
        <f>IF(L$18='5.Variables'!$B$16,+'5.Variables'!$I30,+IF(L$18='5.Variables'!$B$39,+'5.Variables'!$I54,+IF(L$18='5.Variables'!$B$62,+'5.Variables'!$I68,+IF(L$18='5.Variables'!$B$76,+'5.Variables'!$I82,+IF(L$18='5.Variables'!$B$90,+'5.Variables'!$I96,+IF(L$18='5.Variables'!$B$104,+'5.Variables'!$I110,0))))))</f>
        <v>42.9</v>
      </c>
      <c r="M74" s="725">
        <f>IF(M$18='5.Variables'!$B$16,+'5.Variables'!$I30,+IF(M$18='5.Variables'!$B$39,+'5.Variables'!$I54,+IF(M$18='5.Variables'!$B$62,+'5.Variables'!$I68,+IF(M$18='5.Variables'!$B$76,+'5.Variables'!$I82,+IF(M$18='5.Variables'!$B$90,+'5.Variables'!$I96,+IF(M$18='5.Variables'!$B$104,+'5.Variables'!$I110,0))))))</f>
        <v>0</v>
      </c>
      <c r="N74" s="725">
        <f>IF(N$18='5.Variables'!$B$16,+'5.Variables'!$I30,+IF(N$18='5.Variables'!$B$39,+'5.Variables'!$I54,+IF(N$18='5.Variables'!$B$62,+'5.Variables'!$I68,+IF(N$18='5.Variables'!$B$76,+'5.Variables'!$I82,+IF(N$18='5.Variables'!$B$90,+'5.Variables'!$I96,+IF(N$18='5.Variables'!$B$104,+'5.Variables'!$I110,0))))))</f>
        <v>1</v>
      </c>
      <c r="O74" s="725">
        <f>IF(O$18='5.Variables'!$B$16,+'5.Variables'!$I30,+IF(O$18='5.Variables'!$B$39,+'5.Variables'!$I54,+IF(O$18='5.Variables'!$B$62,+'5.Variables'!$I68,+IF(O$18='5.Variables'!$B$76,+'5.Variables'!$I82,+IF(O$18='5.Variables'!$B$90,+'5.Variables'!$I96,+IF(O$18='5.Variables'!$B$104,+'5.Variables'!$I110,0))))))</f>
        <v>31</v>
      </c>
      <c r="P74" s="725">
        <f>IF(P$18='5.Variables'!$B$16,+'5.Variables'!$I30,+IF(P$18='5.Variables'!$B$39,+'5.Variables'!$I54,+IF(P$18='5.Variables'!$B$62,+'5.Variables'!$I68,+IF(P$18='5.Variables'!$B$76,+'5.Variables'!$I82,+IF(P$18='5.Variables'!$B$90,+'5.Variables'!$I96,+IF(P$18='5.Variables'!$B$104,+'5.Variables'!$I110,0))))))</f>
        <v>0</v>
      </c>
      <c r="Q74" s="245"/>
      <c r="R74" s="558">
        <f t="shared" si="1"/>
        <v>14350414.500854669</v>
      </c>
      <c r="S74" s="265"/>
      <c r="T74" s="245"/>
      <c r="U74" s="245"/>
      <c r="V74" s="245"/>
      <c r="W74" s="245"/>
      <c r="X74" s="245"/>
      <c r="Y74" s="245"/>
      <c r="Z74" s="245"/>
      <c r="AA74" s="245"/>
      <c r="AB74" s="245"/>
      <c r="AC74" s="245"/>
      <c r="AD74" s="245"/>
      <c r="AE74" s="245"/>
      <c r="AF74" s="245"/>
      <c r="AG74" s="245"/>
      <c r="AH74" s="245"/>
      <c r="AI74" s="245"/>
      <c r="AJ74" s="245"/>
      <c r="AK74" s="245"/>
      <c r="AL74" s="245"/>
      <c r="AM74" s="245"/>
    </row>
    <row r="75" spans="1:39" x14ac:dyDescent="0.2">
      <c r="A75" s="503">
        <f t="shared" si="2"/>
        <v>56</v>
      </c>
      <c r="B75" s="262" t="str">
        <f>CONCATENATE('3. Consumption by Rate Class'!B80,"-",'3. Consumption by Rate Class'!C80)</f>
        <v>2009-August</v>
      </c>
      <c r="C75" s="697">
        <v>16285992.6</v>
      </c>
      <c r="D75" s="703">
        <v>-25999.74</v>
      </c>
      <c r="E75" s="707"/>
      <c r="F75" s="703"/>
      <c r="G75" s="703"/>
      <c r="H75" s="703"/>
      <c r="I75" s="704"/>
      <c r="J75" s="263">
        <f t="shared" si="0"/>
        <v>16259992.859999999</v>
      </c>
      <c r="K75" s="725">
        <f>IF(K$18='5.Variables'!$B$16,+'5.Variables'!$J31,+IF(K$18='5.Variables'!$B$39,+'5.Variables'!$J54,+IF(K$18='5.Variables'!$B$62,+'5.Variables'!$J68,+IF(K$18='5.Variables'!$B$76,+'5.Variables'!$J82,+IF(K$18='5.Variables'!$B$90,+'5.Variables'!$J96,+IF(K$18='5.Variables'!$B$104,+'5.Variables'!$J110,0))))))</f>
        <v>26.1</v>
      </c>
      <c r="L75" s="725">
        <f>IF(L$18='5.Variables'!$B$16,+'5.Variables'!$J30,+IF(L$18='5.Variables'!$B$39,+'5.Variables'!$J54,+IF(L$18='5.Variables'!$B$62,+'5.Variables'!$J68,+IF(L$18='5.Variables'!$B$76,+'5.Variables'!$J82,+IF(L$18='5.Variables'!$B$90,+'5.Variables'!$J96,+IF(L$18='5.Variables'!$B$104,+'5.Variables'!$J110,0))))))</f>
        <v>82.1</v>
      </c>
      <c r="M75" s="725">
        <f>IF(M$18='5.Variables'!$B$16,+'5.Variables'!$J30,+IF(M$18='5.Variables'!$B$39,+'5.Variables'!$J54,+IF(M$18='5.Variables'!$B$62,+'5.Variables'!$J68,+IF(M$18='5.Variables'!$B$76,+'5.Variables'!$J82,+IF(M$18='5.Variables'!$B$90,+'5.Variables'!$J96,+IF(M$18='5.Variables'!$B$104,+'5.Variables'!$J110,0))))))</f>
        <v>0</v>
      </c>
      <c r="N75" s="725">
        <f>IF(N$18='5.Variables'!$B$16,+'5.Variables'!$J30,+IF(N$18='5.Variables'!$B$39,+'5.Variables'!$J54,+IF(N$18='5.Variables'!$B$62,+'5.Variables'!$J68,+IF(N$18='5.Variables'!$B$76,+'5.Variables'!$J82,+IF(N$18='5.Variables'!$B$90,+'5.Variables'!$J96,+IF(N$18='5.Variables'!$B$104,+'5.Variables'!$J110,0))))))</f>
        <v>0</v>
      </c>
      <c r="O75" s="725">
        <f>IF(O$18='5.Variables'!$B$16,+'5.Variables'!$J30,+IF(O$18='5.Variables'!$B$39,+'5.Variables'!$J54,+IF(O$18='5.Variables'!$B$62,+'5.Variables'!$J68,+IF(O$18='5.Variables'!$B$76,+'5.Variables'!$J82,+IF(O$18='5.Variables'!$B$90,+'5.Variables'!$J96,+IF(O$18='5.Variables'!$B$104,+'5.Variables'!$J110,0))))))</f>
        <v>31</v>
      </c>
      <c r="P75" s="725">
        <f>IF(P$18='5.Variables'!$B$16,+'5.Variables'!$J30,+IF(P$18='5.Variables'!$B$39,+'5.Variables'!$J54,+IF(P$18='5.Variables'!$B$62,+'5.Variables'!$J68,+IF(P$18='5.Variables'!$B$76,+'5.Variables'!$J82,+IF(P$18='5.Variables'!$B$90,+'5.Variables'!$J96,+IF(P$18='5.Variables'!$B$104,+'5.Variables'!$J110,0))))))</f>
        <v>0</v>
      </c>
      <c r="Q75" s="245"/>
      <c r="R75" s="558">
        <f t="shared" si="1"/>
        <v>15521921.435728811</v>
      </c>
      <c r="S75" s="265"/>
      <c r="T75" s="245"/>
      <c r="U75" s="534" t="s">
        <v>33</v>
      </c>
      <c r="V75" s="534" t="s">
        <v>245</v>
      </c>
      <c r="W75" s="535" t="s">
        <v>45</v>
      </c>
      <c r="X75" s="245"/>
      <c r="Y75" s="245"/>
      <c r="Z75" s="245"/>
      <c r="AA75" s="245"/>
      <c r="AB75" s="245"/>
      <c r="AC75" s="245"/>
      <c r="AD75" s="245"/>
      <c r="AE75" s="245"/>
      <c r="AF75" s="245"/>
      <c r="AG75" s="245"/>
      <c r="AH75" s="245"/>
      <c r="AI75" s="245"/>
      <c r="AJ75" s="245"/>
      <c r="AK75" s="245"/>
      <c r="AL75" s="245"/>
      <c r="AM75" s="245"/>
    </row>
    <row r="76" spans="1:39" x14ac:dyDescent="0.2">
      <c r="A76" s="503">
        <f t="shared" si="2"/>
        <v>57</v>
      </c>
      <c r="B76" s="262" t="str">
        <f>CONCATENATE('3. Consumption by Rate Class'!B81,"-",'3. Consumption by Rate Class'!C81)</f>
        <v>2009-September</v>
      </c>
      <c r="C76" s="697">
        <v>14255141.98</v>
      </c>
      <c r="D76" s="703">
        <v>-24097.32</v>
      </c>
      <c r="E76" s="707"/>
      <c r="F76" s="703"/>
      <c r="G76" s="703"/>
      <c r="H76" s="704"/>
      <c r="I76" s="704"/>
      <c r="J76" s="263">
        <f t="shared" si="0"/>
        <v>14231044.66</v>
      </c>
      <c r="K76" s="725">
        <f>IF(K$18='5.Variables'!$B$16,+'5.Variables'!$K31,+IF(K$18='5.Variables'!$B$39,+'5.Variables'!$K54,+IF(K$18='5.Variables'!$B$62,+'5.Variables'!$K68,+IF(K$18='5.Variables'!$B$76,+'5.Variables'!$K82,+IF(K$18='5.Variables'!$B$90,+'5.Variables'!$K96,+IF(K$18='5.Variables'!$B$104,+'5.Variables'!$K110,0))))))</f>
        <v>106.5</v>
      </c>
      <c r="L76" s="725">
        <f>IF(L$18='5.Variables'!$B$16,+'5.Variables'!$K30,+IF(L$18='5.Variables'!$B$39,+'5.Variables'!$K54,+IF(L$18='5.Variables'!$B$62,+'5.Variables'!$K68,+IF(L$18='5.Variables'!$B$76,+'5.Variables'!$K82,+IF(L$18='5.Variables'!$B$90,+'5.Variables'!$K96,+IF(L$18='5.Variables'!$B$104,+'5.Variables'!$K110,0))))))</f>
        <v>5</v>
      </c>
      <c r="M76" s="725">
        <f>IF(M$18='5.Variables'!$B$16,+'5.Variables'!$K30,+IF(M$18='5.Variables'!$B$39,+'5.Variables'!$K54,+IF(M$18='5.Variables'!$B$62,+'5.Variables'!$K68,+IF(M$18='5.Variables'!$B$76,+'5.Variables'!$K82,+IF(M$18='5.Variables'!$B$90,+'5.Variables'!$K96,+IF(M$18='5.Variables'!$B$104,+'5.Variables'!$K110,0))))))</f>
        <v>0</v>
      </c>
      <c r="N76" s="725">
        <f>IF(N$18='5.Variables'!$B$16,+'5.Variables'!$K30,+IF(N$18='5.Variables'!$B$39,+'5.Variables'!$K54,+IF(N$18='5.Variables'!$B$62,+'5.Variables'!$K68,+IF(N$18='5.Variables'!$B$76,+'5.Variables'!$K82,+IF(N$18='5.Variables'!$B$90,+'5.Variables'!$K96,+IF(N$18='5.Variables'!$B$104,+'5.Variables'!$K110,0))))))</f>
        <v>0</v>
      </c>
      <c r="O76" s="725">
        <f>IF(O$18='5.Variables'!$B$16,+'5.Variables'!$K30,+IF(O$18='5.Variables'!$B$39,+'5.Variables'!$K54,+IF(O$18='5.Variables'!$B$62,+'5.Variables'!$K68,+IF(O$18='5.Variables'!$B$76,+'5.Variables'!$K82,+IF(O$18='5.Variables'!$B$90,+'5.Variables'!$K96,+IF(O$18='5.Variables'!$B$104,+'5.Variables'!$K110,0))))))</f>
        <v>30</v>
      </c>
      <c r="P76" s="725">
        <f>IF(P$18='5.Variables'!$B$16,+'5.Variables'!$K30,+IF(P$18='5.Variables'!$B$39,+'5.Variables'!$K54,+IF(P$18='5.Variables'!$B$62,+'5.Variables'!$K68,+IF(P$18='5.Variables'!$B$76,+'5.Variables'!$K82,+IF(P$18='5.Variables'!$B$90,+'5.Variables'!$K96,+IF(P$18='5.Variables'!$B$104,+'5.Variables'!$K110,0))))))</f>
        <v>0</v>
      </c>
      <c r="Q76" s="245"/>
      <c r="R76" s="558">
        <f t="shared" si="1"/>
        <v>13974438.405548483</v>
      </c>
      <c r="S76" s="265"/>
      <c r="T76" s="245"/>
      <c r="U76" s="533">
        <v>2015</v>
      </c>
      <c r="V76" s="531">
        <f>S151</f>
        <v>199517622.55165914</v>
      </c>
      <c r="W76" s="532">
        <f>(V76-V68)/V68</f>
        <v>4.1121850638558277E-2</v>
      </c>
      <c r="X76" s="245"/>
      <c r="Y76" s="245"/>
      <c r="Z76" s="245"/>
      <c r="AA76" s="245"/>
      <c r="AB76" s="245"/>
      <c r="AC76" s="245"/>
      <c r="AD76" s="245"/>
      <c r="AE76" s="245"/>
      <c r="AF76" s="245"/>
      <c r="AG76" s="245"/>
      <c r="AH76" s="245"/>
      <c r="AI76" s="245"/>
      <c r="AJ76" s="245"/>
      <c r="AK76" s="245"/>
      <c r="AL76" s="245"/>
      <c r="AM76" s="245"/>
    </row>
    <row r="77" spans="1:39" x14ac:dyDescent="0.2">
      <c r="A77" s="503">
        <f t="shared" si="2"/>
        <v>58</v>
      </c>
      <c r="B77" s="262" t="str">
        <f>CONCATENATE('3. Consumption by Rate Class'!B82,"-",'3. Consumption by Rate Class'!C82)</f>
        <v>2009-October</v>
      </c>
      <c r="C77" s="697">
        <v>15853362.029999999</v>
      </c>
      <c r="D77" s="703">
        <v>-22194.9</v>
      </c>
      <c r="E77" s="707"/>
      <c r="F77" s="703"/>
      <c r="G77" s="703"/>
      <c r="H77" s="704"/>
      <c r="I77" s="704"/>
      <c r="J77" s="263">
        <f t="shared" si="0"/>
        <v>15831167.129999999</v>
      </c>
      <c r="K77" s="725">
        <f>IF(K$18='5.Variables'!$B$16,+'5.Variables'!$L31,+IF(K$18='5.Variables'!$B$39,+'5.Variables'!$L54,+IF(K$18='5.Variables'!$B$62,+'5.Variables'!$L68,+IF(K$18='5.Variables'!$B$76,+'5.Variables'!$L82,+IF(K$18='5.Variables'!$B$90,+'5.Variables'!$L96,+IF(K$18='5.Variables'!$B$104,+'5.Variables'!$L110,0))))))</f>
        <v>355.5</v>
      </c>
      <c r="L77" s="725">
        <f>IF(L$18='5.Variables'!$B$16,+'5.Variables'!$L30,+IF(L$18='5.Variables'!$B$39,+'5.Variables'!$L54,+IF(L$18='5.Variables'!$B$62,+'5.Variables'!$L68,+IF(L$18='5.Variables'!$B$76,+'5.Variables'!$L82,+IF(L$18='5.Variables'!$B$90,+'5.Variables'!$L96,+IF(L$18='5.Variables'!$B$104,+'5.Variables'!$L110,0))))))</f>
        <v>0</v>
      </c>
      <c r="M77" s="725">
        <f>IF(M$18='5.Variables'!$B$16,+'5.Variables'!$L30,+IF(M$18='5.Variables'!$B$39,+'5.Variables'!$L54,+IF(M$18='5.Variables'!$B$62,+'5.Variables'!$L68,+IF(M$18='5.Variables'!$B$76,+'5.Variables'!$L82,+IF(M$18='5.Variables'!$B$90,+'5.Variables'!$L96,+IF(M$18='5.Variables'!$B$104,+'5.Variables'!$L110,0))))))</f>
        <v>0</v>
      </c>
      <c r="N77" s="725">
        <f>IF(N$18='5.Variables'!$B$16,+'5.Variables'!$L30,+IF(N$18='5.Variables'!$B$39,+'5.Variables'!$L54,+IF(N$18='5.Variables'!$B$62,+'5.Variables'!$L68,+IF(N$18='5.Variables'!$B$76,+'5.Variables'!$L82,+IF(N$18='5.Variables'!$B$90,+'5.Variables'!$L96,+IF(N$18='5.Variables'!$B$104,+'5.Variables'!$L110,0))))))</f>
        <v>0</v>
      </c>
      <c r="O77" s="725">
        <f>IF(O$18='5.Variables'!$B$16,+'5.Variables'!$L30,+IF(O$18='5.Variables'!$B$39,+'5.Variables'!$L54,+IF(O$18='5.Variables'!$B$62,+'5.Variables'!$L68,+IF(O$18='5.Variables'!$B$76,+'5.Variables'!$L82,+IF(O$18='5.Variables'!$B$90,+'5.Variables'!$L96,+IF(O$18='5.Variables'!$B$104,+'5.Variables'!$L110,0))))))</f>
        <v>31</v>
      </c>
      <c r="P77" s="725">
        <f>IF(P$18='5.Variables'!$B$16,+'5.Variables'!$L30,+IF(P$18='5.Variables'!$B$39,+'5.Variables'!$L54,+IF(P$18='5.Variables'!$B$62,+'5.Variables'!$L68,+IF(P$18='5.Variables'!$B$76,+'5.Variables'!$L82,+IF(P$18='5.Variables'!$B$90,+'5.Variables'!$L96,+IF(P$18='5.Variables'!$B$104,+'5.Variables'!$L110,0))))))</f>
        <v>0</v>
      </c>
      <c r="Q77" s="245"/>
      <c r="R77" s="558">
        <f t="shared" si="1"/>
        <v>15614857.579269836</v>
      </c>
      <c r="S77" s="265"/>
      <c r="T77" s="245"/>
      <c r="U77" s="533">
        <v>2016</v>
      </c>
      <c r="V77" s="531">
        <f>S163</f>
        <v>199084954.49928209</v>
      </c>
      <c r="W77" s="532">
        <f>(V77-V76)/V76</f>
        <v>-2.1685706096714274E-3</v>
      </c>
      <c r="X77" s="245"/>
      <c r="Y77" s="245"/>
      <c r="Z77" s="245"/>
      <c r="AA77" s="245"/>
      <c r="AB77" s="245"/>
      <c r="AC77" s="245"/>
      <c r="AD77" s="245"/>
      <c r="AE77" s="245"/>
      <c r="AF77" s="245"/>
      <c r="AG77" s="245"/>
      <c r="AH77" s="245"/>
      <c r="AI77" s="245"/>
      <c r="AJ77" s="245"/>
      <c r="AK77" s="245"/>
      <c r="AL77" s="245"/>
      <c r="AM77" s="245"/>
    </row>
    <row r="78" spans="1:39" x14ac:dyDescent="0.2">
      <c r="A78" s="503">
        <f t="shared" si="2"/>
        <v>59</v>
      </c>
      <c r="B78" s="262" t="str">
        <f>CONCATENATE('3. Consumption by Rate Class'!B83,"-",'3. Consumption by Rate Class'!C83)</f>
        <v>2009-November</v>
      </c>
      <c r="C78" s="697">
        <v>16088470.039999999</v>
      </c>
      <c r="D78" s="703">
        <v>-12048.66</v>
      </c>
      <c r="E78" s="707"/>
      <c r="F78" s="703"/>
      <c r="G78" s="703"/>
      <c r="H78" s="704"/>
      <c r="I78" s="704"/>
      <c r="J78" s="263">
        <f t="shared" si="0"/>
        <v>16076421.379999999</v>
      </c>
      <c r="K78" s="725">
        <f>IF(K$18='5.Variables'!$B$16,+'5.Variables'!$M31,+IF(K$18='5.Variables'!$B$39,+'5.Variables'!$M54,+IF(K$18='5.Variables'!$B$62,+'5.Variables'!$M68,+IF(K$18='5.Variables'!$B$76,+'5.Variables'!$M82,+IF(K$18='5.Variables'!$B$90,+'5.Variables'!$M96,+IF(K$18='5.Variables'!$B$104,+'5.Variables'!$M110,0))))))</f>
        <v>417.4</v>
      </c>
      <c r="L78" s="725">
        <f>IF(L$18='5.Variables'!$B$16,+'5.Variables'!$M30,+IF(L$18='5.Variables'!$B$39,+'5.Variables'!$M54,+IF(L$18='5.Variables'!$B$62,+'5.Variables'!$M68,+IF(L$18='5.Variables'!$B$76,+'5.Variables'!$M82,+IF(L$18='5.Variables'!$B$90,+'5.Variables'!$M96,+IF(L$18='5.Variables'!$B$104,+'5.Variables'!$M110,0))))))</f>
        <v>0</v>
      </c>
      <c r="M78" s="725">
        <f>IF(M$18='5.Variables'!$B$16,+'5.Variables'!$M30,+IF(M$18='5.Variables'!$B$39,+'5.Variables'!$M54,+IF(M$18='5.Variables'!$B$62,+'5.Variables'!$M68,+IF(M$18='5.Variables'!$B$76,+'5.Variables'!$M82,+IF(M$18='5.Variables'!$B$90,+'5.Variables'!$M96,+IF(M$18='5.Variables'!$B$104,+'5.Variables'!$M110,0))))))</f>
        <v>0</v>
      </c>
      <c r="N78" s="725">
        <f>IF(N$18='5.Variables'!$B$16,+'5.Variables'!$M30,+IF(N$18='5.Variables'!$B$39,+'5.Variables'!$M54,+IF(N$18='5.Variables'!$B$62,+'5.Variables'!$M68,+IF(N$18='5.Variables'!$B$76,+'5.Variables'!$M82,+IF(N$18='5.Variables'!$B$90,+'5.Variables'!$M96,+IF(N$18='5.Variables'!$B$104,+'5.Variables'!$M110,0))))))</f>
        <v>0</v>
      </c>
      <c r="O78" s="725">
        <f>IF(O$18='5.Variables'!$B$16,+'5.Variables'!$M30,+IF(O$18='5.Variables'!$B$39,+'5.Variables'!$M54,+IF(O$18='5.Variables'!$B$62,+'5.Variables'!$M68,+IF(O$18='5.Variables'!$B$76,+'5.Variables'!$M82,+IF(O$18='5.Variables'!$B$90,+'5.Variables'!$M96,+IF(O$18='5.Variables'!$B$104,+'5.Variables'!$M110,0))))))</f>
        <v>30</v>
      </c>
      <c r="P78" s="725">
        <f>IF(P$18='5.Variables'!$B$16,+'5.Variables'!$M30,+IF(P$18='5.Variables'!$B$39,+'5.Variables'!$M54,+IF(P$18='5.Variables'!$B$62,+'5.Variables'!$M68,+IF(P$18='5.Variables'!$B$76,+'5.Variables'!$M82,+IF(P$18='5.Variables'!$B$90,+'5.Variables'!$M96,+IF(P$18='5.Variables'!$B$104,+'5.Variables'!$M110,0))))))</f>
        <v>0</v>
      </c>
      <c r="Q78" s="245"/>
      <c r="R78" s="558">
        <f t="shared" si="1"/>
        <v>16056859.829773095</v>
      </c>
      <c r="S78" s="265"/>
      <c r="T78" s="245"/>
      <c r="U78" s="245"/>
      <c r="V78" s="245"/>
      <c r="W78" s="245"/>
      <c r="X78" s="245"/>
      <c r="Y78" s="245"/>
      <c r="Z78" s="245"/>
      <c r="AA78" s="245"/>
      <c r="AB78" s="245"/>
      <c r="AC78" s="245"/>
      <c r="AD78" s="245"/>
      <c r="AE78" s="245"/>
      <c r="AF78" s="245"/>
      <c r="AG78" s="245"/>
      <c r="AH78" s="245"/>
      <c r="AI78" s="245"/>
      <c r="AJ78" s="245"/>
      <c r="AK78" s="245"/>
      <c r="AL78" s="245"/>
      <c r="AM78" s="245"/>
    </row>
    <row r="79" spans="1:39" x14ac:dyDescent="0.2">
      <c r="A79" s="503">
        <f t="shared" si="2"/>
        <v>60</v>
      </c>
      <c r="B79" s="522" t="str">
        <f>CONCATENATE('3. Consumption by Rate Class'!B84,"-",'3. Consumption by Rate Class'!C84)</f>
        <v>2009-December</v>
      </c>
      <c r="C79" s="698">
        <v>19679147.079999998</v>
      </c>
      <c r="D79" s="705">
        <v>-12048.66</v>
      </c>
      <c r="E79" s="705"/>
      <c r="F79" s="705"/>
      <c r="G79" s="705"/>
      <c r="H79" s="706"/>
      <c r="I79" s="706"/>
      <c r="J79" s="263">
        <f t="shared" si="0"/>
        <v>19667098.419999998</v>
      </c>
      <c r="K79" s="725">
        <f>IF(K$18='5.Variables'!$B$16,+'5.Variables'!$N31,+IF(K$18='5.Variables'!$B$39,+'5.Variables'!$N54,+IF(K$18='5.Variables'!$B$62,+'5.Variables'!$N68,+IF(K$18='5.Variables'!$B$76,+'5.Variables'!$N82,+IF(K$18='5.Variables'!$B$90,+'5.Variables'!$N96,+IF(K$18='5.Variables'!$B$104,+'5.Variables'!$N110,0))))))</f>
        <v>759.4</v>
      </c>
      <c r="L79" s="725">
        <f>IF(L$18='5.Variables'!$B$16,+'5.Variables'!$N30,+IF(L$18='5.Variables'!$B$39,+'5.Variables'!$N54,+IF(L$18='5.Variables'!$B$62,+'5.Variables'!$N68,+IF(L$18='5.Variables'!$B$76,+'5.Variables'!$N82,+IF(L$18='5.Variables'!$B$90,+'5.Variables'!$N96,+IF(L$18='5.Variables'!$B$104,+'5.Variables'!$N110,0))))))</f>
        <v>0</v>
      </c>
      <c r="M79" s="725">
        <f>IF(M$18='5.Variables'!$B$16,+'5.Variables'!$N30,+IF(M$18='5.Variables'!$B$39,+'5.Variables'!$N54,+IF(M$18='5.Variables'!$B$62,+'5.Variables'!$N68,+IF(M$18='5.Variables'!$B$76,+'5.Variables'!$N82,+IF(M$18='5.Variables'!$B$90,+'5.Variables'!$N96,+IF(M$18='5.Variables'!$B$104,+'5.Variables'!$N110,0))))))</f>
        <v>1</v>
      </c>
      <c r="N79" s="725">
        <f>IF(N$18='5.Variables'!$B$16,+'5.Variables'!$N30,+IF(N$18='5.Variables'!$B$39,+'5.Variables'!$N54,+IF(N$18='5.Variables'!$B$62,+'5.Variables'!$N68,+IF(N$18='5.Variables'!$B$76,+'5.Variables'!$N82,+IF(N$18='5.Variables'!$B$90,+'5.Variables'!$N96,+IF(N$18='5.Variables'!$B$104,+'5.Variables'!$N110,0))))))</f>
        <v>1</v>
      </c>
      <c r="O79" s="725">
        <f>IF(O$18='5.Variables'!$B$16,+'5.Variables'!$N30,+IF(O$18='5.Variables'!$B$39,+'5.Variables'!$N54,+IF(O$18='5.Variables'!$B$62,+'5.Variables'!$N68,+IF(O$18='5.Variables'!$B$76,+'5.Variables'!$N82,+IF(O$18='5.Variables'!$B$90,+'5.Variables'!$N96,+IF(O$18='5.Variables'!$B$104,+'5.Variables'!$N110,0))))))</f>
        <v>31</v>
      </c>
      <c r="P79" s="725">
        <f>IF(P$18='5.Variables'!$B$16,+'5.Variables'!$N30,+IF(P$18='5.Variables'!$B$39,+'5.Variables'!$N54,+IF(P$18='5.Variables'!$B$62,+'5.Variables'!$N68,+IF(P$18='5.Variables'!$B$76,+'5.Variables'!$N82,+IF(P$18='5.Variables'!$B$90,+'5.Variables'!$N96,+IF(P$18='5.Variables'!$B$104,+'5.Variables'!$N110,0))))))</f>
        <v>0</v>
      </c>
      <c r="Q79" s="245"/>
      <c r="R79" s="558">
        <f t="shared" si="1"/>
        <v>19973888.337481637</v>
      </c>
      <c r="S79" s="265">
        <f>SUM(R68:R79)</f>
        <v>198683586.06453371</v>
      </c>
      <c r="T79" s="245"/>
      <c r="U79" s="274"/>
      <c r="V79" s="245"/>
      <c r="W79" s="245"/>
      <c r="X79" s="245"/>
      <c r="Y79" s="245"/>
      <c r="Z79" s="245"/>
      <c r="AA79" s="245"/>
      <c r="AB79" s="245"/>
      <c r="AC79" s="245"/>
      <c r="AD79" s="245"/>
      <c r="AE79" s="245"/>
      <c r="AF79" s="245"/>
      <c r="AG79" s="245"/>
      <c r="AH79" s="245"/>
      <c r="AI79" s="245"/>
      <c r="AJ79" s="245"/>
      <c r="AK79" s="245"/>
      <c r="AL79" s="245"/>
      <c r="AM79" s="245"/>
    </row>
    <row r="80" spans="1:39" x14ac:dyDescent="0.2">
      <c r="A80" s="503">
        <f t="shared" si="2"/>
        <v>61</v>
      </c>
      <c r="B80" s="262" t="str">
        <f>CONCATENATE('3. Consumption by Rate Class'!B85,"-",'3. Consumption by Rate Class'!C85)</f>
        <v>2010-January</v>
      </c>
      <c r="C80" s="697">
        <v>21755879.16</v>
      </c>
      <c r="D80" s="703">
        <v>-11414.52</v>
      </c>
      <c r="E80" s="707"/>
      <c r="F80" s="703"/>
      <c r="G80" s="703"/>
      <c r="H80" s="704"/>
      <c r="I80" s="704"/>
      <c r="J80" s="263">
        <f t="shared" si="0"/>
        <v>21744464.640000001</v>
      </c>
      <c r="K80" s="725">
        <f>IF(K$18='5.Variables'!$B$16,+'5.Variables'!$C32,+IF(K$18='5.Variables'!$B$39,+'5.Variables'!$C55,+IF(K$18='5.Variables'!$B$62,+'5.Variables'!$C69,+IF(K$18='5.Variables'!$B$76,+'5.Variables'!$C83,+IF(K$18='5.Variables'!$B$90,+'5.Variables'!$C97,+IF(K$18='5.Variables'!$B$104,+'5.Variables'!$C111,0))))))</f>
        <v>789.2</v>
      </c>
      <c r="L80" s="725">
        <f>IF(L$18='5.Variables'!$B$16,+'5.Variables'!$C31,+IF(L$18='5.Variables'!$B$39,+'5.Variables'!$C55,+IF(L$18='5.Variables'!$B$62,+'5.Variables'!$C69,+IF(L$18='5.Variables'!$B$76,+'5.Variables'!$C83,+IF(L$18='5.Variables'!$B$90,+'5.Variables'!$C97,+IF(L$18='5.Variables'!$B$104,+'5.Variables'!$C111,0))))))</f>
        <v>0</v>
      </c>
      <c r="M80" s="725">
        <f>IF(M$18='5.Variables'!$B$16,+'5.Variables'!$C31,+IF(M$18='5.Variables'!$B$39,+'5.Variables'!$C55,+IF(M$18='5.Variables'!$B$62,+'5.Variables'!$C69,+IF(M$18='5.Variables'!$B$76,+'5.Variables'!$C83,+IF(M$18='5.Variables'!$B$90,+'5.Variables'!$C97,+IF(M$18='5.Variables'!$B$104,+'5.Variables'!$C111,0))))))</f>
        <v>1</v>
      </c>
      <c r="N80" s="725">
        <f>IF(N$18='5.Variables'!$B$16,+'5.Variables'!$C31,+IF(N$18='5.Variables'!$B$39,+'5.Variables'!$C55,+IF(N$18='5.Variables'!$B$62,+'5.Variables'!$C69,+IF(N$18='5.Variables'!$B$76,+'5.Variables'!$C83,+IF(N$18='5.Variables'!$B$90,+'5.Variables'!$C97,+IF(N$18='5.Variables'!$B$104,+'5.Variables'!$C111,0))))))</f>
        <v>1</v>
      </c>
      <c r="O80" s="725">
        <f>IF(O$18='5.Variables'!$B$16,+'5.Variables'!$C31,+IF(O$18='5.Variables'!$B$39,+'5.Variables'!$C55,+IF(O$18='5.Variables'!$B$62,+'5.Variables'!$C69,+IF(O$18='5.Variables'!$B$76,+'5.Variables'!$C83,+IF(O$18='5.Variables'!$B$90,+'5.Variables'!$C97,+IF(O$18='5.Variables'!$B$104,+'5.Variables'!$C111,0))))))</f>
        <v>31</v>
      </c>
      <c r="P80" s="725">
        <f>IF(P$18='5.Variables'!$B$16,+'5.Variables'!$C31,+IF(P$18='5.Variables'!$B$39,+'5.Variables'!$C55,+IF(P$18='5.Variables'!$B$62,+'5.Variables'!$C69,+IF(P$18='5.Variables'!$B$76,+'5.Variables'!$C83,+IF(P$18='5.Variables'!$B$90,+'5.Variables'!$C97,+IF(P$18='5.Variables'!$B$104,+'5.Variables'!$C111,0))))))</f>
        <v>0</v>
      </c>
      <c r="Q80" s="245"/>
      <c r="R80" s="558">
        <f t="shared" si="1"/>
        <v>20186677.789258651</v>
      </c>
      <c r="S80" s="265"/>
      <c r="T80" s="245"/>
      <c r="U80" s="274"/>
      <c r="V80" s="245"/>
      <c r="W80" s="245"/>
      <c r="X80" s="245"/>
      <c r="Y80" s="245"/>
      <c r="Z80" s="245"/>
      <c r="AA80" s="245"/>
      <c r="AB80" s="245"/>
      <c r="AC80" s="245"/>
      <c r="AD80" s="245"/>
      <c r="AE80" s="245"/>
      <c r="AF80" s="245"/>
      <c r="AG80" s="245"/>
      <c r="AH80" s="245"/>
      <c r="AI80" s="245"/>
      <c r="AJ80" s="245"/>
      <c r="AK80" s="245"/>
      <c r="AL80" s="245"/>
      <c r="AM80" s="245"/>
    </row>
    <row r="81" spans="1:39" x14ac:dyDescent="0.2">
      <c r="A81" s="503">
        <f t="shared" si="2"/>
        <v>62</v>
      </c>
      <c r="B81" s="262" t="str">
        <f>CONCATENATE('3. Consumption by Rate Class'!B86,"-",'3. Consumption by Rate Class'!C86)</f>
        <v>2010-February</v>
      </c>
      <c r="C81" s="697">
        <v>17815005</v>
      </c>
      <c r="D81" s="703">
        <v>-9512.1</v>
      </c>
      <c r="E81" s="707"/>
      <c r="F81" s="703"/>
      <c r="G81" s="703"/>
      <c r="H81" s="704"/>
      <c r="I81" s="704"/>
      <c r="J81" s="263">
        <f t="shared" si="0"/>
        <v>17805492.899999999</v>
      </c>
      <c r="K81" s="725">
        <f>IF(K$18='5.Variables'!$B$16,+'5.Variables'!$D32,+IF(K$18='5.Variables'!$B$39,+'5.Variables'!$D55,+IF(K$18='5.Variables'!$B$62,+'5.Variables'!$D69,+IF(K$18='5.Variables'!$B$76,+'5.Variables'!$D83,+IF(K$18='5.Variables'!$B$90,+'5.Variables'!$D97,+IF(K$18='5.Variables'!$B$104,+'5.Variables'!$D111,0))))))</f>
        <v>655.8</v>
      </c>
      <c r="L81" s="725">
        <f>IF(L$18='5.Variables'!$B$16,+'5.Variables'!$D31,+IF(L$18='5.Variables'!$B$39,+'5.Variables'!$D55,+IF(L$18='5.Variables'!$B$62,+'5.Variables'!$D69,+IF(L$18='5.Variables'!$B$76,+'5.Variables'!$D83,+IF(L$18='5.Variables'!$B$90,+'5.Variables'!$D97,+IF(L$18='5.Variables'!$B$104,+'5.Variables'!$D111,0))))))</f>
        <v>0</v>
      </c>
      <c r="M81" s="725">
        <f>IF(M$18='5.Variables'!$B$16,+'5.Variables'!$D31,+IF(M$18='5.Variables'!$B$39,+'5.Variables'!$D55,+IF(M$18='5.Variables'!$B$62,+'5.Variables'!$D69,+IF(M$18='5.Variables'!$B$76,+'5.Variables'!$D83,+IF(M$18='5.Variables'!$B$90,+'5.Variables'!$D97,+IF(M$18='5.Variables'!$B$104,+'5.Variables'!$D111,0))))))</f>
        <v>1</v>
      </c>
      <c r="N81" s="725">
        <f>IF(N$18='5.Variables'!$B$16,+'5.Variables'!$D31,+IF(N$18='5.Variables'!$B$39,+'5.Variables'!$D55,+IF(N$18='5.Variables'!$B$62,+'5.Variables'!$D69,+IF(N$18='5.Variables'!$B$76,+'5.Variables'!$D83,+IF(N$18='5.Variables'!$B$90,+'5.Variables'!$D97,+IF(N$18='5.Variables'!$B$104,+'5.Variables'!$D111,0))))))</f>
        <v>0</v>
      </c>
      <c r="O81" s="725">
        <f>IF(O$18='5.Variables'!$B$16,+'5.Variables'!$D31,+IF(O$18='5.Variables'!$B$39,+'5.Variables'!$D55,+IF(O$18='5.Variables'!$B$62,+'5.Variables'!$D69,+IF(O$18='5.Variables'!$B$76,+'5.Variables'!$D83,+IF(O$18='5.Variables'!$B$90,+'5.Variables'!$D97,+IF(O$18='5.Variables'!$B$104,+'5.Variables'!$D111,0))))))</f>
        <v>28</v>
      </c>
      <c r="P81" s="725">
        <f>IF(P$18='5.Variables'!$B$16,+'5.Variables'!$D31,+IF(P$18='5.Variables'!$B$39,+'5.Variables'!$D55,+IF(P$18='5.Variables'!$B$62,+'5.Variables'!$D69,+IF(P$18='5.Variables'!$B$76,+'5.Variables'!$D83,+IF(P$18='5.Variables'!$B$90,+'5.Variables'!$D97,+IF(P$18='5.Variables'!$B$104,+'5.Variables'!$D111,0))))))</f>
        <v>0</v>
      </c>
      <c r="Q81" s="245"/>
      <c r="R81" s="558">
        <f t="shared" si="1"/>
        <v>19234123.66620316</v>
      </c>
      <c r="S81" s="265"/>
      <c r="T81" s="245"/>
      <c r="U81" s="274"/>
      <c r="V81" s="245"/>
      <c r="W81" s="245"/>
      <c r="X81" s="245"/>
      <c r="Y81" s="245"/>
      <c r="Z81" s="245"/>
      <c r="AA81" s="245"/>
      <c r="AB81" s="245"/>
      <c r="AC81" s="245"/>
      <c r="AD81" s="245"/>
      <c r="AE81" s="245"/>
      <c r="AF81" s="245"/>
      <c r="AG81" s="245"/>
      <c r="AH81" s="245"/>
      <c r="AI81" s="245"/>
      <c r="AJ81" s="245"/>
      <c r="AK81" s="245"/>
      <c r="AL81" s="245"/>
      <c r="AM81" s="245"/>
    </row>
    <row r="82" spans="1:39" x14ac:dyDescent="0.2">
      <c r="A82" s="503">
        <f t="shared" si="2"/>
        <v>63</v>
      </c>
      <c r="B82" s="262" t="str">
        <f>CONCATENATE('3. Consumption by Rate Class'!B87,"-",'3. Consumption by Rate Class'!C87)</f>
        <v>2010-March</v>
      </c>
      <c r="C82" s="697">
        <v>15902024.119999999</v>
      </c>
      <c r="D82" s="703"/>
      <c r="E82" s="707"/>
      <c r="F82" s="703"/>
      <c r="G82" s="703"/>
      <c r="H82" s="704"/>
      <c r="I82" s="704"/>
      <c r="J82" s="263">
        <f t="shared" si="0"/>
        <v>15902024.119999999</v>
      </c>
      <c r="K82" s="725">
        <f>IF(K$18='5.Variables'!$B$16,+'5.Variables'!$E32,+IF(K$18='5.Variables'!$B$39,+'5.Variables'!$E55,+IF(K$18='5.Variables'!$B$62,+'5.Variables'!$E69,+IF(K$18='5.Variables'!$B$76,+'5.Variables'!$E83,+IF(K$18='5.Variables'!$B$90,+'5.Variables'!$E97,+IF(K$18='5.Variables'!$B$104,+'5.Variables'!$E111,0))))))</f>
        <v>460.7</v>
      </c>
      <c r="L82" s="725">
        <f>IF(L$18='5.Variables'!$B$16,+'5.Variables'!$E31,+IF(L$18='5.Variables'!$B$39,+'5.Variables'!$E55,+IF(L$18='5.Variables'!$B$62,+'5.Variables'!$E69,+IF(L$18='5.Variables'!$B$76,+'5.Variables'!$E83,+IF(L$18='5.Variables'!$B$90,+'5.Variables'!$E97,+IF(L$18='5.Variables'!$B$104,+'5.Variables'!$E111,0))))))</f>
        <v>0</v>
      </c>
      <c r="M82" s="725">
        <f>IF(M$18='5.Variables'!$B$16,+'5.Variables'!$E31,+IF(M$18='5.Variables'!$B$39,+'5.Variables'!$E55,+IF(M$18='5.Variables'!$B$62,+'5.Variables'!$E69,+IF(M$18='5.Variables'!$B$76,+'5.Variables'!$E83,+IF(M$18='5.Variables'!$B$90,+'5.Variables'!$E97,+IF(M$18='5.Variables'!$B$104,+'5.Variables'!$E111,0))))))</f>
        <v>0</v>
      </c>
      <c r="N82" s="725">
        <f>IF(N$18='5.Variables'!$B$16,+'5.Variables'!$E31,+IF(N$18='5.Variables'!$B$39,+'5.Variables'!$E55,+IF(N$18='5.Variables'!$B$62,+'5.Variables'!$E69,+IF(N$18='5.Variables'!$B$76,+'5.Variables'!$E83,+IF(N$18='5.Variables'!$B$90,+'5.Variables'!$E97,+IF(N$18='5.Variables'!$B$104,+'5.Variables'!$E111,0))))))</f>
        <v>1</v>
      </c>
      <c r="O82" s="725">
        <f>IF(O$18='5.Variables'!$B$16,+'5.Variables'!$E31,+IF(O$18='5.Variables'!$B$39,+'5.Variables'!$E55,+IF(O$18='5.Variables'!$B$62,+'5.Variables'!$E69,+IF(O$18='5.Variables'!$B$76,+'5.Variables'!$E83,+IF(O$18='5.Variables'!$B$90,+'5.Variables'!$E97,+IF(O$18='5.Variables'!$B$104,+'5.Variables'!$E111,0))))))</f>
        <v>31</v>
      </c>
      <c r="P82" s="725">
        <f>IF(P$18='5.Variables'!$B$16,+'5.Variables'!$E31,+IF(P$18='5.Variables'!$B$39,+'5.Variables'!$E55,+IF(P$18='5.Variables'!$B$62,+'5.Variables'!$E69,+IF(P$18='5.Variables'!$B$76,+'5.Variables'!$E83,+IF(P$18='5.Variables'!$B$90,+'5.Variables'!$E97,+IF(P$18='5.Variables'!$B$104,+'5.Variables'!$E111,0))))))</f>
        <v>0</v>
      </c>
      <c r="Q82" s="245"/>
      <c r="R82" s="558">
        <f t="shared" si="1"/>
        <v>16366047.187556475</v>
      </c>
      <c r="S82" s="265"/>
      <c r="T82" s="245"/>
      <c r="U82" s="274"/>
      <c r="V82" s="245"/>
      <c r="W82" s="245"/>
      <c r="X82" s="245"/>
      <c r="Y82" s="245"/>
      <c r="Z82" s="245"/>
      <c r="AA82" s="245"/>
      <c r="AB82" s="245"/>
      <c r="AC82" s="245"/>
      <c r="AD82" s="245"/>
      <c r="AE82" s="245"/>
      <c r="AF82" s="245"/>
      <c r="AG82" s="245"/>
      <c r="AH82" s="245"/>
      <c r="AI82" s="245"/>
      <c r="AJ82" s="245"/>
      <c r="AK82" s="245"/>
      <c r="AL82" s="245"/>
      <c r="AM82" s="245"/>
    </row>
    <row r="83" spans="1:39" x14ac:dyDescent="0.2">
      <c r="A83" s="503">
        <f t="shared" si="2"/>
        <v>64</v>
      </c>
      <c r="B83" s="262" t="str">
        <f>CONCATENATE('3. Consumption by Rate Class'!B88,"-",'3. Consumption by Rate Class'!C88)</f>
        <v>2010-April</v>
      </c>
      <c r="C83" s="697">
        <v>14463639.93</v>
      </c>
      <c r="D83" s="703"/>
      <c r="E83" s="707"/>
      <c r="F83" s="703"/>
      <c r="G83" s="703"/>
      <c r="H83" s="704"/>
      <c r="I83" s="704"/>
      <c r="J83" s="263">
        <f t="shared" si="0"/>
        <v>14463639.93</v>
      </c>
      <c r="K83" s="725">
        <f>IF(K$18='5.Variables'!$B$16,+'5.Variables'!$F32,+IF(K$18='5.Variables'!$B$39,+'5.Variables'!$F55,+IF(K$18='5.Variables'!$B$62,+'5.Variables'!$F69,+IF(K$18='5.Variables'!$B$76,+'5.Variables'!$F83,+IF(K$18='5.Variables'!$B$90,+'5.Variables'!$F97,+IF(K$18='5.Variables'!$B$104,+'5.Variables'!$F111,0))))))</f>
        <v>258.10000000000002</v>
      </c>
      <c r="L83" s="725">
        <f>IF(L$18='5.Variables'!$B$16,+'5.Variables'!$F31,+IF(L$18='5.Variables'!$B$39,+'5.Variables'!$F55,+IF(L$18='5.Variables'!$B$62,+'5.Variables'!$F69,+IF(L$18='5.Variables'!$B$76,+'5.Variables'!$F83,+IF(L$18='5.Variables'!$B$90,+'5.Variables'!$F97,+IF(L$18='5.Variables'!$B$104,+'5.Variables'!$F111,0))))))</f>
        <v>1.6</v>
      </c>
      <c r="M83" s="725">
        <f>IF(M$18='5.Variables'!$B$16,+'5.Variables'!$F31,+IF(M$18='5.Variables'!$B$39,+'5.Variables'!$F55,+IF(M$18='5.Variables'!$B$62,+'5.Variables'!$F69,+IF(M$18='5.Variables'!$B$76,+'5.Variables'!$F83,+IF(M$18='5.Variables'!$B$90,+'5.Variables'!$F97,+IF(M$18='5.Variables'!$B$104,+'5.Variables'!$F111,0))))))</f>
        <v>0</v>
      </c>
      <c r="N83" s="725">
        <f>IF(N$18='5.Variables'!$B$16,+'5.Variables'!$F31,+IF(N$18='5.Variables'!$B$39,+'5.Variables'!$F55,+IF(N$18='5.Variables'!$B$62,+'5.Variables'!$F69,+IF(N$18='5.Variables'!$B$76,+'5.Variables'!$F83,+IF(N$18='5.Variables'!$B$90,+'5.Variables'!$F97,+IF(N$18='5.Variables'!$B$104,+'5.Variables'!$F111,0))))))</f>
        <v>0</v>
      </c>
      <c r="O83" s="725">
        <f>IF(O$18='5.Variables'!$B$16,+'5.Variables'!$F31,+IF(O$18='5.Variables'!$B$39,+'5.Variables'!$F55,+IF(O$18='5.Variables'!$B$62,+'5.Variables'!$F69,+IF(O$18='5.Variables'!$B$76,+'5.Variables'!$F83,+IF(O$18='5.Variables'!$B$90,+'5.Variables'!$F97,+IF(O$18='5.Variables'!$B$104,+'5.Variables'!$F111,0))))))</f>
        <v>30</v>
      </c>
      <c r="P83" s="725">
        <f>IF(P$18='5.Variables'!$B$16,+'5.Variables'!$F31,+IF(P$18='5.Variables'!$B$39,+'5.Variables'!$F55,+IF(P$18='5.Variables'!$B$62,+'5.Variables'!$F69,+IF(P$18='5.Variables'!$B$76,+'5.Variables'!$F83,+IF(P$18='5.Variables'!$B$90,+'5.Variables'!$F97,+IF(P$18='5.Variables'!$B$104,+'5.Variables'!$F111,0))))))</f>
        <v>0</v>
      </c>
      <c r="Q83" s="245"/>
      <c r="R83" s="558">
        <f t="shared" si="1"/>
        <v>14963392.266313611</v>
      </c>
      <c r="S83" s="265"/>
      <c r="T83" s="245"/>
      <c r="U83" s="245"/>
      <c r="V83" s="245"/>
      <c r="W83" s="245"/>
      <c r="X83" s="245"/>
      <c r="Y83" s="245"/>
      <c r="Z83" s="245"/>
      <c r="AA83" s="245"/>
      <c r="AB83" s="245"/>
      <c r="AC83" s="245"/>
      <c r="AD83" s="245"/>
      <c r="AE83" s="245"/>
      <c r="AF83" s="245"/>
      <c r="AG83" s="245"/>
      <c r="AH83" s="245"/>
      <c r="AI83" s="245"/>
      <c r="AJ83" s="245"/>
      <c r="AK83" s="245"/>
      <c r="AL83" s="245"/>
      <c r="AM83" s="245"/>
    </row>
    <row r="84" spans="1:39" x14ac:dyDescent="0.2">
      <c r="A84" s="503">
        <f t="shared" si="2"/>
        <v>65</v>
      </c>
      <c r="B84" s="262" t="str">
        <f>CONCATENATE('3. Consumption by Rate Class'!B89,"-",'3. Consumption by Rate Class'!C89)</f>
        <v>2010-May</v>
      </c>
      <c r="C84" s="697">
        <v>14660940.24</v>
      </c>
      <c r="D84" s="703"/>
      <c r="E84" s="707"/>
      <c r="F84" s="703"/>
      <c r="G84" s="703"/>
      <c r="H84" s="704"/>
      <c r="I84" s="704"/>
      <c r="J84" s="263">
        <f t="shared" si="0"/>
        <v>14660940.24</v>
      </c>
      <c r="K84" s="725">
        <f>IF(K$18='5.Variables'!$B$16,+'5.Variables'!$G32,+IF(K$18='5.Variables'!$B$39,+'5.Variables'!$G55,+IF(K$18='5.Variables'!$B$62,+'5.Variables'!$G69,+IF(K$18='5.Variables'!$B$76,+'5.Variables'!$G83,+IF(K$18='5.Variables'!$B$90,+'5.Variables'!$G97,+IF(K$18='5.Variables'!$B$104,+'5.Variables'!$G111,0))))))</f>
        <v>112.3</v>
      </c>
      <c r="L84" s="725">
        <f>IF(L$18='5.Variables'!$B$16,+'5.Variables'!$G31,+IF(L$18='5.Variables'!$B$39,+'5.Variables'!$G55,+IF(L$18='5.Variables'!$B$62,+'5.Variables'!$G69,+IF(L$18='5.Variables'!$B$76,+'5.Variables'!$G83,+IF(L$18='5.Variables'!$B$90,+'5.Variables'!$G97,+IF(L$18='5.Variables'!$B$104,+'5.Variables'!$G111,0))))))</f>
        <v>38.200000000000003</v>
      </c>
      <c r="M84" s="725">
        <f>IF(M$18='5.Variables'!$B$16,+'5.Variables'!$G31,+IF(M$18='5.Variables'!$B$39,+'5.Variables'!$G55,+IF(M$18='5.Variables'!$B$62,+'5.Variables'!$G69,+IF(M$18='5.Variables'!$B$76,+'5.Variables'!$G83,+IF(M$18='5.Variables'!$B$90,+'5.Variables'!$G97,+IF(M$18='5.Variables'!$B$104,+'5.Variables'!$G111,0))))))</f>
        <v>0</v>
      </c>
      <c r="N84" s="725">
        <f>IF(N$18='5.Variables'!$B$16,+'5.Variables'!$G31,+IF(N$18='5.Variables'!$B$39,+'5.Variables'!$G55,+IF(N$18='5.Variables'!$B$62,+'5.Variables'!$G69,+IF(N$18='5.Variables'!$B$76,+'5.Variables'!$G83,+IF(N$18='5.Variables'!$B$90,+'5.Variables'!$G97,+IF(N$18='5.Variables'!$B$104,+'5.Variables'!$G111,0))))))</f>
        <v>0</v>
      </c>
      <c r="O84" s="725">
        <f>IF(O$18='5.Variables'!$B$16,+'5.Variables'!$G31,+IF(O$18='5.Variables'!$B$39,+'5.Variables'!$G55,+IF(O$18='5.Variables'!$B$62,+'5.Variables'!$G69,+IF(O$18='5.Variables'!$B$76,+'5.Variables'!$G83,+IF(O$18='5.Variables'!$B$90,+'5.Variables'!$G97,+IF(O$18='5.Variables'!$B$104,+'5.Variables'!$G111,0))))))</f>
        <v>31</v>
      </c>
      <c r="P84" s="725">
        <f>IF(P$18='5.Variables'!$B$16,+'5.Variables'!$G31,+IF(P$18='5.Variables'!$B$39,+'5.Variables'!$G55,+IF(P$18='5.Variables'!$B$62,+'5.Variables'!$G69,+IF(P$18='5.Variables'!$B$76,+'5.Variables'!$G83,+IF(P$18='5.Variables'!$B$90,+'5.Variables'!$G97,+IF(P$18='5.Variables'!$B$104,+'5.Variables'!$G111,0))))))</f>
        <v>0</v>
      </c>
      <c r="Q84" s="245"/>
      <c r="R84" s="558">
        <f t="shared" si="1"/>
        <v>14929429.146077301</v>
      </c>
      <c r="S84" s="265"/>
      <c r="T84" s="245"/>
      <c r="U84" s="245"/>
      <c r="V84" s="245"/>
      <c r="W84" s="245"/>
      <c r="X84" s="245"/>
      <c r="Y84" s="245"/>
      <c r="Z84" s="245"/>
      <c r="AA84" s="245"/>
      <c r="AB84" s="245"/>
      <c r="AC84" s="245"/>
      <c r="AD84" s="245"/>
      <c r="AE84" s="245"/>
      <c r="AF84" s="245"/>
      <c r="AG84" s="245"/>
      <c r="AH84" s="245"/>
      <c r="AI84" s="245"/>
      <c r="AJ84" s="245"/>
      <c r="AK84" s="245"/>
      <c r="AL84" s="245"/>
      <c r="AM84" s="245"/>
    </row>
    <row r="85" spans="1:39" ht="13.5" customHeight="1" x14ac:dyDescent="0.2">
      <c r="A85" s="503">
        <f t="shared" si="2"/>
        <v>66</v>
      </c>
      <c r="B85" s="262" t="str">
        <f>CONCATENATE('3. Consumption by Rate Class'!B90,"-",'3. Consumption by Rate Class'!C90)</f>
        <v>2010-June</v>
      </c>
      <c r="C85" s="697">
        <v>14032949.92</v>
      </c>
      <c r="D85" s="703"/>
      <c r="E85" s="707"/>
      <c r="F85" s="703"/>
      <c r="G85" s="703"/>
      <c r="H85" s="704"/>
      <c r="I85" s="704"/>
      <c r="J85" s="263">
        <f t="shared" ref="J85:J139" si="8">SUM(C85:I85)</f>
        <v>14032949.92</v>
      </c>
      <c r="K85" s="725">
        <f>IF(K$18='5.Variables'!$B$16,+'5.Variables'!$H32,+IF(K$18='5.Variables'!$B$39,+'5.Variables'!$H55,+IF(K$18='5.Variables'!$B$62,+'5.Variables'!$H69,+IF(K$18='5.Variables'!$B$76,+'5.Variables'!$H83,+IF(K$18='5.Variables'!$B$90,+'5.Variables'!$H97,+IF(K$18='5.Variables'!$B$104,+'5.Variables'!$H111,0))))))</f>
        <v>37.6</v>
      </c>
      <c r="L85" s="725">
        <f>IF(L$18='5.Variables'!$B$16,+'5.Variables'!$H31,+IF(L$18='5.Variables'!$B$39,+'5.Variables'!$H55,+IF(L$18='5.Variables'!$B$62,+'5.Variables'!$H69,+IF(L$18='5.Variables'!$B$76,+'5.Variables'!$H83,+IF(L$18='5.Variables'!$B$90,+'5.Variables'!$H97,+IF(L$18='5.Variables'!$B$104,+'5.Variables'!$H111,0))))))</f>
        <v>33.4</v>
      </c>
      <c r="M85" s="725">
        <f>IF(M$18='5.Variables'!$B$16,+'5.Variables'!$H31,+IF(M$18='5.Variables'!$B$39,+'5.Variables'!$H55,+IF(M$18='5.Variables'!$B$62,+'5.Variables'!$H69,+IF(M$18='5.Variables'!$B$76,+'5.Variables'!$H83,+IF(M$18='5.Variables'!$B$90,+'5.Variables'!$H97,+IF(M$18='5.Variables'!$B$104,+'5.Variables'!$H111,0))))))</f>
        <v>0</v>
      </c>
      <c r="N85" s="725">
        <f>IF(N$18='5.Variables'!$B$16,+'5.Variables'!$H31,+IF(N$18='5.Variables'!$B$39,+'5.Variables'!$H55,+IF(N$18='5.Variables'!$B$62,+'5.Variables'!$H69,+IF(N$18='5.Variables'!$B$76,+'5.Variables'!$H83,+IF(N$18='5.Variables'!$B$90,+'5.Variables'!$H97,+IF(N$18='5.Variables'!$B$104,+'5.Variables'!$H111,0))))))</f>
        <v>0</v>
      </c>
      <c r="O85" s="725">
        <f>IF(O$18='5.Variables'!$B$16,+'5.Variables'!$H31,+IF(O$18='5.Variables'!$B$39,+'5.Variables'!$H55,+IF(O$18='5.Variables'!$B$62,+'5.Variables'!$H69,+IF(O$18='5.Variables'!$B$76,+'5.Variables'!$H83,+IF(O$18='5.Variables'!$B$90,+'5.Variables'!$H97,+IF(O$18='5.Variables'!$B$104,+'5.Variables'!$H111,0))))))</f>
        <v>30</v>
      </c>
      <c r="P85" s="725">
        <f>IF(P$18='5.Variables'!$B$16,+'5.Variables'!$H31,+IF(P$18='5.Variables'!$B$39,+'5.Variables'!$H55,+IF(P$18='5.Variables'!$B$62,+'5.Variables'!$H69,+IF(P$18='5.Variables'!$B$76,+'5.Variables'!$H83,+IF(P$18='5.Variables'!$B$90,+'5.Variables'!$H97,+IF(P$18='5.Variables'!$B$104,+'5.Variables'!$H111,0))))))</f>
        <v>0</v>
      </c>
      <c r="Q85" s="245"/>
      <c r="R85" s="558">
        <f t="shared" ref="R85:R148" si="9">$V$34+(K85*$V$35)+(L85*$V$36)+(M85*$V$37)+(N85*$V$38)+(O85*$V$39)</f>
        <v>14263944.217261869</v>
      </c>
      <c r="S85" s="265"/>
      <c r="T85" s="245"/>
      <c r="U85" s="245"/>
      <c r="V85" s="245"/>
      <c r="W85" s="245"/>
      <c r="X85" s="245"/>
      <c r="Y85" s="245"/>
      <c r="Z85" s="245"/>
      <c r="AA85" s="245"/>
      <c r="AB85" s="245"/>
      <c r="AC85" s="245"/>
      <c r="AD85" s="245"/>
      <c r="AE85" s="245"/>
      <c r="AF85" s="245"/>
      <c r="AG85" s="245"/>
      <c r="AH85" s="245"/>
      <c r="AI85" s="245"/>
      <c r="AJ85" s="245"/>
      <c r="AK85" s="245"/>
      <c r="AL85" s="245"/>
      <c r="AM85" s="245"/>
    </row>
    <row r="86" spans="1:39" x14ac:dyDescent="0.2">
      <c r="A86" s="503">
        <f t="shared" ref="A86:A149" si="10">+A85+1</f>
        <v>67</v>
      </c>
      <c r="B86" s="262" t="str">
        <f>CONCATENATE('3. Consumption by Rate Class'!B91,"-",'3. Consumption by Rate Class'!C91)</f>
        <v>2010-July</v>
      </c>
      <c r="C86" s="697">
        <v>17609345.43</v>
      </c>
      <c r="D86" s="703"/>
      <c r="E86" s="707"/>
      <c r="F86" s="703"/>
      <c r="G86" s="703"/>
      <c r="H86" s="704"/>
      <c r="I86" s="704"/>
      <c r="J86" s="263">
        <f t="shared" si="8"/>
        <v>17609345.43</v>
      </c>
      <c r="K86" s="725">
        <f>IF(K$18='5.Variables'!$B$16,+'5.Variables'!$I32,+IF(K$18='5.Variables'!$B$39,+'5.Variables'!$I55,+IF(K$18='5.Variables'!$B$62,+'5.Variables'!$I69,+IF(K$18='5.Variables'!$B$76,+'5.Variables'!$I83,+IF(K$18='5.Variables'!$B$90,+'5.Variables'!$I97,+IF(K$18='5.Variables'!$B$104,+'5.Variables'!$I111,0))))))</f>
        <v>4.5</v>
      </c>
      <c r="L86" s="725">
        <f>IF(L$18='5.Variables'!$B$16,+'5.Variables'!$I31,+IF(L$18='5.Variables'!$B$39,+'5.Variables'!$I55,+IF(L$18='5.Variables'!$B$62,+'5.Variables'!$I69,+IF(L$18='5.Variables'!$B$76,+'5.Variables'!$I83,+IF(L$18='5.Variables'!$B$90,+'5.Variables'!$I97,+IF(L$18='5.Variables'!$B$104,+'5.Variables'!$I111,0))))))</f>
        <v>150.80000000000001</v>
      </c>
      <c r="M86" s="725">
        <f>IF(M$18='5.Variables'!$B$16,+'5.Variables'!$I31,+IF(M$18='5.Variables'!$B$39,+'5.Variables'!$I55,+IF(M$18='5.Variables'!$B$62,+'5.Variables'!$I69,+IF(M$18='5.Variables'!$B$76,+'5.Variables'!$I83,+IF(M$18='5.Variables'!$B$90,+'5.Variables'!$I97,+IF(M$18='5.Variables'!$B$104,+'5.Variables'!$I111,0))))))</f>
        <v>0</v>
      </c>
      <c r="N86" s="725">
        <f>IF(N$18='5.Variables'!$B$16,+'5.Variables'!$I31,+IF(N$18='5.Variables'!$B$39,+'5.Variables'!$I55,+IF(N$18='5.Variables'!$B$62,+'5.Variables'!$I69,+IF(N$18='5.Variables'!$B$76,+'5.Variables'!$I83,+IF(N$18='5.Variables'!$B$90,+'5.Variables'!$I97,+IF(N$18='5.Variables'!$B$104,+'5.Variables'!$I111,0))))))</f>
        <v>1</v>
      </c>
      <c r="O86" s="725">
        <f>IF(O$18='5.Variables'!$B$16,+'5.Variables'!$I31,+IF(O$18='5.Variables'!$B$39,+'5.Variables'!$I55,+IF(O$18='5.Variables'!$B$62,+'5.Variables'!$I69,+IF(O$18='5.Variables'!$B$76,+'5.Variables'!$I83,+IF(O$18='5.Variables'!$B$90,+'5.Variables'!$I97,+IF(O$18='5.Variables'!$B$104,+'5.Variables'!$I111,0))))))</f>
        <v>31</v>
      </c>
      <c r="P86" s="725">
        <f>IF(P$18='5.Variables'!$B$16,+'5.Variables'!$I31,+IF(P$18='5.Variables'!$B$39,+'5.Variables'!$I55,+IF(P$18='5.Variables'!$B$62,+'5.Variables'!$I69,+IF(P$18='5.Variables'!$B$76,+'5.Variables'!$I83,+IF(P$18='5.Variables'!$B$90,+'5.Variables'!$I97,+IF(P$18='5.Variables'!$B$104,+'5.Variables'!$I111,0))))))</f>
        <v>0</v>
      </c>
      <c r="Q86" s="245"/>
      <c r="R86" s="558">
        <f t="shared" si="9"/>
        <v>17258125.332027052</v>
      </c>
      <c r="S86" s="265"/>
      <c r="T86" s="245"/>
      <c r="U86" s="245"/>
      <c r="V86" s="245"/>
      <c r="W86" s="245"/>
      <c r="X86" s="245"/>
      <c r="Y86" s="245"/>
      <c r="Z86" s="245"/>
      <c r="AA86" s="245"/>
      <c r="AB86" s="245"/>
      <c r="AC86" s="245"/>
      <c r="AD86" s="245"/>
      <c r="AE86" s="245"/>
      <c r="AF86" s="245"/>
      <c r="AG86" s="245"/>
      <c r="AH86" s="245"/>
      <c r="AI86" s="245"/>
      <c r="AJ86" s="245"/>
      <c r="AK86" s="245"/>
      <c r="AL86" s="245"/>
      <c r="AM86" s="245"/>
    </row>
    <row r="87" spans="1:39" x14ac:dyDescent="0.2">
      <c r="A87" s="503">
        <f t="shared" si="10"/>
        <v>68</v>
      </c>
      <c r="B87" s="262" t="str">
        <f>CONCATENATE('3. Consumption by Rate Class'!B92,"-",'3. Consumption by Rate Class'!C92)</f>
        <v>2010-August</v>
      </c>
      <c r="C87" s="697">
        <v>14962494.51</v>
      </c>
      <c r="D87" s="703"/>
      <c r="E87" s="707"/>
      <c r="F87" s="703"/>
      <c r="G87" s="703"/>
      <c r="H87" s="704"/>
      <c r="I87" s="704"/>
      <c r="J87" s="263">
        <f t="shared" si="8"/>
        <v>14962494.51</v>
      </c>
      <c r="K87" s="725">
        <f>IF(K$18='5.Variables'!$B$16,+'5.Variables'!$J32,+IF(K$18='5.Variables'!$B$39,+'5.Variables'!$J55,+IF(K$18='5.Variables'!$B$62,+'5.Variables'!$J69,+IF(K$18='5.Variables'!$B$76,+'5.Variables'!$J83,+IF(K$18='5.Variables'!$B$90,+'5.Variables'!$J97,+IF(K$18='5.Variables'!$B$104,+'5.Variables'!$J111,0))))))</f>
        <v>14.7</v>
      </c>
      <c r="L87" s="725">
        <f>IF(L$18='5.Variables'!$B$16,+'5.Variables'!$J31,+IF(L$18='5.Variables'!$B$39,+'5.Variables'!$J55,+IF(L$18='5.Variables'!$B$62,+'5.Variables'!$J69,+IF(L$18='5.Variables'!$B$76,+'5.Variables'!$J83,+IF(L$18='5.Variables'!$B$90,+'5.Variables'!$J97,+IF(L$18='5.Variables'!$B$104,+'5.Variables'!$J111,0))))))</f>
        <v>93</v>
      </c>
      <c r="M87" s="725">
        <f>IF(M$18='5.Variables'!$B$16,+'5.Variables'!$J31,+IF(M$18='5.Variables'!$B$39,+'5.Variables'!$J55,+IF(M$18='5.Variables'!$B$62,+'5.Variables'!$J69,+IF(M$18='5.Variables'!$B$76,+'5.Variables'!$J83,+IF(M$18='5.Variables'!$B$90,+'5.Variables'!$J97,+IF(M$18='5.Variables'!$B$104,+'5.Variables'!$J111,0))))))</f>
        <v>0</v>
      </c>
      <c r="N87" s="725">
        <f>IF(N$18='5.Variables'!$B$16,+'5.Variables'!$J31,+IF(N$18='5.Variables'!$B$39,+'5.Variables'!$J55,+IF(N$18='5.Variables'!$B$62,+'5.Variables'!$J69,+IF(N$18='5.Variables'!$B$76,+'5.Variables'!$J83,+IF(N$18='5.Variables'!$B$90,+'5.Variables'!$J97,+IF(N$18='5.Variables'!$B$104,+'5.Variables'!$J111,0))))))</f>
        <v>0</v>
      </c>
      <c r="O87" s="725">
        <f>IF(O$18='5.Variables'!$B$16,+'5.Variables'!$J31,+IF(O$18='5.Variables'!$B$39,+'5.Variables'!$J55,+IF(O$18='5.Variables'!$B$62,+'5.Variables'!$J69,+IF(O$18='5.Variables'!$B$76,+'5.Variables'!$J83,+IF(O$18='5.Variables'!$B$90,+'5.Variables'!$J97,+IF(O$18='5.Variables'!$B$104,+'5.Variables'!$J111,0))))))</f>
        <v>31</v>
      </c>
      <c r="P87" s="725">
        <f>IF(P$18='5.Variables'!$B$16,+'5.Variables'!$J31,+IF(P$18='5.Variables'!$B$39,+'5.Variables'!$J55,+IF(P$18='5.Variables'!$B$62,+'5.Variables'!$J69,+IF(P$18='5.Variables'!$B$76,+'5.Variables'!$J83,+IF(P$18='5.Variables'!$B$90,+'5.Variables'!$J97,+IF(P$18='5.Variables'!$B$104,+'5.Variables'!$J111,0))))))</f>
        <v>0</v>
      </c>
      <c r="Q87" s="245"/>
      <c r="R87" s="558">
        <f t="shared" si="9"/>
        <v>15740457.652564608</v>
      </c>
      <c r="S87" s="265"/>
      <c r="T87" s="245"/>
      <c r="U87" s="245"/>
      <c r="V87" s="245"/>
      <c r="W87" s="245"/>
      <c r="X87" s="245"/>
      <c r="Y87" s="245"/>
      <c r="Z87" s="245"/>
      <c r="AA87" s="245"/>
      <c r="AB87" s="245"/>
      <c r="AC87" s="245"/>
      <c r="AD87" s="245"/>
      <c r="AE87" s="245"/>
      <c r="AF87" s="245"/>
      <c r="AG87" s="245"/>
      <c r="AH87" s="245"/>
      <c r="AI87" s="245"/>
      <c r="AJ87" s="245"/>
      <c r="AK87" s="245"/>
      <c r="AL87" s="245"/>
      <c r="AM87" s="245"/>
    </row>
    <row r="88" spans="1:39" x14ac:dyDescent="0.2">
      <c r="A88" s="503">
        <f t="shared" si="10"/>
        <v>69</v>
      </c>
      <c r="B88" s="262" t="str">
        <f>CONCATENATE('3. Consumption by Rate Class'!B93,"-",'3. Consumption by Rate Class'!C93)</f>
        <v>2010-September</v>
      </c>
      <c r="C88" s="697">
        <v>13562494.850000001</v>
      </c>
      <c r="D88" s="703"/>
      <c r="E88" s="707"/>
      <c r="F88" s="703"/>
      <c r="G88" s="703"/>
      <c r="H88" s="704"/>
      <c r="I88" s="704"/>
      <c r="J88" s="263">
        <f t="shared" si="8"/>
        <v>13562494.850000001</v>
      </c>
      <c r="K88" s="725">
        <f>IF(K$18='5.Variables'!$B$16,+'5.Variables'!$K32,+IF(K$18='5.Variables'!$B$39,+'5.Variables'!$K55,+IF(K$18='5.Variables'!$B$62,+'5.Variables'!$K69,+IF(K$18='5.Variables'!$B$76,+'5.Variables'!$K83,+IF(K$18='5.Variables'!$B$90,+'5.Variables'!$K97,+IF(K$18='5.Variables'!$B$104,+'5.Variables'!$K111,0))))))</f>
        <v>112</v>
      </c>
      <c r="L88" s="725">
        <f>IF(L$18='5.Variables'!$B$16,+'5.Variables'!$K31,+IF(L$18='5.Variables'!$B$39,+'5.Variables'!$K55,+IF(L$18='5.Variables'!$B$62,+'5.Variables'!$K69,+IF(L$18='5.Variables'!$B$76,+'5.Variables'!$K83,+IF(L$18='5.Variables'!$B$90,+'5.Variables'!$K97,+IF(L$18='5.Variables'!$B$104,+'5.Variables'!$K111,0))))))</f>
        <v>26.2</v>
      </c>
      <c r="M88" s="725">
        <f>IF(M$18='5.Variables'!$B$16,+'5.Variables'!$K31,+IF(M$18='5.Variables'!$B$39,+'5.Variables'!$K55,+IF(M$18='5.Variables'!$B$62,+'5.Variables'!$K69,+IF(M$18='5.Variables'!$B$76,+'5.Variables'!$K83,+IF(M$18='5.Variables'!$B$90,+'5.Variables'!$K97,+IF(M$18='5.Variables'!$B$104,+'5.Variables'!$K111,0))))))</f>
        <v>0</v>
      </c>
      <c r="N88" s="725">
        <f>IF(N$18='5.Variables'!$B$16,+'5.Variables'!$K31,+IF(N$18='5.Variables'!$B$39,+'5.Variables'!$K55,+IF(N$18='5.Variables'!$B$62,+'5.Variables'!$K69,+IF(N$18='5.Variables'!$B$76,+'5.Variables'!$K83,+IF(N$18='5.Variables'!$B$90,+'5.Variables'!$K97,+IF(N$18='5.Variables'!$B$104,+'5.Variables'!$K111,0))))))</f>
        <v>0</v>
      </c>
      <c r="O88" s="725">
        <f>IF(O$18='5.Variables'!$B$16,+'5.Variables'!$K31,+IF(O$18='5.Variables'!$B$39,+'5.Variables'!$K55,+IF(O$18='5.Variables'!$B$62,+'5.Variables'!$K69,+IF(O$18='5.Variables'!$B$76,+'5.Variables'!$K83,+IF(O$18='5.Variables'!$B$90,+'5.Variables'!$K97,+IF(O$18='5.Variables'!$B$104,+'5.Variables'!$K111,0))))))</f>
        <v>30</v>
      </c>
      <c r="P88" s="725">
        <f>IF(P$18='5.Variables'!$B$16,+'5.Variables'!$K31,+IF(P$18='5.Variables'!$B$39,+'5.Variables'!$K55,+IF(P$18='5.Variables'!$B$62,+'5.Variables'!$K69,+IF(P$18='5.Variables'!$B$76,+'5.Variables'!$K83,+IF(P$18='5.Variables'!$B$90,+'5.Variables'!$K97,+IF(P$18='5.Variables'!$B$104,+'5.Variables'!$K111,0))))))</f>
        <v>0</v>
      </c>
      <c r="Q88" s="245"/>
      <c r="R88" s="558">
        <f t="shared" si="9"/>
        <v>14597079.01477108</v>
      </c>
      <c r="S88" s="265"/>
      <c r="T88" s="245"/>
      <c r="U88" s="245"/>
      <c r="V88" s="245"/>
      <c r="W88" s="245"/>
      <c r="X88" s="245"/>
      <c r="Y88" s="245"/>
      <c r="Z88" s="245"/>
      <c r="AA88" s="245"/>
      <c r="AB88" s="245"/>
      <c r="AC88" s="245"/>
      <c r="AD88" s="245"/>
      <c r="AE88" s="245"/>
      <c r="AF88" s="245"/>
      <c r="AG88" s="245"/>
      <c r="AH88" s="245"/>
      <c r="AI88" s="245"/>
      <c r="AJ88" s="245"/>
      <c r="AK88" s="245"/>
      <c r="AL88" s="245"/>
      <c r="AM88" s="245"/>
    </row>
    <row r="89" spans="1:39" x14ac:dyDescent="0.2">
      <c r="A89" s="503">
        <f t="shared" si="10"/>
        <v>70</v>
      </c>
      <c r="B89" s="262" t="str">
        <f>CONCATENATE('3. Consumption by Rate Class'!B94,"-",'3. Consumption by Rate Class'!C94)</f>
        <v>2010-October</v>
      </c>
      <c r="C89" s="697">
        <v>15412186.68</v>
      </c>
      <c r="D89" s="703"/>
      <c r="E89" s="707"/>
      <c r="F89" s="703"/>
      <c r="G89" s="703"/>
      <c r="H89" s="704"/>
      <c r="I89" s="704"/>
      <c r="J89" s="263">
        <f t="shared" si="8"/>
        <v>15412186.68</v>
      </c>
      <c r="K89" s="725">
        <f>IF(K$18='5.Variables'!$B$16,+'5.Variables'!$L32,+IF(K$18='5.Variables'!$B$39,+'5.Variables'!$L55,+IF(K$18='5.Variables'!$B$62,+'5.Variables'!$L69,+IF(K$18='5.Variables'!$B$76,+'5.Variables'!$L83,+IF(K$18='5.Variables'!$B$90,+'5.Variables'!$L97,+IF(K$18='5.Variables'!$B$104,+'5.Variables'!$L111,0))))))</f>
        <v>311</v>
      </c>
      <c r="L89" s="725">
        <f>IF(L$18='5.Variables'!$B$16,+'5.Variables'!$L31,+IF(L$18='5.Variables'!$B$39,+'5.Variables'!$L55,+IF(L$18='5.Variables'!$B$62,+'5.Variables'!$L69,+IF(L$18='5.Variables'!$B$76,+'5.Variables'!$L83,+IF(L$18='5.Variables'!$B$90,+'5.Variables'!$L97,+IF(L$18='5.Variables'!$B$104,+'5.Variables'!$L111,0))))))</f>
        <v>0</v>
      </c>
      <c r="M89" s="725">
        <f>IF(M$18='5.Variables'!$B$16,+'5.Variables'!$L31,+IF(M$18='5.Variables'!$B$39,+'5.Variables'!$L55,+IF(M$18='5.Variables'!$B$62,+'5.Variables'!$L69,+IF(M$18='5.Variables'!$B$76,+'5.Variables'!$L83,+IF(M$18='5.Variables'!$B$90,+'5.Variables'!$L97,+IF(M$18='5.Variables'!$B$104,+'5.Variables'!$L111,0))))))</f>
        <v>0</v>
      </c>
      <c r="N89" s="725">
        <f>IF(N$18='5.Variables'!$B$16,+'5.Variables'!$L31,+IF(N$18='5.Variables'!$B$39,+'5.Variables'!$L55,+IF(N$18='5.Variables'!$B$62,+'5.Variables'!$L69,+IF(N$18='5.Variables'!$B$76,+'5.Variables'!$L83,+IF(N$18='5.Variables'!$B$90,+'5.Variables'!$L97,+IF(N$18='5.Variables'!$B$104,+'5.Variables'!$L111,0))))))</f>
        <v>0</v>
      </c>
      <c r="O89" s="725">
        <f>IF(O$18='5.Variables'!$B$16,+'5.Variables'!$L31,+IF(O$18='5.Variables'!$B$39,+'5.Variables'!$L55,+IF(O$18='5.Variables'!$B$62,+'5.Variables'!$L69,+IF(O$18='5.Variables'!$B$76,+'5.Variables'!$L83,+IF(O$18='5.Variables'!$B$90,+'5.Variables'!$L97,+IF(O$18='5.Variables'!$B$104,+'5.Variables'!$L111,0))))))</f>
        <v>31</v>
      </c>
      <c r="P89" s="725">
        <f>IF(P$18='5.Variables'!$B$16,+'5.Variables'!$L31,+IF(P$18='5.Variables'!$B$39,+'5.Variables'!$L55,+IF(P$18='5.Variables'!$B$62,+'5.Variables'!$L69,+IF(P$18='5.Variables'!$B$76,+'5.Variables'!$L83,+IF(P$18='5.Variables'!$B$90,+'5.Variables'!$L97,+IF(P$18='5.Variables'!$B$104,+'5.Variables'!$L111,0))))))</f>
        <v>0</v>
      </c>
      <c r="Q89" s="245"/>
      <c r="R89" s="558">
        <f t="shared" si="9"/>
        <v>15297101.518730335</v>
      </c>
      <c r="S89" s="265"/>
      <c r="T89" s="245"/>
      <c r="U89" s="245"/>
      <c r="V89" s="245"/>
      <c r="W89" s="245"/>
      <c r="X89" s="245"/>
      <c r="Y89" s="245"/>
      <c r="Z89" s="245"/>
      <c r="AA89" s="245"/>
      <c r="AB89" s="245"/>
      <c r="AC89" s="245"/>
      <c r="AD89" s="245"/>
      <c r="AE89" s="245"/>
      <c r="AF89" s="245"/>
      <c r="AG89" s="245"/>
      <c r="AH89" s="245"/>
      <c r="AI89" s="245"/>
      <c r="AJ89" s="245"/>
      <c r="AK89" s="245"/>
      <c r="AL89" s="245"/>
      <c r="AM89" s="245"/>
    </row>
    <row r="90" spans="1:39" x14ac:dyDescent="0.2">
      <c r="A90" s="503">
        <f t="shared" si="10"/>
        <v>71</v>
      </c>
      <c r="B90" s="262" t="str">
        <f>CONCATENATE('3. Consumption by Rate Class'!B95,"-",'3. Consumption by Rate Class'!C95)</f>
        <v>2010-November</v>
      </c>
      <c r="C90" s="697">
        <v>16686329.729999999</v>
      </c>
      <c r="D90" s="703"/>
      <c r="E90" s="707"/>
      <c r="F90" s="703"/>
      <c r="G90" s="703"/>
      <c r="H90" s="704"/>
      <c r="I90" s="704"/>
      <c r="J90" s="263">
        <f t="shared" si="8"/>
        <v>16686329.729999999</v>
      </c>
      <c r="K90" s="725">
        <f>IF(K$18='5.Variables'!$B$16,+'5.Variables'!$M32,+IF(K$18='5.Variables'!$B$39,+'5.Variables'!$M55,+IF(K$18='5.Variables'!$B$62,+'5.Variables'!$M69,+IF(K$18='5.Variables'!$B$76,+'5.Variables'!$M83,+IF(K$18='5.Variables'!$B$90,+'5.Variables'!$M97,+IF(K$18='5.Variables'!$B$104,+'5.Variables'!$M111,0))))))</f>
        <v>491.6</v>
      </c>
      <c r="L90" s="725">
        <f>IF(L$18='5.Variables'!$B$16,+'5.Variables'!$M31,+IF(L$18='5.Variables'!$B$39,+'5.Variables'!$M55,+IF(L$18='5.Variables'!$B$62,+'5.Variables'!$M69,+IF(L$18='5.Variables'!$B$76,+'5.Variables'!$M83,+IF(L$18='5.Variables'!$B$90,+'5.Variables'!$M97,+IF(L$18='5.Variables'!$B$104,+'5.Variables'!$M111,0))))))</f>
        <v>0</v>
      </c>
      <c r="M90" s="725">
        <f>IF(M$18='5.Variables'!$B$16,+'5.Variables'!$M31,+IF(M$18='5.Variables'!$B$39,+'5.Variables'!$M55,+IF(M$18='5.Variables'!$B$62,+'5.Variables'!$M69,+IF(M$18='5.Variables'!$B$76,+'5.Variables'!$M83,+IF(M$18='5.Variables'!$B$90,+'5.Variables'!$M97,+IF(M$18='5.Variables'!$B$104,+'5.Variables'!$M111,0))))))</f>
        <v>0</v>
      </c>
      <c r="N90" s="725">
        <f>IF(N$18='5.Variables'!$B$16,+'5.Variables'!$M31,+IF(N$18='5.Variables'!$B$39,+'5.Variables'!$M55,+IF(N$18='5.Variables'!$B$62,+'5.Variables'!$M69,+IF(N$18='5.Variables'!$B$76,+'5.Variables'!$M83,+IF(N$18='5.Variables'!$B$90,+'5.Variables'!$M97,+IF(N$18='5.Variables'!$B$104,+'5.Variables'!$M111,0))))))</f>
        <v>0</v>
      </c>
      <c r="O90" s="725">
        <f>IF(O$18='5.Variables'!$B$16,+'5.Variables'!$M31,+IF(O$18='5.Variables'!$B$39,+'5.Variables'!$M55,+IF(O$18='5.Variables'!$B$62,+'5.Variables'!$M69,+IF(O$18='5.Variables'!$B$76,+'5.Variables'!$M83,+IF(O$18='5.Variables'!$B$90,+'5.Variables'!$M97,+IF(O$18='5.Variables'!$B$104,+'5.Variables'!$M111,0))))))</f>
        <v>30</v>
      </c>
      <c r="P90" s="725">
        <f>IF(P$18='5.Variables'!$B$16,+'5.Variables'!$M31,+IF(P$18='5.Variables'!$B$39,+'5.Variables'!$M55,+IF(P$18='5.Variables'!$B$62,+'5.Variables'!$M69,+IF(P$18='5.Variables'!$B$76,+'5.Variables'!$M83,+IF(P$18='5.Variables'!$B$90,+'5.Variables'!$M97,+IF(P$18='5.Variables'!$B$104,+'5.Variables'!$M111,0))))))</f>
        <v>0</v>
      </c>
      <c r="Q90" s="245"/>
      <c r="R90" s="558">
        <f t="shared" si="9"/>
        <v>16586691.283526599</v>
      </c>
      <c r="S90" s="265"/>
      <c r="T90" s="245"/>
      <c r="U90" s="245"/>
      <c r="V90" s="245"/>
      <c r="W90" s="245"/>
      <c r="X90" s="245"/>
      <c r="Y90" s="245"/>
      <c r="Z90" s="245"/>
      <c r="AA90" s="245"/>
      <c r="AB90" s="245"/>
      <c r="AC90" s="245"/>
      <c r="AD90" s="245"/>
      <c r="AE90" s="245"/>
      <c r="AF90" s="245"/>
      <c r="AG90" s="245"/>
      <c r="AH90" s="245"/>
      <c r="AI90" s="245"/>
      <c r="AJ90" s="245"/>
      <c r="AK90" s="245"/>
      <c r="AL90" s="245"/>
      <c r="AM90" s="245"/>
    </row>
    <row r="91" spans="1:39" x14ac:dyDescent="0.2">
      <c r="A91" s="503">
        <f t="shared" si="10"/>
        <v>72</v>
      </c>
      <c r="B91" s="522" t="str">
        <f>CONCATENATE('3. Consumption by Rate Class'!B96,"-",'3. Consumption by Rate Class'!C96)</f>
        <v>2010-December</v>
      </c>
      <c r="C91" s="698">
        <v>20238954.513</v>
      </c>
      <c r="D91" s="705"/>
      <c r="E91" s="705"/>
      <c r="F91" s="705"/>
      <c r="G91" s="705"/>
      <c r="H91" s="706"/>
      <c r="I91" s="706"/>
      <c r="J91" s="263">
        <f t="shared" si="8"/>
        <v>20238954.513</v>
      </c>
      <c r="K91" s="725">
        <f>IF(K$18='5.Variables'!$B$16,+'5.Variables'!$N32,+IF(K$18='5.Variables'!$B$39,+'5.Variables'!$N55,+IF(K$18='5.Variables'!$B$62,+'5.Variables'!$N69,+IF(K$18='5.Variables'!$B$76,+'5.Variables'!$N83,+IF(K$18='5.Variables'!$B$90,+'5.Variables'!$N97,+IF(K$18='5.Variables'!$B$104,+'5.Variables'!$N111,0))))))</f>
        <v>731.4</v>
      </c>
      <c r="L91" s="725">
        <f>IF(L$18='5.Variables'!$B$16,+'5.Variables'!$N31,+IF(L$18='5.Variables'!$B$39,+'5.Variables'!$N55,+IF(L$18='5.Variables'!$B$62,+'5.Variables'!$N69,+IF(L$18='5.Variables'!$B$76,+'5.Variables'!$N83,+IF(L$18='5.Variables'!$B$90,+'5.Variables'!$N97,+IF(L$18='5.Variables'!$B$104,+'5.Variables'!$N111,0))))))</f>
        <v>0</v>
      </c>
      <c r="M91" s="725">
        <f>IF(M$18='5.Variables'!$B$16,+'5.Variables'!$N31,+IF(M$18='5.Variables'!$B$39,+'5.Variables'!$N55,+IF(M$18='5.Variables'!$B$62,+'5.Variables'!$N69,+IF(M$18='5.Variables'!$B$76,+'5.Variables'!$N83,+IF(M$18='5.Variables'!$B$90,+'5.Variables'!$N97,+IF(M$18='5.Variables'!$B$104,+'5.Variables'!$N111,0))))))</f>
        <v>1</v>
      </c>
      <c r="N91" s="725">
        <f>IF(N$18='5.Variables'!$B$16,+'5.Variables'!$N31,+IF(N$18='5.Variables'!$B$39,+'5.Variables'!$N55,+IF(N$18='5.Variables'!$B$62,+'5.Variables'!$N69,+IF(N$18='5.Variables'!$B$76,+'5.Variables'!$N83,+IF(N$18='5.Variables'!$B$90,+'5.Variables'!$N97,+IF(N$18='5.Variables'!$B$104,+'5.Variables'!$N111,0))))))</f>
        <v>1</v>
      </c>
      <c r="O91" s="725">
        <f>IF(O$18='5.Variables'!$B$16,+'5.Variables'!$N31,+IF(O$18='5.Variables'!$B$39,+'5.Variables'!$N55,+IF(O$18='5.Variables'!$B$62,+'5.Variables'!$N69,+IF(O$18='5.Variables'!$B$76,+'5.Variables'!$N83,+IF(O$18='5.Variables'!$B$90,+'5.Variables'!$N97,+IF(O$18='5.Variables'!$B$104,+'5.Variables'!$N111,0))))))</f>
        <v>31</v>
      </c>
      <c r="P91" s="725">
        <f>IF(P$18='5.Variables'!$B$16,+'5.Variables'!$N31,+IF(P$18='5.Variables'!$B$39,+'5.Variables'!$N55,+IF(P$18='5.Variables'!$B$62,+'5.Variables'!$N69,+IF(P$18='5.Variables'!$B$76,+'5.Variables'!$N83,+IF(P$18='5.Variables'!$B$90,+'5.Variables'!$N97,+IF(P$18='5.Variables'!$B$104,+'5.Variables'!$N111,0))))))</f>
        <v>0</v>
      </c>
      <c r="Q91" s="245"/>
      <c r="R91" s="558">
        <f t="shared" si="9"/>
        <v>19773951.939838804</v>
      </c>
      <c r="S91" s="265">
        <f>SUM(R80:R91)</f>
        <v>199197021.01412955</v>
      </c>
      <c r="T91" s="245"/>
      <c r="U91" s="245"/>
      <c r="V91" s="245"/>
      <c r="W91" s="245"/>
      <c r="X91" s="245"/>
      <c r="Y91" s="245"/>
      <c r="Z91" s="245"/>
      <c r="AA91" s="245"/>
      <c r="AB91" s="245"/>
      <c r="AC91" s="245"/>
      <c r="AD91" s="245"/>
      <c r="AE91" s="245"/>
      <c r="AF91" s="245"/>
      <c r="AG91" s="245"/>
      <c r="AH91" s="245"/>
      <c r="AI91" s="245"/>
      <c r="AJ91" s="245"/>
      <c r="AK91" s="245"/>
      <c r="AL91" s="245"/>
      <c r="AM91" s="245"/>
    </row>
    <row r="92" spans="1:39" x14ac:dyDescent="0.2">
      <c r="A92" s="503">
        <f t="shared" si="10"/>
        <v>73</v>
      </c>
      <c r="B92" s="262" t="str">
        <f>CONCATENATE('3. Consumption by Rate Class'!B97,"-",'3. Consumption by Rate Class'!C97)</f>
        <v>2011-January</v>
      </c>
      <c r="C92" s="697">
        <v>21239545.866999999</v>
      </c>
      <c r="D92" s="703"/>
      <c r="E92" s="707"/>
      <c r="F92" s="707"/>
      <c r="G92" s="703"/>
      <c r="H92" s="704"/>
      <c r="I92" s="704"/>
      <c r="J92" s="263">
        <f t="shared" si="8"/>
        <v>21239545.866999999</v>
      </c>
      <c r="K92" s="725">
        <f>IF(K$18='5.Variables'!$B$16,+'5.Variables'!$C33,+IF(K$18='5.Variables'!$B$39,+'5.Variables'!$C56,+IF(K$18='5.Variables'!$B$62,+'5.Variables'!$C70,+IF(K$18='5.Variables'!$B$76,+'5.Variables'!$C84,+IF(K$18='5.Variables'!$B$90,+'5.Variables'!$C98,+IF(K$18='5.Variables'!$B$104,+'5.Variables'!$C112,0))))))</f>
        <v>888.7</v>
      </c>
      <c r="L92" s="725">
        <f>IF(L$18='5.Variables'!$B$16,+'5.Variables'!$C32,+IF(L$18='5.Variables'!$B$39,+'5.Variables'!$C56,+IF(L$18='5.Variables'!$B$62,+'5.Variables'!$C70,+IF(L$18='5.Variables'!$B$76,+'5.Variables'!$C84,+IF(L$18='5.Variables'!$B$90,+'5.Variables'!$C98,+IF(L$18='5.Variables'!$B$104,+'5.Variables'!$C112,0))))))</f>
        <v>0</v>
      </c>
      <c r="M92" s="725">
        <f>IF(M$18='5.Variables'!$B$16,+'5.Variables'!$C32,+IF(M$18='5.Variables'!$B$39,+'5.Variables'!$C56,+IF(M$18='5.Variables'!$B$62,+'5.Variables'!$C70,+IF(M$18='5.Variables'!$B$76,+'5.Variables'!$C84,+IF(M$18='5.Variables'!$B$90,+'5.Variables'!$C98,+IF(M$18='5.Variables'!$B$104,+'5.Variables'!$C112,0))))))</f>
        <v>1</v>
      </c>
      <c r="N92" s="725">
        <f>IF(N$18='5.Variables'!$B$16,+'5.Variables'!$C32,+IF(N$18='5.Variables'!$B$39,+'5.Variables'!$C56,+IF(N$18='5.Variables'!$B$62,+'5.Variables'!$C70,+IF(N$18='5.Variables'!$B$76,+'5.Variables'!$C84,+IF(N$18='5.Variables'!$B$90,+'5.Variables'!$C98,+IF(N$18='5.Variables'!$B$104,+'5.Variables'!$C112,0))))))</f>
        <v>1</v>
      </c>
      <c r="O92" s="725">
        <f>IF(O$18='5.Variables'!$B$16,+'5.Variables'!$C32,+IF(O$18='5.Variables'!$B$39,+'5.Variables'!$C56,+IF(O$18='5.Variables'!$B$62,+'5.Variables'!$C70,+IF(O$18='5.Variables'!$B$76,+'5.Variables'!$C84,+IF(O$18='5.Variables'!$B$90,+'5.Variables'!$C98,+IF(O$18='5.Variables'!$B$104,+'5.Variables'!$C112,0))))))</f>
        <v>31</v>
      </c>
      <c r="P92" s="725">
        <f>IF(P$18='5.Variables'!$B$16,+'5.Variables'!$C32,+IF(P$18='5.Variables'!$B$39,+'5.Variables'!$C56,+IF(P$18='5.Variables'!$B$62,+'5.Variables'!$C70,+IF(P$18='5.Variables'!$B$76,+'5.Variables'!$C84,+IF(P$18='5.Variables'!$B$90,+'5.Variables'!$C98,+IF(P$18='5.Variables'!$B$104,+'5.Variables'!$C112,0))))))</f>
        <v>0</v>
      </c>
      <c r="Q92" s="245"/>
      <c r="R92" s="558">
        <f t="shared" si="9"/>
        <v>20897166.059453711</v>
      </c>
      <c r="S92" s="265"/>
      <c r="T92" s="245"/>
      <c r="U92" s="245"/>
      <c r="V92" s="245"/>
      <c r="W92" s="245"/>
      <c r="X92" s="245"/>
      <c r="Y92" s="245"/>
      <c r="Z92" s="245"/>
      <c r="AA92" s="245"/>
      <c r="AB92" s="245"/>
      <c r="AC92" s="245"/>
      <c r="AD92" s="245"/>
      <c r="AE92" s="245"/>
      <c r="AF92" s="245"/>
      <c r="AG92" s="245"/>
      <c r="AH92" s="245"/>
      <c r="AI92" s="245"/>
      <c r="AJ92" s="245"/>
      <c r="AK92" s="245"/>
      <c r="AL92" s="245"/>
      <c r="AM92" s="245"/>
    </row>
    <row r="93" spans="1:39" x14ac:dyDescent="0.2">
      <c r="A93" s="503">
        <f t="shared" si="10"/>
        <v>74</v>
      </c>
      <c r="B93" s="262" t="str">
        <f>CONCATENATE('3. Consumption by Rate Class'!B98,"-",'3. Consumption by Rate Class'!C98)</f>
        <v>2011-February</v>
      </c>
      <c r="C93" s="697">
        <v>18549948.033</v>
      </c>
      <c r="D93" s="703"/>
      <c r="E93" s="707"/>
      <c r="F93" s="707"/>
      <c r="G93" s="703"/>
      <c r="H93" s="704"/>
      <c r="I93" s="704"/>
      <c r="J93" s="263">
        <f t="shared" si="8"/>
        <v>18549948.033</v>
      </c>
      <c r="K93" s="725">
        <f>IF(K$18='5.Variables'!$B$16,+'5.Variables'!$D33+IF(K$18='5.Variables'!$B$39,+'5.Variables'!$D56,+IF(K$18='5.Variables'!$B$62,+'5.Variables'!$D70,+IF(K$18='5.Variables'!$B$76,+'5.Variables'!$D84,+IF(K$18='5.Variables'!$B$90,+'5.Variables'!$D98,+IF(K$18='5.Variables'!$B$104,+'5.Variables'!$D112,0))))))</f>
        <v>731.6</v>
      </c>
      <c r="L93" s="725">
        <f>IF(L$18='5.Variables'!$B$16,+'5.Variables'!$D32,+IF(L$18='5.Variables'!$B$39,+'5.Variables'!$D56,+IF(L$18='5.Variables'!$B$62,+'5.Variables'!$D70,+IF(L$18='5.Variables'!$B$76,+'5.Variables'!$D84,+IF(L$18='5.Variables'!$B$90,+'5.Variables'!$D98,+IF(L$18='5.Variables'!$B$104,+'5.Variables'!$D112,0))))))</f>
        <v>0</v>
      </c>
      <c r="M93" s="725">
        <f>IF(M$18='5.Variables'!$B$16,+'5.Variables'!$D32,+IF(M$18='5.Variables'!$B$39,+'5.Variables'!$D56,+IF(M$18='5.Variables'!$B$62,+'5.Variables'!$D70,+IF(M$18='5.Variables'!$B$76,+'5.Variables'!$D84,+IF(M$18='5.Variables'!$B$90,+'5.Variables'!$D98,+IF(M$18='5.Variables'!$B$104,+'5.Variables'!$D112,0))))))</f>
        <v>1</v>
      </c>
      <c r="N93" s="725">
        <f>IF(N$18='5.Variables'!$B$16,+'5.Variables'!$D32,+IF(N$18='5.Variables'!$B$39,+'5.Variables'!$D56,+IF(N$18='5.Variables'!$B$62,+'5.Variables'!$D70,+IF(N$18='5.Variables'!$B$76,+'5.Variables'!$D84,+IF(N$18='5.Variables'!$B$90,+'5.Variables'!$D98,+IF(N$18='5.Variables'!$B$104,+'5.Variables'!$D112,0))))))</f>
        <v>0</v>
      </c>
      <c r="O93" s="725">
        <f>IF(O$18='5.Variables'!$B$16,+'5.Variables'!$D32,+IF(O$18='5.Variables'!$B$39,+'5.Variables'!$D56,+IF(O$18='5.Variables'!$B$62,+'5.Variables'!$D70,+IF(O$18='5.Variables'!$B$76,+'5.Variables'!$D84,+IF(O$18='5.Variables'!$B$90,+'5.Variables'!$D98,+IF(O$18='5.Variables'!$B$104,+'5.Variables'!$D112,0))))))</f>
        <v>28</v>
      </c>
      <c r="P93" s="725">
        <f>IF(P$18='5.Variables'!$B$16,+'5.Variables'!$D32,+IF(P$18='5.Variables'!$B$39,+'5.Variables'!$D56,+IF(P$18='5.Variables'!$B$62,+'5.Variables'!$D70,+IF(P$18='5.Variables'!$B$76,+'5.Variables'!$D84,+IF(P$18='5.Variables'!$B$90,+'5.Variables'!$D98,+IF(P$18='5.Variables'!$B$104,+'5.Variables'!$D112,0))))))</f>
        <v>0</v>
      </c>
      <c r="Q93" s="245"/>
      <c r="R93" s="558">
        <f t="shared" si="9"/>
        <v>19775380.056964826</v>
      </c>
      <c r="S93" s="265"/>
      <c r="T93" s="245"/>
      <c r="U93" s="245"/>
      <c r="V93" s="245"/>
      <c r="W93" s="245"/>
      <c r="X93" s="245"/>
      <c r="Y93" s="245"/>
      <c r="Z93" s="245"/>
      <c r="AA93" s="245"/>
      <c r="AB93" s="245"/>
      <c r="AC93" s="245"/>
      <c r="AD93" s="245"/>
      <c r="AE93" s="245"/>
      <c r="AF93" s="245"/>
      <c r="AG93" s="245"/>
      <c r="AH93" s="245"/>
      <c r="AI93" s="245"/>
      <c r="AJ93" s="245"/>
      <c r="AK93" s="245"/>
      <c r="AL93" s="245"/>
      <c r="AM93" s="245"/>
    </row>
    <row r="94" spans="1:39" x14ac:dyDescent="0.2">
      <c r="A94" s="503">
        <f t="shared" si="10"/>
        <v>75</v>
      </c>
      <c r="B94" s="262" t="str">
        <f>CONCATENATE('3. Consumption by Rate Class'!B99,"-",'3. Consumption by Rate Class'!C99)</f>
        <v>2011-March</v>
      </c>
      <c r="C94" s="697">
        <v>17502908.710000001</v>
      </c>
      <c r="D94" s="703"/>
      <c r="E94" s="707"/>
      <c r="F94" s="707"/>
      <c r="G94" s="703"/>
      <c r="H94" s="704"/>
      <c r="I94" s="704"/>
      <c r="J94" s="263">
        <f t="shared" si="8"/>
        <v>17502908.710000001</v>
      </c>
      <c r="K94" s="725">
        <f>IF(K$18='5.Variables'!$B$16,+'5.Variables'!$E33,+IF(K$18='5.Variables'!$B$39,+'5.Variables'!$E56,+IF(K$18='5.Variables'!$B$62,+'5.Variables'!$E70,+IF(K$18='5.Variables'!$B$76,+'5.Variables'!$E84,+IF(K$18='5.Variables'!$B$90,+'5.Variables'!$E98,+IF(K$18='5.Variables'!$B$104,+'5.Variables'!$E112,0))))))</f>
        <v>634.6</v>
      </c>
      <c r="L94" s="725">
        <f>IF(L$18='5.Variables'!$B$16,+'5.Variables'!$E32,+IF(L$18='5.Variables'!$B$39,+'5.Variables'!$E56,+IF(L$18='5.Variables'!$B$62,+'5.Variables'!$E70,+IF(L$18='5.Variables'!$B$76,+'5.Variables'!$E84,+IF(L$18='5.Variables'!$B$90,+'5.Variables'!$E98,+IF(L$18='5.Variables'!$B$104,+'5.Variables'!$E112,0))))))</f>
        <v>0</v>
      </c>
      <c r="M94" s="725">
        <f>IF(M$18='5.Variables'!$B$16,+'5.Variables'!$E32,+IF(M$18='5.Variables'!$B$39,+'5.Variables'!$E56,+IF(M$18='5.Variables'!$B$62,+'5.Variables'!$E70,+IF(M$18='5.Variables'!$B$76,+'5.Variables'!$E84,+IF(M$18='5.Variables'!$B$90,+'5.Variables'!$E98,+IF(M$18='5.Variables'!$B$104,+'5.Variables'!$E112,0))))))</f>
        <v>0</v>
      </c>
      <c r="N94" s="725">
        <f>IF(N$18='5.Variables'!$B$16,+'5.Variables'!$E32,+IF(N$18='5.Variables'!$B$39,+'5.Variables'!$E56,+IF(N$18='5.Variables'!$B$62,+'5.Variables'!$E70,+IF(N$18='5.Variables'!$B$76,+'5.Variables'!$E84,+IF(N$18='5.Variables'!$B$90,+'5.Variables'!$E98,+IF(N$18='5.Variables'!$B$104,+'5.Variables'!$E112,0))))))</f>
        <v>1</v>
      </c>
      <c r="O94" s="725">
        <f>IF(O$18='5.Variables'!$B$16,+'5.Variables'!$E32,+IF(O$18='5.Variables'!$B$39,+'5.Variables'!$E56,+IF(O$18='5.Variables'!$B$62,+'5.Variables'!$E70,+IF(O$18='5.Variables'!$B$76,+'5.Variables'!$E84,+IF(O$18='5.Variables'!$B$90,+'5.Variables'!$E98,+IF(O$18='5.Variables'!$B$104,+'5.Variables'!$E112,0))))))</f>
        <v>31</v>
      </c>
      <c r="P94" s="725">
        <f>IF(P$18='5.Variables'!$B$16,+'5.Variables'!$E32,+IF(P$18='5.Variables'!$B$39,+'5.Variables'!$E56,+IF(P$18='5.Variables'!$B$62,+'5.Variables'!$E70,+IF(P$18='5.Variables'!$B$76,+'5.Variables'!$E84,+IF(P$18='5.Variables'!$B$90,+'5.Variables'!$E98,+IF(P$18='5.Variables'!$B$104,+'5.Variables'!$E112,0))))))</f>
        <v>0</v>
      </c>
      <c r="Q94" s="245"/>
      <c r="R94" s="558">
        <f t="shared" si="9"/>
        <v>17607795.028631061</v>
      </c>
      <c r="S94" s="265"/>
      <c r="T94" s="245"/>
      <c r="U94" s="245"/>
      <c r="V94" s="245"/>
      <c r="W94" s="245"/>
      <c r="X94" s="245"/>
      <c r="Y94" s="245"/>
      <c r="Z94" s="245"/>
      <c r="AA94" s="245"/>
      <c r="AB94" s="245"/>
      <c r="AC94" s="245"/>
      <c r="AD94" s="245"/>
      <c r="AE94" s="245"/>
      <c r="AF94" s="245"/>
      <c r="AG94" s="245"/>
      <c r="AH94" s="245"/>
      <c r="AI94" s="245"/>
      <c r="AJ94" s="245"/>
      <c r="AK94" s="245"/>
      <c r="AL94" s="245"/>
      <c r="AM94" s="245"/>
    </row>
    <row r="95" spans="1:39" x14ac:dyDescent="0.2">
      <c r="A95" s="503">
        <f t="shared" si="10"/>
        <v>76</v>
      </c>
      <c r="B95" s="262" t="str">
        <f>CONCATENATE('3. Consumption by Rate Class'!B100,"-",'3. Consumption by Rate Class'!C100)</f>
        <v>2011-April</v>
      </c>
      <c r="C95" s="697">
        <v>16336448.780000001</v>
      </c>
      <c r="D95" s="703"/>
      <c r="E95" s="707"/>
      <c r="F95" s="707"/>
      <c r="G95" s="703"/>
      <c r="H95" s="704"/>
      <c r="I95" s="704"/>
      <c r="J95" s="263">
        <f t="shared" si="8"/>
        <v>16336448.780000001</v>
      </c>
      <c r="K95" s="725">
        <f>IF(K$18='5.Variables'!$B$16,+'5.Variables'!$F33,+IF(K$18='5.Variables'!$B$39,+'5.Variables'!$F56,+IF(K$18='5.Variables'!$B$62,+'5.Variables'!$F70,+IF(K$18='5.Variables'!$B$76,+'5.Variables'!$F84,+IF(K$18='5.Variables'!$B$90,+'5.Variables'!$F98,+IF(K$18='5.Variables'!$B$104,+'5.Variables'!$F112,0))))))</f>
        <v>347.4</v>
      </c>
      <c r="L95" s="725">
        <f>IF(L$18='5.Variables'!$B$16,+'5.Variables'!$F32,+IF(L$18='5.Variables'!$B$39,+'5.Variables'!$F56,+IF(L$18='5.Variables'!$B$62,+'5.Variables'!$F70,+IF(L$18='5.Variables'!$B$76,+'5.Variables'!$F84,+IF(L$18='5.Variables'!$B$90,+'5.Variables'!$F98,+IF(L$18='5.Variables'!$B$104,+'5.Variables'!$F112,0))))))</f>
        <v>0</v>
      </c>
      <c r="M95" s="725">
        <f>IF(M$18='5.Variables'!$B$16,+'5.Variables'!$F32,+IF(M$18='5.Variables'!$B$39,+'5.Variables'!$F56,+IF(M$18='5.Variables'!$B$62,+'5.Variables'!$F70,+IF(M$18='5.Variables'!$B$76,+'5.Variables'!$F84,+IF(M$18='5.Variables'!$B$90,+'5.Variables'!$F98,+IF(M$18='5.Variables'!$B$104,+'5.Variables'!$F112,0))))))</f>
        <v>0</v>
      </c>
      <c r="N95" s="725">
        <f>IF(N$18='5.Variables'!$B$16,+'5.Variables'!$F32,+IF(N$18='5.Variables'!$B$39,+'5.Variables'!$F56,+IF(N$18='5.Variables'!$B$62,+'5.Variables'!$F70,+IF(N$18='5.Variables'!$B$76,+'5.Variables'!$F84,+IF(N$18='5.Variables'!$B$90,+'5.Variables'!$F98,+IF(N$18='5.Variables'!$B$104,+'5.Variables'!$F112,0))))))</f>
        <v>0</v>
      </c>
      <c r="O95" s="725">
        <f>IF(O$18='5.Variables'!$B$16,+'5.Variables'!$F32,+IF(O$18='5.Variables'!$B$39,+'5.Variables'!$F56,+IF(O$18='5.Variables'!$B$62,+'5.Variables'!$F70,+IF(O$18='5.Variables'!$B$76,+'5.Variables'!$F84,+IF(O$18='5.Variables'!$B$90,+'5.Variables'!$F98,+IF(O$18='5.Variables'!$B$104,+'5.Variables'!$F112,0))))))</f>
        <v>30</v>
      </c>
      <c r="P95" s="725">
        <f>IF(P$18='5.Variables'!$B$16,+'5.Variables'!$F32,+IF(P$18='5.Variables'!$B$39,+'5.Variables'!$F56,+IF(P$18='5.Variables'!$B$62,+'5.Variables'!$F70,+IF(P$18='5.Variables'!$B$76,+'5.Variables'!$F84,+IF(P$18='5.Variables'!$B$90,+'5.Variables'!$F98,+IF(P$18='5.Variables'!$B$104,+'5.Variables'!$F112,0))))))</f>
        <v>0</v>
      </c>
      <c r="Q95" s="245"/>
      <c r="R95" s="558">
        <f t="shared" si="9"/>
        <v>15557018.835666016</v>
      </c>
      <c r="S95" s="265"/>
      <c r="T95" s="245"/>
      <c r="U95" s="245"/>
      <c r="V95" s="245"/>
      <c r="W95" s="245"/>
      <c r="X95" s="245"/>
      <c r="Y95" s="245"/>
      <c r="Z95" s="245"/>
      <c r="AA95" s="245"/>
      <c r="AB95" s="245"/>
      <c r="AC95" s="245"/>
      <c r="AD95" s="245"/>
      <c r="AE95" s="245"/>
      <c r="AF95" s="245"/>
      <c r="AG95" s="245"/>
      <c r="AH95" s="245"/>
      <c r="AI95" s="245"/>
      <c r="AJ95" s="245"/>
      <c r="AK95" s="245"/>
      <c r="AL95" s="245"/>
      <c r="AM95" s="245"/>
    </row>
    <row r="96" spans="1:39" x14ac:dyDescent="0.2">
      <c r="A96" s="503">
        <f t="shared" si="10"/>
        <v>77</v>
      </c>
      <c r="B96" s="262" t="str">
        <f>CONCATENATE('3. Consumption by Rate Class'!B101,"-",'3. Consumption by Rate Class'!C101)</f>
        <v>2011-May</v>
      </c>
      <c r="C96" s="697">
        <v>14621069.789999999</v>
      </c>
      <c r="D96" s="703"/>
      <c r="E96" s="707"/>
      <c r="F96" s="707"/>
      <c r="G96" s="703"/>
      <c r="H96" s="704"/>
      <c r="I96" s="704"/>
      <c r="J96" s="263">
        <f t="shared" si="8"/>
        <v>14621069.789999999</v>
      </c>
      <c r="K96" s="725">
        <f>IF(K$18='5.Variables'!$B$16,+'5.Variables'!$G33,+IF(K$18='5.Variables'!$B$39,+'5.Variables'!$G56,+IF(K$18='5.Variables'!$B$62,+'5.Variables'!$G70,+IF(K$18='5.Variables'!$B$76,+'5.Variables'!$G84,+IF(K$18='5.Variables'!$B$90,+'5.Variables'!$G98,+IF(K$18='5.Variables'!$B$104,+'5.Variables'!$G112,0))))))</f>
        <v>142.80000000000001</v>
      </c>
      <c r="L96" s="725">
        <f>IF(L$18='5.Variables'!$B$16,+'5.Variables'!$G32,+IF(L$18='5.Variables'!$B$39,+'5.Variables'!$G56,+IF(L$18='5.Variables'!$B$62,+'5.Variables'!$G70,+IF(L$18='5.Variables'!$B$76,+'5.Variables'!$G84,+IF(L$18='5.Variables'!$B$90,+'5.Variables'!$G98,+IF(L$18='5.Variables'!$B$104,+'5.Variables'!$G112,0))))))</f>
        <v>16.7</v>
      </c>
      <c r="M96" s="725">
        <f>IF(M$18='5.Variables'!$B$16,+'5.Variables'!$G32,+IF(M$18='5.Variables'!$B$39,+'5.Variables'!$G56,+IF(M$18='5.Variables'!$B$62,+'5.Variables'!$G70,+IF(M$18='5.Variables'!$B$76,+'5.Variables'!$G84,+IF(M$18='5.Variables'!$B$90,+'5.Variables'!$G98,+IF(M$18='5.Variables'!$B$104,+'5.Variables'!$G112,0))))))</f>
        <v>0</v>
      </c>
      <c r="N96" s="725">
        <f>IF(N$18='5.Variables'!$B$16,+'5.Variables'!$G32,+IF(N$18='5.Variables'!$B$39,+'5.Variables'!$G56,+IF(N$18='5.Variables'!$B$62,+'5.Variables'!$G70,+IF(N$18='5.Variables'!$B$76,+'5.Variables'!$G84,+IF(N$18='5.Variables'!$B$90,+'5.Variables'!$G98,+IF(N$18='5.Variables'!$B$104,+'5.Variables'!$G112,0))))))</f>
        <v>0</v>
      </c>
      <c r="O96" s="725">
        <f>IF(O$18='5.Variables'!$B$16,+'5.Variables'!$G32,+IF(O$18='5.Variables'!$B$39,+'5.Variables'!$G56,+IF(O$18='5.Variables'!$B$62,+'5.Variables'!$G70,+IF(O$18='5.Variables'!$B$76,+'5.Variables'!$G84,+IF(O$18='5.Variables'!$B$90,+'5.Variables'!$G98,+IF(O$18='5.Variables'!$B$104,+'5.Variables'!$G112,0))))))</f>
        <v>31</v>
      </c>
      <c r="P96" s="725">
        <f>IF(P$18='5.Variables'!$B$16,+'5.Variables'!$G32,+IF(P$18='5.Variables'!$B$39,+'5.Variables'!$G56,+IF(P$18='5.Variables'!$B$62,+'5.Variables'!$G70,+IF(P$18='5.Variables'!$B$76,+'5.Variables'!$G84,+IF(P$18='5.Variables'!$B$90,+'5.Variables'!$G98,+IF(P$18='5.Variables'!$B$104,+'5.Variables'!$G112,0))))))</f>
        <v>0</v>
      </c>
      <c r="Q96" s="245"/>
      <c r="R96" s="558">
        <f t="shared" si="9"/>
        <v>14555594.420647917</v>
      </c>
      <c r="S96" s="265"/>
      <c r="T96" s="245"/>
      <c r="U96" s="245"/>
      <c r="V96" s="245"/>
      <c r="W96" s="245"/>
      <c r="X96" s="245"/>
      <c r="Y96" s="245"/>
      <c r="Z96" s="245"/>
      <c r="AA96" s="245"/>
      <c r="AB96" s="245"/>
      <c r="AC96" s="245"/>
      <c r="AD96" s="245"/>
      <c r="AE96" s="245"/>
      <c r="AF96" s="245"/>
      <c r="AG96" s="245"/>
      <c r="AH96" s="245"/>
      <c r="AI96" s="245"/>
      <c r="AJ96" s="245"/>
      <c r="AK96" s="245"/>
      <c r="AL96" s="245"/>
      <c r="AM96" s="245"/>
    </row>
    <row r="97" spans="1:39" x14ac:dyDescent="0.2">
      <c r="A97" s="503">
        <f t="shared" si="10"/>
        <v>78</v>
      </c>
      <c r="B97" s="262" t="str">
        <f>CONCATENATE('3. Consumption by Rate Class'!B102,"-",'3. Consumption by Rate Class'!C102)</f>
        <v>2011-June</v>
      </c>
      <c r="C97" s="697">
        <v>15547543.850000001</v>
      </c>
      <c r="D97" s="703"/>
      <c r="E97" s="707"/>
      <c r="F97" s="707"/>
      <c r="G97" s="703"/>
      <c r="H97" s="704"/>
      <c r="I97" s="704"/>
      <c r="J97" s="263">
        <f t="shared" si="8"/>
        <v>15547543.850000001</v>
      </c>
      <c r="K97" s="725">
        <f>IF(K$18='5.Variables'!$B$16,+'5.Variables'!$H33,+IF(K$18='5.Variables'!$B$39,+'5.Variables'!$H56,+IF(K$18='5.Variables'!$B$62,+'5.Variables'!$H70,+IF(K$18='5.Variables'!$B$76,+'5.Variables'!$H84,+IF(K$18='5.Variables'!$B$90,+'5.Variables'!$H98,+IF(K$18='5.Variables'!$B$104,+'5.Variables'!$H112,0))))))</f>
        <v>18.5</v>
      </c>
      <c r="L97" s="725">
        <f>IF(L$18='5.Variables'!$B$16,+'5.Variables'!$H32,+IF(L$18='5.Variables'!$B$39,+'5.Variables'!$H56,+IF(L$18='5.Variables'!$B$62,+'5.Variables'!$H70,+IF(L$18='5.Variables'!$B$76,+'5.Variables'!$H84,+IF(L$18='5.Variables'!$B$90,+'5.Variables'!$H98,+IF(L$18='5.Variables'!$B$104,+'5.Variables'!$H112,0))))))</f>
        <v>59.1</v>
      </c>
      <c r="M97" s="725">
        <f>IF(M$18='5.Variables'!$B$16,+'5.Variables'!$H32,+IF(M$18='5.Variables'!$B$39,+'5.Variables'!$H56,+IF(M$18='5.Variables'!$B$62,+'5.Variables'!$H70,+IF(M$18='5.Variables'!$B$76,+'5.Variables'!$H84,+IF(M$18='5.Variables'!$B$90,+'5.Variables'!$H98,+IF(M$18='5.Variables'!$B$104,+'5.Variables'!$H112,0))))))</f>
        <v>0</v>
      </c>
      <c r="N97" s="725">
        <f>IF(N$18='5.Variables'!$B$16,+'5.Variables'!$H32,+IF(N$18='5.Variables'!$B$39,+'5.Variables'!$H56,+IF(N$18='5.Variables'!$B$62,+'5.Variables'!$H70,+IF(N$18='5.Variables'!$B$76,+'5.Variables'!$H84,+IF(N$18='5.Variables'!$B$90,+'5.Variables'!$H98,+IF(N$18='5.Variables'!$B$104,+'5.Variables'!$H112,0))))))</f>
        <v>0</v>
      </c>
      <c r="O97" s="725">
        <f>IF(O$18='5.Variables'!$B$16,+'5.Variables'!$H32,+IF(O$18='5.Variables'!$B$39,+'5.Variables'!$H56,+IF(O$18='5.Variables'!$B$62,+'5.Variables'!$H70,+IF(O$18='5.Variables'!$B$76,+'5.Variables'!$H84,+IF(O$18='5.Variables'!$B$90,+'5.Variables'!$H98,+IF(O$18='5.Variables'!$B$104,+'5.Variables'!$H112,0))))))</f>
        <v>30</v>
      </c>
      <c r="P97" s="725">
        <f>IF(P$18='5.Variables'!$B$16,+'5.Variables'!$H32,+IF(P$18='5.Variables'!$B$39,+'5.Variables'!$H56,+IF(P$18='5.Variables'!$B$62,+'5.Variables'!$H70,+IF(P$18='5.Variables'!$B$76,+'5.Variables'!$H84,+IF(P$18='5.Variables'!$B$90,+'5.Variables'!$H98,+IF(P$18='5.Variables'!$B$104,+'5.Variables'!$H112,0))))))</f>
        <v>0</v>
      </c>
      <c r="Q97" s="245"/>
      <c r="R97" s="558">
        <f t="shared" si="9"/>
        <v>14834754.403340425</v>
      </c>
      <c r="S97" s="265"/>
      <c r="T97" s="245"/>
      <c r="U97" s="245"/>
      <c r="V97" s="245"/>
      <c r="W97" s="245"/>
      <c r="X97" s="245"/>
      <c r="Y97" s="245"/>
      <c r="Z97" s="245"/>
      <c r="AA97" s="245"/>
      <c r="AB97" s="245"/>
      <c r="AC97" s="245"/>
      <c r="AD97" s="245"/>
      <c r="AE97" s="245"/>
      <c r="AF97" s="245"/>
      <c r="AG97" s="245"/>
      <c r="AH97" s="245"/>
      <c r="AI97" s="245"/>
      <c r="AJ97" s="245"/>
      <c r="AK97" s="245"/>
      <c r="AL97" s="245"/>
      <c r="AM97" s="245"/>
    </row>
    <row r="98" spans="1:39" x14ac:dyDescent="0.2">
      <c r="A98" s="503">
        <f t="shared" si="10"/>
        <v>79</v>
      </c>
      <c r="B98" s="262" t="str">
        <f>CONCATENATE('3. Consumption by Rate Class'!B103,"-",'3. Consumption by Rate Class'!C103)</f>
        <v>2011-July</v>
      </c>
      <c r="C98" s="697">
        <v>16379523.159999998</v>
      </c>
      <c r="D98" s="703"/>
      <c r="E98" s="707"/>
      <c r="F98" s="707"/>
      <c r="G98" s="703"/>
      <c r="H98" s="704"/>
      <c r="I98" s="704"/>
      <c r="J98" s="263">
        <f t="shared" si="8"/>
        <v>16379523.159999998</v>
      </c>
      <c r="K98" s="725">
        <f>IF(K$18='5.Variables'!$B$16,+'5.Variables'!$I33,+IF(K$18='5.Variables'!$B$39,+'5.Variables'!$I56,+IF(K$18='5.Variables'!$B$62,+'5.Variables'!$I70,+IF(K$18='5.Variables'!$B$76,+'5.Variables'!$I84,+IF(K$18='5.Variables'!$B$90,+'5.Variables'!$I98,+IF(K$18='5.Variables'!$B$104,+'5.Variables'!$I112,0))))))</f>
        <v>0</v>
      </c>
      <c r="L98" s="725">
        <f>IF(L$18='5.Variables'!$B$16,+'5.Variables'!$I32,+IF(L$18='5.Variables'!$B$39,+'5.Variables'!$I56,+IF(L$18='5.Variables'!$B$62,+'5.Variables'!$I70,+IF(L$18='5.Variables'!$B$76,+'5.Variables'!$I84,+IF(L$18='5.Variables'!$B$90,+'5.Variables'!$I98,+IF(L$18='5.Variables'!$B$104,+'5.Variables'!$I112,0))))))</f>
        <v>137.5</v>
      </c>
      <c r="M98" s="725">
        <f>IF(M$18='5.Variables'!$B$16,+'5.Variables'!$I32,+IF(M$18='5.Variables'!$B$39,+'5.Variables'!$I56,+IF(M$18='5.Variables'!$B$62,+'5.Variables'!$I70,+IF(M$18='5.Variables'!$B$76,+'5.Variables'!$I84,+IF(M$18='5.Variables'!$B$90,+'5.Variables'!$I98,+IF(M$18='5.Variables'!$B$104,+'5.Variables'!$I112,0))))))</f>
        <v>0</v>
      </c>
      <c r="N98" s="725">
        <f>IF(N$18='5.Variables'!$B$16,+'5.Variables'!$I32,+IF(N$18='5.Variables'!$B$39,+'5.Variables'!$I56,+IF(N$18='5.Variables'!$B$62,+'5.Variables'!$I70,+IF(N$18='5.Variables'!$B$76,+'5.Variables'!$I84,+IF(N$18='5.Variables'!$B$90,+'5.Variables'!$I98,+IF(N$18='5.Variables'!$B$104,+'5.Variables'!$I112,0))))))</f>
        <v>1</v>
      </c>
      <c r="O98" s="725">
        <f>IF(O$18='5.Variables'!$B$16,+'5.Variables'!$I32,+IF(O$18='5.Variables'!$B$39,+'5.Variables'!$I56,+IF(O$18='5.Variables'!$B$62,+'5.Variables'!$I70,+IF(O$18='5.Variables'!$B$76,+'5.Variables'!$I84,+IF(O$18='5.Variables'!$B$90,+'5.Variables'!$I98,+IF(O$18='5.Variables'!$B$104,+'5.Variables'!$I112,0))))))</f>
        <v>31</v>
      </c>
      <c r="P98" s="725">
        <f>IF(P$18='5.Variables'!$B$16,+'5.Variables'!$I32,+IF(P$18='5.Variables'!$B$39,+'5.Variables'!$I56,+IF(P$18='5.Variables'!$B$62,+'5.Variables'!$I70,+IF(P$18='5.Variables'!$B$76,+'5.Variables'!$I84,+IF(P$18='5.Variables'!$B$90,+'5.Variables'!$I98,+IF(P$18='5.Variables'!$B$104,+'5.Variables'!$I112,0))))))</f>
        <v>0</v>
      </c>
      <c r="Q98" s="245"/>
      <c r="R98" s="558">
        <f t="shared" si="9"/>
        <v>16860012.21254921</v>
      </c>
      <c r="S98" s="265"/>
      <c r="T98" s="245"/>
      <c r="U98" s="245"/>
      <c r="V98" s="245"/>
      <c r="W98" s="245"/>
      <c r="X98" s="245"/>
      <c r="Y98" s="245"/>
      <c r="Z98" s="245"/>
      <c r="AA98" s="245"/>
      <c r="AB98" s="245"/>
      <c r="AC98" s="245"/>
      <c r="AD98" s="245"/>
      <c r="AE98" s="245"/>
      <c r="AF98" s="245"/>
      <c r="AG98" s="245"/>
      <c r="AH98" s="245"/>
      <c r="AI98" s="245"/>
      <c r="AJ98" s="245"/>
      <c r="AK98" s="245"/>
      <c r="AL98" s="245"/>
      <c r="AM98" s="245"/>
    </row>
    <row r="99" spans="1:39" x14ac:dyDescent="0.2">
      <c r="A99" s="503">
        <f t="shared" si="10"/>
        <v>80</v>
      </c>
      <c r="B99" s="262" t="str">
        <f>CONCATENATE('3. Consumption by Rate Class'!B104,"-",'3. Consumption by Rate Class'!C104)</f>
        <v>2011-August</v>
      </c>
      <c r="C99" s="697">
        <v>14663820.33</v>
      </c>
      <c r="D99" s="703"/>
      <c r="E99" s="707"/>
      <c r="F99" s="707"/>
      <c r="G99" s="703"/>
      <c r="H99" s="704"/>
      <c r="I99" s="704"/>
      <c r="J99" s="263">
        <f t="shared" si="8"/>
        <v>14663820.33</v>
      </c>
      <c r="K99" s="725">
        <f>IF(K$18='5.Variables'!$B$16,+'5.Variables'!$J33,+IF(K$18='5.Variables'!$B$39,+'5.Variables'!$J56,+IF(K$18='5.Variables'!$B$62,+'5.Variables'!$J70,+IF(K$18='5.Variables'!$B$76,+'5.Variables'!$J84,+IF(K$18='5.Variables'!$B$90,+'5.Variables'!$J98,+IF(K$18='5.Variables'!$B$104,+'5.Variables'!$J112,0))))))</f>
        <v>2.2999999999999998</v>
      </c>
      <c r="L99" s="725">
        <f>IF(L$18='5.Variables'!$B$16,+'5.Variables'!$J32,+IF(L$18='5.Variables'!$B$39,+'5.Variables'!$J56,+IF(L$18='5.Variables'!$B$62,+'5.Variables'!$J70,+IF(L$18='5.Variables'!$B$76,+'5.Variables'!$J84,+IF(L$18='5.Variables'!$B$90,+'5.Variables'!$J98,+IF(L$18='5.Variables'!$B$104,+'5.Variables'!$J112,0))))))</f>
        <v>82.3</v>
      </c>
      <c r="M99" s="725">
        <f>IF(M$18='5.Variables'!$B$16,+'5.Variables'!$J32,+IF(M$18='5.Variables'!$B$39,+'5.Variables'!$J56,+IF(M$18='5.Variables'!$B$62,+'5.Variables'!$J70,+IF(M$18='5.Variables'!$B$76,+'5.Variables'!$J84,+IF(M$18='5.Variables'!$B$90,+'5.Variables'!$J98,+IF(M$18='5.Variables'!$B$104,+'5.Variables'!$J112,0))))))</f>
        <v>0</v>
      </c>
      <c r="N99" s="725">
        <f>IF(N$18='5.Variables'!$B$16,+'5.Variables'!$J32,+IF(N$18='5.Variables'!$B$39,+'5.Variables'!$J56,+IF(N$18='5.Variables'!$B$62,+'5.Variables'!$J70,+IF(N$18='5.Variables'!$B$76,+'5.Variables'!$J84,+IF(N$18='5.Variables'!$B$90,+'5.Variables'!$J98,+IF(N$18='5.Variables'!$B$104,+'5.Variables'!$J112,0))))))</f>
        <v>0</v>
      </c>
      <c r="O99" s="725">
        <f>IF(O$18='5.Variables'!$B$16,+'5.Variables'!$J32,+IF(O$18='5.Variables'!$B$39,+'5.Variables'!$J56,+IF(O$18='5.Variables'!$B$62,+'5.Variables'!$J70,+IF(O$18='5.Variables'!$B$76,+'5.Variables'!$J84,+IF(O$18='5.Variables'!$B$90,+'5.Variables'!$J98,+IF(O$18='5.Variables'!$B$104,+'5.Variables'!$J112,0))))))</f>
        <v>31</v>
      </c>
      <c r="P99" s="725">
        <f>IF(P$18='5.Variables'!$B$16,+'5.Variables'!$J32,+IF(P$18='5.Variables'!$B$39,+'5.Variables'!$J56,+IF(P$18='5.Variables'!$B$62,+'5.Variables'!$J70,+IF(P$18='5.Variables'!$B$76,+'5.Variables'!$J84,+IF(P$18='5.Variables'!$B$90,+'5.Variables'!$J98,+IF(P$18='5.Variables'!$B$104,+'5.Variables'!$J112,0))))))</f>
        <v>0</v>
      </c>
      <c r="Q99" s="245"/>
      <c r="R99" s="558">
        <f t="shared" si="9"/>
        <v>15357478.963659357</v>
      </c>
      <c r="S99" s="265"/>
      <c r="T99" s="245"/>
      <c r="U99" s="245"/>
      <c r="V99" s="245"/>
      <c r="W99" s="245"/>
      <c r="X99" s="245"/>
      <c r="Y99" s="245"/>
      <c r="Z99" s="245"/>
      <c r="AA99" s="245"/>
      <c r="AB99" s="245"/>
      <c r="AC99" s="245"/>
      <c r="AD99" s="245"/>
      <c r="AE99" s="245"/>
      <c r="AF99" s="245"/>
      <c r="AG99" s="245"/>
      <c r="AH99" s="245"/>
      <c r="AI99" s="245"/>
      <c r="AJ99" s="245"/>
      <c r="AK99" s="245"/>
      <c r="AL99" s="245"/>
      <c r="AM99" s="245"/>
    </row>
    <row r="100" spans="1:39" x14ac:dyDescent="0.2">
      <c r="A100" s="503">
        <f t="shared" si="10"/>
        <v>81</v>
      </c>
      <c r="B100" s="262" t="str">
        <f>CONCATENATE('3. Consumption by Rate Class'!B105,"-",'3. Consumption by Rate Class'!C105)</f>
        <v>2011-September</v>
      </c>
      <c r="C100" s="697">
        <v>14622897.859999999</v>
      </c>
      <c r="D100" s="703"/>
      <c r="E100" s="707"/>
      <c r="F100" s="707"/>
      <c r="G100" s="703"/>
      <c r="H100" s="704"/>
      <c r="I100" s="704"/>
      <c r="J100" s="263">
        <f t="shared" si="8"/>
        <v>14622897.859999999</v>
      </c>
      <c r="K100" s="725">
        <f>IF(K$18='5.Variables'!$B$16,+'5.Variables'!$K33,+IF(K$18='5.Variables'!$B$39,+'5.Variables'!$K56,+IF(K$18='5.Variables'!$B$62,+'5.Variables'!$K70,+IF(K$18='5.Variables'!$B$76,+'5.Variables'!$K84,+IF(K$18='5.Variables'!$B$90,+'5.Variables'!$K98,+IF(K$18='5.Variables'!$B$104,+'5.Variables'!$K112,0))))))</f>
        <v>55.4</v>
      </c>
      <c r="L100" s="725">
        <f>IF(L$18='5.Variables'!$B$16,+'5.Variables'!$K32,+IF(L$18='5.Variables'!$B$39,+'5.Variables'!$K56,+IF(L$18='5.Variables'!$B$62,+'5.Variables'!$K70,+IF(L$18='5.Variables'!$B$76,+'5.Variables'!$K84,+IF(L$18='5.Variables'!$B$90,+'5.Variables'!$K98,+IF(L$18='5.Variables'!$B$104,+'5.Variables'!$K112,0))))))</f>
        <v>32.9</v>
      </c>
      <c r="M100" s="725">
        <f>IF(M$18='5.Variables'!$B$16,+'5.Variables'!$K32,+IF(M$18='5.Variables'!$B$39,+'5.Variables'!$K56,+IF(M$18='5.Variables'!$B$62,+'5.Variables'!$K70,+IF(M$18='5.Variables'!$B$76,+'5.Variables'!$K84,+IF(M$18='5.Variables'!$B$90,+'5.Variables'!$K98,+IF(M$18='5.Variables'!$B$104,+'5.Variables'!$K112,0))))))</f>
        <v>0</v>
      </c>
      <c r="N100" s="725">
        <f>IF(N$18='5.Variables'!$B$16,+'5.Variables'!$K32,+IF(N$18='5.Variables'!$B$39,+'5.Variables'!$K56,+IF(N$18='5.Variables'!$B$62,+'5.Variables'!$K70,+IF(N$18='5.Variables'!$B$76,+'5.Variables'!$K84,+IF(N$18='5.Variables'!$B$90,+'5.Variables'!$K98,+IF(N$18='5.Variables'!$B$104,+'5.Variables'!$K112,0))))))</f>
        <v>0</v>
      </c>
      <c r="O100" s="725">
        <f>IF(O$18='5.Variables'!$B$16,+'5.Variables'!$K32,+IF(O$18='5.Variables'!$B$39,+'5.Variables'!$K56,+IF(O$18='5.Variables'!$B$62,+'5.Variables'!$K70,+IF(O$18='5.Variables'!$B$76,+'5.Variables'!$K84,+IF(O$18='5.Variables'!$B$90,+'5.Variables'!$K98,+IF(O$18='5.Variables'!$B$104,+'5.Variables'!$K112,0))))))</f>
        <v>30</v>
      </c>
      <c r="P100" s="725">
        <f>IF(P$18='5.Variables'!$B$16,+'5.Variables'!$K32,+IF(P$18='5.Variables'!$B$39,+'5.Variables'!$K56,+IF(P$18='5.Variables'!$B$62,+'5.Variables'!$K70,+IF(P$18='5.Variables'!$B$76,+'5.Variables'!$K84,+IF(P$18='5.Variables'!$B$90,+'5.Variables'!$K98,+IF(P$18='5.Variables'!$B$104,+'5.Variables'!$K112,0))))))</f>
        <v>0</v>
      </c>
      <c r="Q100" s="245"/>
      <c r="R100" s="558">
        <f t="shared" si="9"/>
        <v>14377287.976660289</v>
      </c>
      <c r="S100" s="265"/>
      <c r="T100" s="245"/>
      <c r="U100" s="245"/>
      <c r="V100" s="245"/>
      <c r="W100" s="245"/>
      <c r="X100" s="245"/>
      <c r="Y100" s="245"/>
      <c r="Z100" s="245"/>
      <c r="AA100" s="245"/>
      <c r="AB100" s="245"/>
      <c r="AC100" s="245"/>
      <c r="AD100" s="245"/>
      <c r="AE100" s="245"/>
      <c r="AF100" s="245"/>
      <c r="AG100" s="245"/>
      <c r="AH100" s="245"/>
      <c r="AI100" s="245"/>
      <c r="AJ100" s="245"/>
      <c r="AK100" s="245"/>
      <c r="AL100" s="245"/>
      <c r="AM100" s="245"/>
    </row>
    <row r="101" spans="1:39" x14ac:dyDescent="0.2">
      <c r="A101" s="503">
        <f t="shared" si="10"/>
        <v>82</v>
      </c>
      <c r="B101" s="262" t="str">
        <f>CONCATENATE('3. Consumption by Rate Class'!B106,"-",'3. Consumption by Rate Class'!C106)</f>
        <v>2011-October</v>
      </c>
      <c r="C101" s="697">
        <v>14379977.777999999</v>
      </c>
      <c r="D101" s="703"/>
      <c r="E101" s="707"/>
      <c r="F101" s="707"/>
      <c r="G101" s="703"/>
      <c r="H101" s="704"/>
      <c r="I101" s="704"/>
      <c r="J101" s="263">
        <f t="shared" si="8"/>
        <v>14379977.777999999</v>
      </c>
      <c r="K101" s="725">
        <f>IF(K$18='5.Variables'!$B$16,+'5.Variables'!$L33,+IF(K$18='5.Variables'!$B$39,+'5.Variables'!$L56,+IF(K$18='5.Variables'!$B$62,+'5.Variables'!$L70,+IF(K$18='5.Variables'!$B$76,+'5.Variables'!$L84,+IF(K$18='5.Variables'!$B$90,+'5.Variables'!$L98,+IF(K$18='5.Variables'!$B$104,+'5.Variables'!$L112,0))))))</f>
        <v>259.10000000000002</v>
      </c>
      <c r="L101" s="725">
        <f>IF(L$18='5.Variables'!$B$16,+'5.Variables'!$L32,+IF(L$18='5.Variables'!$B$39,+'5.Variables'!$L56,+IF(L$18='5.Variables'!$B$62,+'5.Variables'!$L70,+IF(L$18='5.Variables'!$B$76,+'5.Variables'!$L84,+IF(L$18='5.Variables'!$B$90,+'5.Variables'!$L98,+IF(L$18='5.Variables'!$B$104,+'5.Variables'!$L112,0))))))</f>
        <v>1.4</v>
      </c>
      <c r="M101" s="725">
        <f>IF(M$18='5.Variables'!$B$16,+'5.Variables'!$L32,+IF(M$18='5.Variables'!$B$39,+'5.Variables'!$L56,+IF(M$18='5.Variables'!$B$62,+'5.Variables'!$L70,+IF(M$18='5.Variables'!$B$76,+'5.Variables'!$L84,+IF(M$18='5.Variables'!$B$90,+'5.Variables'!$L98,+IF(M$18='5.Variables'!$B$104,+'5.Variables'!$L112,0))))))</f>
        <v>0</v>
      </c>
      <c r="N101" s="725">
        <f>IF(N$18='5.Variables'!$B$16,+'5.Variables'!$L32,+IF(N$18='5.Variables'!$B$39,+'5.Variables'!$L56,+IF(N$18='5.Variables'!$B$62,+'5.Variables'!$L70,+IF(N$18='5.Variables'!$B$76,+'5.Variables'!$L84,+IF(N$18='5.Variables'!$B$90,+'5.Variables'!$L98,+IF(N$18='5.Variables'!$B$104,+'5.Variables'!$L112,0))))))</f>
        <v>0</v>
      </c>
      <c r="O101" s="725">
        <f>IF(O$18='5.Variables'!$B$16,+'5.Variables'!$L32,+IF(O$18='5.Variables'!$B$39,+'5.Variables'!$L56,+IF(O$18='5.Variables'!$B$62,+'5.Variables'!$L70,+IF(O$18='5.Variables'!$B$76,+'5.Variables'!$L84,+IF(O$18='5.Variables'!$B$90,+'5.Variables'!$L98,+IF(O$18='5.Variables'!$B$104,+'5.Variables'!$L112,0))))))</f>
        <v>31</v>
      </c>
      <c r="P101" s="725">
        <f>IF(P$18='5.Variables'!$B$16,+'5.Variables'!$L32,+IF(P$18='5.Variables'!$B$39,+'5.Variables'!$L56,+IF(P$18='5.Variables'!$B$62,+'5.Variables'!$L70,+IF(P$18='5.Variables'!$B$76,+'5.Variables'!$L84,+IF(P$18='5.Variables'!$B$90,+'5.Variables'!$L98,+IF(P$18='5.Variables'!$B$104,+'5.Variables'!$L112,0))))))</f>
        <v>0</v>
      </c>
      <c r="Q101" s="245"/>
      <c r="R101" s="558">
        <f t="shared" si="9"/>
        <v>14965029.38601676</v>
      </c>
      <c r="S101" s="265"/>
      <c r="T101" s="245"/>
      <c r="U101" s="245"/>
      <c r="V101" s="245"/>
      <c r="W101" s="245"/>
      <c r="X101" s="245"/>
      <c r="Y101" s="245"/>
      <c r="Z101" s="245"/>
      <c r="AA101" s="245"/>
      <c r="AB101" s="245"/>
      <c r="AC101" s="245"/>
      <c r="AD101" s="245"/>
      <c r="AE101" s="245"/>
      <c r="AF101" s="245"/>
      <c r="AG101" s="245"/>
      <c r="AH101" s="245"/>
      <c r="AI101" s="245"/>
      <c r="AJ101" s="245"/>
      <c r="AK101" s="245"/>
      <c r="AL101" s="245"/>
      <c r="AM101" s="245"/>
    </row>
    <row r="102" spans="1:39" x14ac:dyDescent="0.2">
      <c r="A102" s="503">
        <f t="shared" si="10"/>
        <v>83</v>
      </c>
      <c r="B102" s="262" t="str">
        <f>CONCATENATE('3. Consumption by Rate Class'!B107,"-",'3. Consumption by Rate Class'!C107)</f>
        <v>2011-November</v>
      </c>
      <c r="C102" s="697">
        <v>15622868.66</v>
      </c>
      <c r="D102" s="703"/>
      <c r="E102" s="707"/>
      <c r="F102" s="707"/>
      <c r="G102" s="703"/>
      <c r="H102" s="704"/>
      <c r="I102" s="704"/>
      <c r="J102" s="263">
        <f t="shared" si="8"/>
        <v>15622868.66</v>
      </c>
      <c r="K102" s="725">
        <f>IF(K$18='5.Variables'!$B$16,+'5.Variables'!$M33,+IF(K$18='5.Variables'!$B$39,+'5.Variables'!$M56,+IF(K$18='5.Variables'!$B$62,+'5.Variables'!$M70,+IF(K$18='5.Variables'!$B$76,+'5.Variables'!$M84,+IF(K$18='5.Variables'!$B$90,+'5.Variables'!$M98,+IF(K$18='5.Variables'!$B$104,+'5.Variables'!$M112,0))))))</f>
        <v>392.9</v>
      </c>
      <c r="L102" s="725">
        <f>IF(L$18='5.Variables'!$B$16,+'5.Variables'!$M32,+IF(L$18='5.Variables'!$B$39,+'5.Variables'!$M56,+IF(L$18='5.Variables'!$B$62,+'5.Variables'!$M70,+IF(L$18='5.Variables'!$B$76,+'5.Variables'!$M84,+IF(L$18='5.Variables'!$B$90,+'5.Variables'!$M98,+IF(L$18='5.Variables'!$B$104,+'5.Variables'!$M112,0))))))</f>
        <v>0</v>
      </c>
      <c r="M102" s="725">
        <f>IF(M$18='5.Variables'!$B$16,+'5.Variables'!$M32,+IF(M$18='5.Variables'!$B$39,+'5.Variables'!$M56,+IF(M$18='5.Variables'!$B$62,+'5.Variables'!$M70,+IF(M$18='5.Variables'!$B$76,+'5.Variables'!$M84,+IF(M$18='5.Variables'!$B$90,+'5.Variables'!$M98,+IF(M$18='5.Variables'!$B$104,+'5.Variables'!$M112,0))))))</f>
        <v>0</v>
      </c>
      <c r="N102" s="725">
        <f>IF(N$18='5.Variables'!$B$16,+'5.Variables'!$M32,+IF(N$18='5.Variables'!$B$39,+'5.Variables'!$M56,+IF(N$18='5.Variables'!$B$62,+'5.Variables'!$M70,+IF(N$18='5.Variables'!$B$76,+'5.Variables'!$M84,+IF(N$18='5.Variables'!$B$90,+'5.Variables'!$M98,+IF(N$18='5.Variables'!$B$104,+'5.Variables'!$M112,0))))))</f>
        <v>0</v>
      </c>
      <c r="O102" s="725">
        <f>IF(O$18='5.Variables'!$B$16,+'5.Variables'!$M32,+IF(O$18='5.Variables'!$B$39,+'5.Variables'!$M56,+IF(O$18='5.Variables'!$B$62,+'5.Variables'!$M70,+IF(O$18='5.Variables'!$B$76,+'5.Variables'!$M84,+IF(O$18='5.Variables'!$B$90,+'5.Variables'!$M98,+IF(O$18='5.Variables'!$B$104,+'5.Variables'!$M112,0))))))</f>
        <v>30</v>
      </c>
      <c r="P102" s="725">
        <f>IF(P$18='5.Variables'!$B$16,+'5.Variables'!$M32,+IF(P$18='5.Variables'!$B$39,+'5.Variables'!$M56,+IF(P$18='5.Variables'!$B$62,+'5.Variables'!$M70,+IF(P$18='5.Variables'!$B$76,+'5.Variables'!$M84,+IF(P$18='5.Variables'!$B$90,+'5.Variables'!$M98,+IF(P$18='5.Variables'!$B$104,+'5.Variables'!$M112,0))))))</f>
        <v>0</v>
      </c>
      <c r="Q102" s="245"/>
      <c r="R102" s="558">
        <f t="shared" si="9"/>
        <v>15881915.481835619</v>
      </c>
      <c r="S102" s="265"/>
      <c r="T102" s="245"/>
      <c r="U102" s="245"/>
      <c r="V102" s="245"/>
      <c r="W102" s="245"/>
      <c r="X102" s="245"/>
      <c r="Y102" s="245"/>
      <c r="Z102" s="245"/>
      <c r="AA102" s="245"/>
      <c r="AB102" s="245"/>
      <c r="AC102" s="245"/>
      <c r="AD102" s="245"/>
      <c r="AE102" s="245"/>
      <c r="AF102" s="245"/>
      <c r="AG102" s="245"/>
      <c r="AH102" s="245"/>
      <c r="AI102" s="245"/>
      <c r="AJ102" s="245"/>
      <c r="AK102" s="245"/>
      <c r="AL102" s="245"/>
      <c r="AM102" s="245"/>
    </row>
    <row r="103" spans="1:39" x14ac:dyDescent="0.2">
      <c r="A103" s="503">
        <f t="shared" si="10"/>
        <v>84</v>
      </c>
      <c r="B103" s="522" t="str">
        <f>CONCATENATE('3. Consumption by Rate Class'!B108,"-",'3. Consumption by Rate Class'!C108)</f>
        <v>2011-December</v>
      </c>
      <c r="C103" s="698">
        <v>20156456.619999997</v>
      </c>
      <c r="D103" s="705"/>
      <c r="E103" s="705"/>
      <c r="F103" s="705"/>
      <c r="G103" s="705"/>
      <c r="H103" s="706"/>
      <c r="I103" s="706"/>
      <c r="J103" s="263">
        <f t="shared" si="8"/>
        <v>20156456.619999997</v>
      </c>
      <c r="K103" s="725">
        <f>IF(K$18='5.Variables'!$B$16,+'5.Variables'!$N33,+IF(K$18='5.Variables'!$B$39,+'5.Variables'!$N56,+IF(K$18='5.Variables'!$B$62,+'5.Variables'!$N70,+IF(K$18='5.Variables'!$B$76,+'5.Variables'!$N84,+IF(K$18='5.Variables'!$B$90,+'5.Variables'!$N98,+IF(K$18='5.Variables'!$B$104,+'5.Variables'!$N112,0))))))</f>
        <v>256.39999999999998</v>
      </c>
      <c r="L103" s="725">
        <f>IF(L$18='5.Variables'!$B$16,+'5.Variables'!$N32,+IF(L$18='5.Variables'!$B$39,+'5.Variables'!$N56,+IF(L$18='5.Variables'!$B$62,+'5.Variables'!$N70,+IF(L$18='5.Variables'!$B$76,+'5.Variables'!$N84,+IF(L$18='5.Variables'!$B$90,+'5.Variables'!$N98,+IF(L$18='5.Variables'!$B$104,+'5.Variables'!$N112,0))))))</f>
        <v>0</v>
      </c>
      <c r="M103" s="725">
        <f>IF(M$18='5.Variables'!$B$16,+'5.Variables'!$N32,+IF(M$18='5.Variables'!$B$39,+'5.Variables'!$N56,+IF(M$18='5.Variables'!$B$62,+'5.Variables'!$N70,+IF(M$18='5.Variables'!$B$76,+'5.Variables'!$N84,+IF(M$18='5.Variables'!$B$90,+'5.Variables'!$N98,+IF(M$18='5.Variables'!$B$104,+'5.Variables'!$N112,0))))))</f>
        <v>1</v>
      </c>
      <c r="N103" s="725">
        <f>IF(N$18='5.Variables'!$B$16,+'5.Variables'!$N32,+IF(N$18='5.Variables'!$B$39,+'5.Variables'!$N56,+IF(N$18='5.Variables'!$B$62,+'5.Variables'!$N70,+IF(N$18='5.Variables'!$B$76,+'5.Variables'!$N84,+IF(N$18='5.Variables'!$B$90,+'5.Variables'!$N98,+IF(N$18='5.Variables'!$B$104,+'5.Variables'!$N112,0))))))</f>
        <v>1</v>
      </c>
      <c r="O103" s="725">
        <f>IF(O$18='5.Variables'!$B$16,+'5.Variables'!$N32,+IF(O$18='5.Variables'!$B$39,+'5.Variables'!$N56,+IF(O$18='5.Variables'!$B$62,+'5.Variables'!$N70,+IF(O$18='5.Variables'!$B$76,+'5.Variables'!$N84,+IF(O$18='5.Variables'!$B$90,+'5.Variables'!$N98,+IF(O$18='5.Variables'!$B$104,+'5.Variables'!$N112,0))))))</f>
        <v>31</v>
      </c>
      <c r="P103" s="725">
        <f>IF(P$18='5.Variables'!$B$16,+'5.Variables'!$N32,+IF(P$18='5.Variables'!$B$39,+'5.Variables'!$N56,+IF(P$18='5.Variables'!$B$62,+'5.Variables'!$N70,+IF(P$18='5.Variables'!$B$76,+'5.Variables'!$N84,+IF(P$18='5.Variables'!$B$90,+'5.Variables'!$N98,+IF(P$18='5.Variables'!$B$104,+'5.Variables'!$N112,0))))))</f>
        <v>0</v>
      </c>
      <c r="Q103" s="245"/>
      <c r="R103" s="558">
        <f t="shared" si="9"/>
        <v>16382173.765540767</v>
      </c>
      <c r="S103" s="265">
        <f>SUM(R92:R103)</f>
        <v>197051606.59096599</v>
      </c>
      <c r="T103" s="245"/>
      <c r="U103" s="245"/>
      <c r="V103" s="245"/>
      <c r="W103" s="245"/>
      <c r="X103" s="245"/>
      <c r="Y103" s="245"/>
      <c r="Z103" s="245"/>
      <c r="AA103" s="245"/>
      <c r="AB103" s="245"/>
      <c r="AC103" s="245"/>
      <c r="AD103" s="245"/>
      <c r="AE103" s="245"/>
      <c r="AF103" s="245"/>
      <c r="AG103" s="245"/>
      <c r="AH103" s="245"/>
      <c r="AI103" s="245"/>
      <c r="AJ103" s="245"/>
      <c r="AK103" s="245"/>
      <c r="AL103" s="245"/>
      <c r="AM103" s="245"/>
    </row>
    <row r="104" spans="1:39" x14ac:dyDescent="0.2">
      <c r="A104" s="503">
        <f t="shared" si="10"/>
        <v>85</v>
      </c>
      <c r="B104" s="262" t="str">
        <f>CONCATENATE('3. Consumption by Rate Class'!B109,"-",'3. Consumption by Rate Class'!C109)</f>
        <v>2012-January</v>
      </c>
      <c r="C104" s="697">
        <v>19353299.849999998</v>
      </c>
      <c r="D104" s="703"/>
      <c r="E104" s="707"/>
      <c r="F104" s="707"/>
      <c r="G104" s="703"/>
      <c r="H104" s="704"/>
      <c r="I104" s="704"/>
      <c r="J104" s="263">
        <f t="shared" si="8"/>
        <v>19353299.849999998</v>
      </c>
      <c r="K104" s="725">
        <f>IF(K$18='5.Variables'!$B$16,+'5.Variables'!$C34,+IF(K$18='5.Variables'!$B$39,+'5.Variables'!$C57,+IF(K$18='5.Variables'!$B$62,+'5.Variables'!$C71,+IF(K$18='5.Variables'!$B$76,+'5.Variables'!$C85,+IF(K$18='5.Variables'!$B$90,+'5.Variables'!$C99,+IF(K$18='5.Variables'!$B$104,+'5.Variables'!$C113,0))))))</f>
        <v>831</v>
      </c>
      <c r="L104" s="725">
        <f>IF(L$18='5.Variables'!$B$16,+'5.Variables'!$C33,+IF(L$18='5.Variables'!$B$39,+'5.Variables'!$C57,+IF(L$18='5.Variables'!$B$62,+'5.Variables'!$C71,+IF(L$18='5.Variables'!$B$76,+'5.Variables'!$C85,+IF(L$18='5.Variables'!$B$90,+'5.Variables'!$C99,+IF(L$18='5.Variables'!$B$104,+'5.Variables'!$C113,0))))))</f>
        <v>0</v>
      </c>
      <c r="M104" s="725">
        <f>IF(M$18='5.Variables'!$B$16,+'5.Variables'!$C33,+IF(M$18='5.Variables'!$B$39,+'5.Variables'!$C57,+IF(M$18='5.Variables'!$B$62,+'5.Variables'!$C71,+IF(M$18='5.Variables'!$B$76,+'5.Variables'!$C85,+IF(M$18='5.Variables'!$B$90,+'5.Variables'!$C99,+IF(M$18='5.Variables'!$B$104,+'5.Variables'!$C113,0))))))</f>
        <v>1</v>
      </c>
      <c r="N104" s="725">
        <f>IF(N$18='5.Variables'!$B$16,+'5.Variables'!$C33,+IF(N$18='5.Variables'!$B$39,+'5.Variables'!$C57,+IF(N$18='5.Variables'!$B$62,+'5.Variables'!$C71,+IF(N$18='5.Variables'!$B$76,+'5.Variables'!$C85,+IF(N$18='5.Variables'!$B$90,+'5.Variables'!$C99,+IF(N$18='5.Variables'!$B$104,+'5.Variables'!$C113,0))))))</f>
        <v>1</v>
      </c>
      <c r="O104" s="725">
        <f>IF(O$18='5.Variables'!$B$16,+'5.Variables'!$C33,+IF(O$18='5.Variables'!$B$39,+'5.Variables'!$C57,+IF(O$18='5.Variables'!$B$62,+'5.Variables'!$C71,+IF(O$18='5.Variables'!$B$76,+'5.Variables'!$C85,+IF(O$18='5.Variables'!$B$90,+'5.Variables'!$C99,+IF(O$18='5.Variables'!$B$104,+'5.Variables'!$C113,0))))))</f>
        <v>31</v>
      </c>
      <c r="P104" s="725">
        <f>IF(P$18='5.Variables'!$B$16,+'5.Variables'!$C33,+IF(P$18='5.Variables'!$B$39,+'5.Variables'!$C57,+IF(P$18='5.Variables'!$B$62,+'5.Variables'!$C71,+IF(P$18='5.Variables'!$B$76,+'5.Variables'!$C85,+IF(P$18='5.Variables'!$B$90,+'5.Variables'!$C99,+IF(P$18='5.Variables'!$B$104,+'5.Variables'!$C113,0))))))</f>
        <v>0</v>
      </c>
      <c r="Q104" s="245"/>
      <c r="R104" s="558">
        <f t="shared" si="9"/>
        <v>20485154.268596876</v>
      </c>
      <c r="S104" s="265"/>
      <c r="T104" s="245"/>
      <c r="U104" s="245"/>
      <c r="V104" s="245"/>
      <c r="W104" s="245"/>
      <c r="X104" s="245"/>
      <c r="Y104" s="245"/>
      <c r="Z104" s="245"/>
      <c r="AA104" s="245"/>
      <c r="AB104" s="245"/>
      <c r="AC104" s="245"/>
      <c r="AD104" s="245"/>
      <c r="AE104" s="245"/>
      <c r="AF104" s="245"/>
      <c r="AG104" s="245"/>
      <c r="AH104" s="245"/>
      <c r="AI104" s="245"/>
      <c r="AJ104" s="245"/>
      <c r="AK104" s="245"/>
      <c r="AL104" s="245"/>
      <c r="AM104" s="245"/>
    </row>
    <row r="105" spans="1:39" x14ac:dyDescent="0.2">
      <c r="A105" s="503">
        <f t="shared" si="10"/>
        <v>86</v>
      </c>
      <c r="B105" s="262" t="str">
        <f>CONCATENATE('3. Consumption by Rate Class'!B110,"-",'3. Consumption by Rate Class'!C110)</f>
        <v>2012-February</v>
      </c>
      <c r="C105" s="697">
        <v>18577263.48</v>
      </c>
      <c r="D105" s="703"/>
      <c r="E105" s="707"/>
      <c r="F105" s="707"/>
      <c r="G105" s="703"/>
      <c r="H105" s="704"/>
      <c r="I105" s="704"/>
      <c r="J105" s="263">
        <f t="shared" si="8"/>
        <v>18577263.48</v>
      </c>
      <c r="K105" s="725">
        <f>IF(K$18='5.Variables'!$B$16,+'5.Variables'!$D34,+IF(K$18='5.Variables'!$B$39,+'5.Variables'!$D57,+IF(K$18='5.Variables'!$B$62,+'5.Variables'!$D71,+IF(K$18='5.Variables'!$B$76,+'5.Variables'!$D85,+IF(K$18='5.Variables'!$B$90,+'5.Variables'!$D99,+IF(K$18='5.Variables'!$B$104,+'5.Variables'!$D113,0))))))</f>
        <v>671.4</v>
      </c>
      <c r="L105" s="725">
        <f>IF(L$18='5.Variables'!$B$16,+'5.Variables'!$D33,+IF(L$18='5.Variables'!$B$39,+'5.Variables'!$D57,+IF(L$18='5.Variables'!$B$62,+'5.Variables'!$D71,+IF(L$18='5.Variables'!$B$76,+'5.Variables'!$D85,+IF(L$18='5.Variables'!$B$90,+'5.Variables'!$D99,+IF(L$18='5.Variables'!$B$104,+'5.Variables'!$D113,0))))))</f>
        <v>0</v>
      </c>
      <c r="M105" s="725">
        <f>IF(M$18='5.Variables'!$B$16,+'5.Variables'!$D33,+IF(M$18='5.Variables'!$B$39,+'5.Variables'!$D57,+IF(M$18='5.Variables'!$B$62,+'5.Variables'!$D71,+IF(M$18='5.Variables'!$B$76,+'5.Variables'!$D85,+IF(M$18='5.Variables'!$B$90,+'5.Variables'!$D99,+IF(M$18='5.Variables'!$B$104,+'5.Variables'!$D113,0))))))</f>
        <v>1</v>
      </c>
      <c r="N105" s="725">
        <f>IF(N$18='5.Variables'!$B$16,+'5.Variables'!$D33,+IF(N$18='5.Variables'!$B$39,+'5.Variables'!$D57,+IF(N$18='5.Variables'!$B$62,+'5.Variables'!$D71,+IF(N$18='5.Variables'!$B$76,+'5.Variables'!$D85,+IF(N$18='5.Variables'!$B$90,+'5.Variables'!$D99,+IF(N$18='5.Variables'!$B$104,+'5.Variables'!$D113,0))))))</f>
        <v>0</v>
      </c>
      <c r="O105" s="725">
        <f>IF(O$18='5.Variables'!$B$16,+'5.Variables'!$D33,+IF(O$18='5.Variables'!$B$39,+'5.Variables'!$D57,+IF(O$18='5.Variables'!$B$62,+'5.Variables'!$D71,+IF(O$18='5.Variables'!$B$76,+'5.Variables'!$D85,+IF(O$18='5.Variables'!$B$90,+'5.Variables'!$D99,+IF(O$18='5.Variables'!$B$104,+'5.Variables'!$D113,0))))))</f>
        <v>29</v>
      </c>
      <c r="P105" s="725">
        <f>IF(P$18='5.Variables'!$B$16,+'5.Variables'!$D33,+IF(P$18='5.Variables'!$B$39,+'5.Variables'!$D57,+IF(P$18='5.Variables'!$B$62,+'5.Variables'!$D71,+IF(P$18='5.Variables'!$B$76,+'5.Variables'!$D85,+IF(P$18='5.Variables'!$B$90,+'5.Variables'!$D99,+IF(P$18='5.Variables'!$B$104,+'5.Variables'!$D113,0))))))</f>
        <v>0</v>
      </c>
      <c r="Q105" s="245"/>
      <c r="R105" s="558">
        <f t="shared" si="9"/>
        <v>19345516.802032739</v>
      </c>
      <c r="S105" s="265"/>
      <c r="T105" s="245"/>
      <c r="U105" s="245"/>
      <c r="V105" s="245"/>
      <c r="W105" s="245"/>
      <c r="X105" s="245"/>
      <c r="Y105" s="245"/>
      <c r="Z105" s="245"/>
      <c r="AA105" s="245"/>
      <c r="AB105" s="245"/>
      <c r="AC105" s="245"/>
      <c r="AD105" s="245"/>
      <c r="AE105" s="245"/>
      <c r="AF105" s="245"/>
      <c r="AG105" s="245"/>
      <c r="AH105" s="245"/>
      <c r="AI105" s="245"/>
      <c r="AJ105" s="245"/>
      <c r="AK105" s="245"/>
      <c r="AL105" s="245"/>
      <c r="AM105" s="245"/>
    </row>
    <row r="106" spans="1:39" x14ac:dyDescent="0.2">
      <c r="A106" s="503">
        <f t="shared" si="10"/>
        <v>87</v>
      </c>
      <c r="B106" s="262" t="str">
        <f>CONCATENATE('3. Consumption by Rate Class'!B111,"-",'3. Consumption by Rate Class'!C111)</f>
        <v>2012-March</v>
      </c>
      <c r="C106" s="697">
        <v>17771679.620000001</v>
      </c>
      <c r="D106" s="703"/>
      <c r="E106" s="707"/>
      <c r="F106" s="707"/>
      <c r="G106" s="703"/>
      <c r="H106" s="704"/>
      <c r="I106" s="704"/>
      <c r="J106" s="263">
        <f t="shared" si="8"/>
        <v>17771679.620000001</v>
      </c>
      <c r="K106" s="725">
        <f>IF(K$18='5.Variables'!$B$16,+'5.Variables'!$E34,+IF(K$18='5.Variables'!$B$39,+'5.Variables'!$E57,+IF(K$18='5.Variables'!$B$62,+'5.Variables'!$E71,+IF(K$18='5.Variables'!$B$76,+'5.Variables'!$E85,+IF(K$18='5.Variables'!$B$90,+'5.Variables'!$E99,+IF(K$18='5.Variables'!$B$104,+'5.Variables'!$E113,0))))))</f>
        <v>460.3</v>
      </c>
      <c r="L106" s="725">
        <f>IF(L$18='5.Variables'!$B$16,+'5.Variables'!$E33,+IF(L$18='5.Variables'!$B$39,+'5.Variables'!$E57,+IF(L$18='5.Variables'!$B$62,+'5.Variables'!$E71,+IF(L$18='5.Variables'!$B$76,+'5.Variables'!$E85,+IF(L$18='5.Variables'!$B$90,+'5.Variables'!$E99,+IF(L$18='5.Variables'!$B$104,+'5.Variables'!$E113,0))))))</f>
        <v>0</v>
      </c>
      <c r="M106" s="725">
        <f>IF(M$18='5.Variables'!$B$16,+'5.Variables'!$E33,+IF(M$18='5.Variables'!$B$39,+'5.Variables'!$E57,+IF(M$18='5.Variables'!$B$62,+'5.Variables'!$E71,+IF(M$18='5.Variables'!$B$76,+'5.Variables'!$E85,+IF(M$18='5.Variables'!$B$90,+'5.Variables'!$E99,+IF(M$18='5.Variables'!$B$104,+'5.Variables'!$E113,0))))))</f>
        <v>0</v>
      </c>
      <c r="N106" s="725">
        <f>IF(N$18='5.Variables'!$B$16,+'5.Variables'!$E33,+IF(N$18='5.Variables'!$B$39,+'5.Variables'!$E57,+IF(N$18='5.Variables'!$B$62,+'5.Variables'!$E71,+IF(N$18='5.Variables'!$B$76,+'5.Variables'!$E85,+IF(N$18='5.Variables'!$B$90,+'5.Variables'!$E99,+IF(N$18='5.Variables'!$B$104,+'5.Variables'!$E113,0))))))</f>
        <v>1</v>
      </c>
      <c r="O106" s="725">
        <f>IF(O$18='5.Variables'!$B$16,+'5.Variables'!$E33,+IF(O$18='5.Variables'!$B$39,+'5.Variables'!$E57,+IF(O$18='5.Variables'!$B$62,+'5.Variables'!$E71,+IF(O$18='5.Variables'!$B$76,+'5.Variables'!$E85,+IF(O$18='5.Variables'!$B$90,+'5.Variables'!$E99,+IF(O$18='5.Variables'!$B$104,+'5.Variables'!$E113,0))))))</f>
        <v>31</v>
      </c>
      <c r="P106" s="725">
        <f>IF(P$18='5.Variables'!$B$16,+'5.Variables'!$E33,+IF(P$18='5.Variables'!$B$39,+'5.Variables'!$E57,+IF(P$18='5.Variables'!$B$62,+'5.Variables'!$E71,+IF(P$18='5.Variables'!$B$76,+'5.Variables'!$E85,+IF(P$18='5.Variables'!$B$90,+'5.Variables'!$E99,+IF(P$18='5.Variables'!$B$104,+'5.Variables'!$E113,0))))))</f>
        <v>0</v>
      </c>
      <c r="Q106" s="245"/>
      <c r="R106" s="558">
        <f t="shared" si="9"/>
        <v>16363190.953304434</v>
      </c>
      <c r="S106" s="265"/>
      <c r="T106" s="245"/>
      <c r="U106" s="245"/>
      <c r="V106" s="245"/>
      <c r="W106" s="245"/>
      <c r="X106" s="245"/>
      <c r="Y106" s="245"/>
      <c r="Z106" s="245"/>
      <c r="AA106" s="245"/>
      <c r="AB106" s="245"/>
      <c r="AC106" s="245"/>
      <c r="AD106" s="245"/>
      <c r="AE106" s="245"/>
      <c r="AF106" s="245"/>
      <c r="AG106" s="245"/>
      <c r="AH106" s="245"/>
      <c r="AI106" s="245"/>
      <c r="AJ106" s="245"/>
      <c r="AK106" s="245"/>
      <c r="AL106" s="245"/>
      <c r="AM106" s="245"/>
    </row>
    <row r="107" spans="1:39" x14ac:dyDescent="0.2">
      <c r="A107" s="503">
        <f t="shared" si="10"/>
        <v>88</v>
      </c>
      <c r="B107" s="262" t="str">
        <f>CONCATENATE('3. Consumption by Rate Class'!B112,"-",'3. Consumption by Rate Class'!C112)</f>
        <v>2012-April</v>
      </c>
      <c r="C107" s="697">
        <v>14737358.42</v>
      </c>
      <c r="D107" s="703"/>
      <c r="E107" s="707"/>
      <c r="F107" s="707"/>
      <c r="G107" s="703"/>
      <c r="H107" s="704"/>
      <c r="I107" s="704"/>
      <c r="J107" s="263">
        <f t="shared" si="8"/>
        <v>14737358.42</v>
      </c>
      <c r="K107" s="725">
        <f>IF(K$18='5.Variables'!$B$16,+'5.Variables'!$F34,+IF(K$18='5.Variables'!$B$39,+'5.Variables'!$F57,+IF(K$18='5.Variables'!$B$62,+'5.Variables'!$F71,+IF(K$18='5.Variables'!$B$76,+'5.Variables'!$F85,+IF(K$18='5.Variables'!$B$90,+'5.Variables'!$F99,+IF(K$18='5.Variables'!$B$104,+'5.Variables'!$F113,0))))))</f>
        <v>363.3</v>
      </c>
      <c r="L107" s="725">
        <f>IF(L$18='5.Variables'!$B$16,+'5.Variables'!$F33,+IF(L$18='5.Variables'!$B$39,+'5.Variables'!$F57,+IF(L$18='5.Variables'!$B$62,+'5.Variables'!$F71,+IF(L$18='5.Variables'!$B$76,+'5.Variables'!$F85,+IF(L$18='5.Variables'!$B$90,+'5.Variables'!$F99,+IF(L$18='5.Variables'!$B$104,+'5.Variables'!$F113,0))))))</f>
        <v>3.2</v>
      </c>
      <c r="M107" s="725">
        <f>IF(M$18='5.Variables'!$B$16,+'5.Variables'!$F33,+IF(M$18='5.Variables'!$B$39,+'5.Variables'!$F57,+IF(M$18='5.Variables'!$B$62,+'5.Variables'!$F71,+IF(M$18='5.Variables'!$B$76,+'5.Variables'!$F85,+IF(M$18='5.Variables'!$B$90,+'5.Variables'!$F99,+IF(M$18='5.Variables'!$B$104,+'5.Variables'!$F113,0))))))</f>
        <v>0</v>
      </c>
      <c r="N107" s="725">
        <f>IF(N$18='5.Variables'!$B$16,+'5.Variables'!$F33,+IF(N$18='5.Variables'!$B$39,+'5.Variables'!$F57,+IF(N$18='5.Variables'!$B$62,+'5.Variables'!$F71,+IF(N$18='5.Variables'!$B$76,+'5.Variables'!$F85,+IF(N$18='5.Variables'!$B$90,+'5.Variables'!$F99,+IF(N$18='5.Variables'!$B$104,+'5.Variables'!$F113,0))))))</f>
        <v>0</v>
      </c>
      <c r="O107" s="725">
        <f>IF(O$18='5.Variables'!$B$16,+'5.Variables'!$F33,+IF(O$18='5.Variables'!$B$39,+'5.Variables'!$F57,+IF(O$18='5.Variables'!$B$62,+'5.Variables'!$F71,+IF(O$18='5.Variables'!$B$76,+'5.Variables'!$F85,+IF(O$18='5.Variables'!$B$90,+'5.Variables'!$F99,+IF(O$18='5.Variables'!$B$104,+'5.Variables'!$F113,0))))))</f>
        <v>30</v>
      </c>
      <c r="P107" s="725">
        <f>IF(P$18='5.Variables'!$B$16,+'5.Variables'!$F33,+IF(P$18='5.Variables'!$B$39,+'5.Variables'!$F57,+IF(P$18='5.Variables'!$B$62,+'5.Variables'!$F71,+IF(P$18='5.Variables'!$B$76,+'5.Variables'!$F85,+IF(P$18='5.Variables'!$B$90,+'5.Variables'!$F99,+IF(P$18='5.Variables'!$B$104,+'5.Variables'!$F113,0))))))</f>
        <v>0</v>
      </c>
      <c r="Q107" s="245"/>
      <c r="R107" s="558">
        <f t="shared" si="9"/>
        <v>15758609.602015877</v>
      </c>
      <c r="S107" s="265"/>
      <c r="T107" s="245"/>
      <c r="U107" s="245"/>
      <c r="V107" s="245"/>
      <c r="W107" s="245"/>
      <c r="X107" s="245"/>
      <c r="Y107" s="245"/>
      <c r="Z107" s="245"/>
      <c r="AA107" s="245"/>
      <c r="AB107" s="245"/>
      <c r="AC107" s="245"/>
      <c r="AD107" s="245"/>
      <c r="AE107" s="245"/>
      <c r="AF107" s="245"/>
      <c r="AG107" s="245"/>
      <c r="AH107" s="245"/>
      <c r="AI107" s="245"/>
      <c r="AJ107" s="245"/>
      <c r="AK107" s="245"/>
      <c r="AL107" s="245"/>
      <c r="AM107" s="245"/>
    </row>
    <row r="108" spans="1:39" x14ac:dyDescent="0.2">
      <c r="A108" s="503">
        <f t="shared" si="10"/>
        <v>89</v>
      </c>
      <c r="B108" s="262" t="str">
        <f>CONCATENATE('3. Consumption by Rate Class'!B113,"-",'3. Consumption by Rate Class'!C113)</f>
        <v>2012-May</v>
      </c>
      <c r="C108" s="697">
        <v>14470448.540000001</v>
      </c>
      <c r="D108" s="703"/>
      <c r="E108" s="707"/>
      <c r="F108" s="707"/>
      <c r="G108" s="703"/>
      <c r="H108" s="704"/>
      <c r="I108" s="704"/>
      <c r="J108" s="263">
        <f t="shared" si="8"/>
        <v>14470448.540000001</v>
      </c>
      <c r="K108" s="725">
        <f>IF(K$18='5.Variables'!$B$16,+'5.Variables'!$G34,+IF(K$18='5.Variables'!$B$39,+'5.Variables'!$G57,+IF(K$18='5.Variables'!$B$62,+'5.Variables'!$G71,+IF(K$18='5.Variables'!$B$76,+'5.Variables'!$G85,+IF(K$18='5.Variables'!$B$90,+'5.Variables'!$G99,+IF(K$18='5.Variables'!$B$104,+'5.Variables'!$G113,0))))))</f>
        <v>96</v>
      </c>
      <c r="L108" s="725">
        <f>IF(L$18='5.Variables'!$B$16,+'5.Variables'!$G33,+IF(L$18='5.Variables'!$B$39,+'5.Variables'!$G57,+IF(L$18='5.Variables'!$B$62,+'5.Variables'!$G71,+IF(L$18='5.Variables'!$B$76,+'5.Variables'!$G85,+IF(L$18='5.Variables'!$B$90,+'5.Variables'!$G99,+IF(L$18='5.Variables'!$B$104,+'5.Variables'!$G113,0))))))</f>
        <v>21</v>
      </c>
      <c r="M108" s="725">
        <f>IF(M$18='5.Variables'!$B$16,+'5.Variables'!$G33,+IF(M$18='5.Variables'!$B$39,+'5.Variables'!$G57,+IF(M$18='5.Variables'!$B$62,+'5.Variables'!$G71,+IF(M$18='5.Variables'!$B$76,+'5.Variables'!$G85,+IF(M$18='5.Variables'!$B$90,+'5.Variables'!$G99,+IF(M$18='5.Variables'!$B$104,+'5.Variables'!$G113,0))))))</f>
        <v>0</v>
      </c>
      <c r="N108" s="725">
        <f>IF(N$18='5.Variables'!$B$16,+'5.Variables'!$G33,+IF(N$18='5.Variables'!$B$39,+'5.Variables'!$G57,+IF(N$18='5.Variables'!$B$62,+'5.Variables'!$G71,+IF(N$18='5.Variables'!$B$76,+'5.Variables'!$G85,+IF(N$18='5.Variables'!$B$90,+'5.Variables'!$G99,+IF(N$18='5.Variables'!$B$104,+'5.Variables'!$G113,0))))))</f>
        <v>0</v>
      </c>
      <c r="O108" s="725">
        <f>IF(O$18='5.Variables'!$B$16,+'5.Variables'!$G33,+IF(O$18='5.Variables'!$B$39,+'5.Variables'!$G57,+IF(O$18='5.Variables'!$B$62,+'5.Variables'!$G71,+IF(O$18='5.Variables'!$B$76,+'5.Variables'!$G85,+IF(O$18='5.Variables'!$B$90,+'5.Variables'!$G99,+IF(O$18='5.Variables'!$B$104,+'5.Variables'!$G113,0))))))</f>
        <v>31</v>
      </c>
      <c r="P108" s="725">
        <f>IF(P$18='5.Variables'!$B$16,+'5.Variables'!$G33,+IF(P$18='5.Variables'!$B$39,+'5.Variables'!$G57,+IF(P$18='5.Variables'!$B$62,+'5.Variables'!$G71,+IF(P$18='5.Variables'!$B$76,+'5.Variables'!$G85,+IF(P$18='5.Variables'!$B$90,+'5.Variables'!$G99,+IF(P$18='5.Variables'!$B$104,+'5.Variables'!$G113,0))))))</f>
        <v>0</v>
      </c>
      <c r="Q108" s="245"/>
      <c r="R108" s="558">
        <f t="shared" si="9"/>
        <v>14339739.530588677</v>
      </c>
      <c r="S108" s="265"/>
      <c r="T108" s="245"/>
      <c r="U108" s="245"/>
      <c r="V108" s="245"/>
      <c r="W108" s="245"/>
      <c r="X108" s="245"/>
      <c r="Y108" s="245"/>
      <c r="Z108" s="245"/>
      <c r="AA108" s="245"/>
      <c r="AB108" s="245"/>
      <c r="AC108" s="245"/>
      <c r="AD108" s="245"/>
      <c r="AE108" s="245"/>
      <c r="AF108" s="245"/>
      <c r="AG108" s="245"/>
      <c r="AH108" s="245"/>
      <c r="AI108" s="245"/>
      <c r="AJ108" s="245"/>
      <c r="AK108" s="245"/>
      <c r="AL108" s="245"/>
      <c r="AM108" s="245"/>
    </row>
    <row r="109" spans="1:39" x14ac:dyDescent="0.2">
      <c r="A109" s="503">
        <f t="shared" si="10"/>
        <v>90</v>
      </c>
      <c r="B109" s="262" t="str">
        <f>CONCATENATE('3. Consumption by Rate Class'!B114,"-",'3. Consumption by Rate Class'!C114)</f>
        <v>2012-June</v>
      </c>
      <c r="C109" s="697">
        <v>15810906.49</v>
      </c>
      <c r="D109" s="703"/>
      <c r="E109" s="707"/>
      <c r="F109" s="707"/>
      <c r="G109" s="703"/>
      <c r="H109" s="704"/>
      <c r="I109" s="704"/>
      <c r="J109" s="263">
        <f t="shared" si="8"/>
        <v>15810906.49</v>
      </c>
      <c r="K109" s="725">
        <f>IF(K$18='5.Variables'!$B$16,+'5.Variables'!$H34,+IF(K$18='5.Variables'!$B$39,+'5.Variables'!$H57,+IF(K$18='5.Variables'!$B$62,+'5.Variables'!$H71,+IF(K$18='5.Variables'!$B$76,+'5.Variables'!$H85,+IF(K$18='5.Variables'!$B$90,+'5.Variables'!$H99,+IF(K$18='5.Variables'!$B$104,+'5.Variables'!$H113,0))))))</f>
        <v>31.4</v>
      </c>
      <c r="L109" s="725">
        <f>IF(L$18='5.Variables'!$B$16,+'5.Variables'!$H33,+IF(L$18='5.Variables'!$B$39,+'5.Variables'!$H57,+IF(L$18='5.Variables'!$B$62,+'5.Variables'!$H71,+IF(L$18='5.Variables'!$B$76,+'5.Variables'!$H85,+IF(L$18='5.Variables'!$B$90,+'5.Variables'!$H99,+IF(L$18='5.Variables'!$B$104,+'5.Variables'!$H113,0))))))</f>
        <v>70.400000000000006</v>
      </c>
      <c r="M109" s="725">
        <f>IF(M$18='5.Variables'!$B$16,+'5.Variables'!$H33,+IF(M$18='5.Variables'!$B$39,+'5.Variables'!$H57,+IF(M$18='5.Variables'!$B$62,+'5.Variables'!$H71,+IF(M$18='5.Variables'!$B$76,+'5.Variables'!$H85,+IF(M$18='5.Variables'!$B$90,+'5.Variables'!$H99,+IF(M$18='5.Variables'!$B$104,+'5.Variables'!$H113,0))))))</f>
        <v>0</v>
      </c>
      <c r="N109" s="725">
        <f>IF(N$18='5.Variables'!$B$16,+'5.Variables'!$H33,+IF(N$18='5.Variables'!$B$39,+'5.Variables'!$H57,+IF(N$18='5.Variables'!$B$62,+'5.Variables'!$H71,+IF(N$18='5.Variables'!$B$76,+'5.Variables'!$H85,+IF(N$18='5.Variables'!$B$90,+'5.Variables'!$H99,+IF(N$18='5.Variables'!$B$104,+'5.Variables'!$H113,0))))))</f>
        <v>0</v>
      </c>
      <c r="O109" s="725">
        <f>IF(O$18='5.Variables'!$B$16,+'5.Variables'!$H33,+IF(O$18='5.Variables'!$B$39,+'5.Variables'!$H57,+IF(O$18='5.Variables'!$B$62,+'5.Variables'!$H71,+IF(O$18='5.Variables'!$B$76,+'5.Variables'!$H85,+IF(O$18='5.Variables'!$B$90,+'5.Variables'!$H99,+IF(O$18='5.Variables'!$B$104,+'5.Variables'!$H113,0))))))</f>
        <v>30</v>
      </c>
      <c r="P109" s="725">
        <f>IF(P$18='5.Variables'!$B$16,+'5.Variables'!$H33,+IF(P$18='5.Variables'!$B$39,+'5.Variables'!$H57,+IF(P$18='5.Variables'!$B$62,+'5.Variables'!$H71,+IF(P$18='5.Variables'!$B$76,+'5.Variables'!$H85,+IF(P$18='5.Variables'!$B$90,+'5.Variables'!$H99,+IF(P$18='5.Variables'!$B$104,+'5.Variables'!$H113,0))))))</f>
        <v>0</v>
      </c>
      <c r="Q109" s="245"/>
      <c r="R109" s="558">
        <f t="shared" si="9"/>
        <v>15237813.782841586</v>
      </c>
      <c r="S109" s="265"/>
      <c r="T109" s="245"/>
      <c r="U109" s="245"/>
      <c r="V109" s="245"/>
      <c r="W109" s="245"/>
      <c r="X109" s="245"/>
      <c r="Y109" s="245"/>
      <c r="Z109" s="245"/>
      <c r="AA109" s="245"/>
      <c r="AB109" s="245"/>
      <c r="AC109" s="245"/>
      <c r="AD109" s="245"/>
      <c r="AE109" s="245"/>
      <c r="AF109" s="245"/>
      <c r="AG109" s="245"/>
      <c r="AH109" s="245"/>
      <c r="AI109" s="245"/>
      <c r="AJ109" s="245"/>
      <c r="AK109" s="245"/>
      <c r="AL109" s="245"/>
      <c r="AM109" s="245"/>
    </row>
    <row r="110" spans="1:39" x14ac:dyDescent="0.2">
      <c r="A110" s="503">
        <f t="shared" si="10"/>
        <v>91</v>
      </c>
      <c r="B110" s="262" t="str">
        <f>CONCATENATE('3. Consumption by Rate Class'!B115,"-",'3. Consumption by Rate Class'!C115)</f>
        <v>2012-July</v>
      </c>
      <c r="C110" s="697">
        <v>15758011.33</v>
      </c>
      <c r="D110" s="703"/>
      <c r="E110" s="707"/>
      <c r="F110" s="707"/>
      <c r="G110" s="703"/>
      <c r="H110" s="704"/>
      <c r="I110" s="704"/>
      <c r="J110" s="263">
        <f t="shared" si="8"/>
        <v>15758011.33</v>
      </c>
      <c r="K110" s="725">
        <f>IF(K$18='5.Variables'!$B$16,+'5.Variables'!$I34,+IF(K$18='5.Variables'!$B$39,+'5.Variables'!$I57,+IF(K$18='5.Variables'!$B$62,+'5.Variables'!$I71,+IF(K$18='5.Variables'!$B$76,+'5.Variables'!$I85,+IF(K$18='5.Variables'!$B$90,+'5.Variables'!$I99,+IF(K$18='5.Variables'!$B$104,+'5.Variables'!$I113,0))))))</f>
        <v>0</v>
      </c>
      <c r="L110" s="725">
        <f>IF(L$18='5.Variables'!$B$16,+'5.Variables'!$I33,+IF(L$18='5.Variables'!$B$39,+'5.Variables'!$I57,+IF(L$18='5.Variables'!$B$62,+'5.Variables'!$I71,+IF(L$18='5.Variables'!$B$76,+'5.Variables'!$I85,+IF(L$18='5.Variables'!$B$90,+'5.Variables'!$I99,+IF(L$18='5.Variables'!$B$104,+'5.Variables'!$I113,0))))))</f>
        <v>142.19999999999999</v>
      </c>
      <c r="M110" s="725">
        <f>IF(M$18='5.Variables'!$B$16,+'5.Variables'!$I33,+IF(M$18='5.Variables'!$B$39,+'5.Variables'!$I57,+IF(M$18='5.Variables'!$B$62,+'5.Variables'!$I71,+IF(M$18='5.Variables'!$B$76,+'5.Variables'!$I85,+IF(M$18='5.Variables'!$B$90,+'5.Variables'!$I99,+IF(M$18='5.Variables'!$B$104,+'5.Variables'!$I113,0))))))</f>
        <v>0</v>
      </c>
      <c r="N110" s="725">
        <f>IF(N$18='5.Variables'!$B$16,+'5.Variables'!$I33,+IF(N$18='5.Variables'!$B$39,+'5.Variables'!$I57,+IF(N$18='5.Variables'!$B$62,+'5.Variables'!$I71,+IF(N$18='5.Variables'!$B$76,+'5.Variables'!$I85,+IF(N$18='5.Variables'!$B$90,+'5.Variables'!$I99,+IF(N$18='5.Variables'!$B$104,+'5.Variables'!$I113,0))))))</f>
        <v>1</v>
      </c>
      <c r="O110" s="725">
        <f>IF(O$18='5.Variables'!$B$16,+'5.Variables'!$I33,+IF(O$18='5.Variables'!$B$39,+'5.Variables'!$I57,+IF(O$18='5.Variables'!$B$62,+'5.Variables'!$I71,+IF(O$18='5.Variables'!$B$76,+'5.Variables'!$I85,+IF(O$18='5.Variables'!$B$90,+'5.Variables'!$I99,+IF(O$18='5.Variables'!$B$104,+'5.Variables'!$I113,0))))))</f>
        <v>31</v>
      </c>
      <c r="P110" s="725">
        <f>IF(P$18='5.Variables'!$B$16,+'5.Variables'!$I33,+IF(P$18='5.Variables'!$B$39,+'5.Variables'!$I57,+IF(P$18='5.Variables'!$B$62,+'5.Variables'!$I71,+IF(P$18='5.Variables'!$B$76,+'5.Variables'!$I85,+IF(P$18='5.Variables'!$B$90,+'5.Variables'!$I99,+IF(P$18='5.Variables'!$B$104,+'5.Variables'!$I113,0))))))</f>
        <v>0</v>
      </c>
      <c r="Q110" s="245"/>
      <c r="R110" s="558">
        <f t="shared" si="9"/>
        <v>16989343.661832608</v>
      </c>
      <c r="S110" s="265"/>
      <c r="T110" s="245"/>
      <c r="U110" s="245"/>
      <c r="V110" s="245"/>
      <c r="W110" s="245"/>
      <c r="X110" s="245"/>
      <c r="Y110" s="245"/>
      <c r="Z110" s="245"/>
      <c r="AA110" s="245"/>
      <c r="AB110" s="245"/>
      <c r="AC110" s="245"/>
      <c r="AD110" s="245"/>
      <c r="AE110" s="245"/>
      <c r="AF110" s="245"/>
      <c r="AG110" s="245"/>
      <c r="AH110" s="245"/>
      <c r="AI110" s="245"/>
      <c r="AJ110" s="245"/>
      <c r="AK110" s="245"/>
      <c r="AL110" s="245"/>
      <c r="AM110" s="245"/>
    </row>
    <row r="111" spans="1:39" x14ac:dyDescent="0.2">
      <c r="A111" s="503">
        <f t="shared" si="10"/>
        <v>92</v>
      </c>
      <c r="B111" s="262" t="str">
        <f>CONCATENATE('3. Consumption by Rate Class'!B116,"-",'3. Consumption by Rate Class'!C116)</f>
        <v>2012-August</v>
      </c>
      <c r="C111" s="697">
        <v>16774606.08</v>
      </c>
      <c r="D111" s="703"/>
      <c r="E111" s="707"/>
      <c r="F111" s="707"/>
      <c r="G111" s="703"/>
      <c r="H111" s="704"/>
      <c r="I111" s="704"/>
      <c r="J111" s="263">
        <f t="shared" si="8"/>
        <v>16774606.08</v>
      </c>
      <c r="K111" s="725">
        <f>IF(K$18='5.Variables'!$B$16,+'5.Variables'!$J34,+IF(K$18='5.Variables'!$B$39,+'5.Variables'!$J57,+IF(K$18='5.Variables'!$B$62,+'5.Variables'!$J71,+IF(K$18='5.Variables'!$B$76,+'5.Variables'!$J85,+IF(K$18='5.Variables'!$B$90,+'5.Variables'!$J99,+IF(K$18='5.Variables'!$B$104,+'5.Variables'!$J113,0))))))</f>
        <v>8.4</v>
      </c>
      <c r="L111" s="725">
        <f>IF(L$18='5.Variables'!$B$16,+'5.Variables'!$J33,+IF(L$18='5.Variables'!$B$39,+'5.Variables'!$J57,+IF(L$18='5.Variables'!$B$62,+'5.Variables'!$J71,+IF(L$18='5.Variables'!$B$76,+'5.Variables'!$J85,+IF(L$18='5.Variables'!$B$90,+'5.Variables'!$J99,+IF(L$18='5.Variables'!$B$104,+'5.Variables'!$J113,0))))))</f>
        <v>97.6</v>
      </c>
      <c r="M111" s="725">
        <f>IF(M$18='5.Variables'!$B$16,+'5.Variables'!$J33,+IF(M$18='5.Variables'!$B$39,+'5.Variables'!$J57,+IF(M$18='5.Variables'!$B$62,+'5.Variables'!$J71,+IF(M$18='5.Variables'!$B$76,+'5.Variables'!$J85,+IF(M$18='5.Variables'!$B$90,+'5.Variables'!$J99,+IF(M$18='5.Variables'!$B$104,+'5.Variables'!$J113,0))))))</f>
        <v>0</v>
      </c>
      <c r="N111" s="725">
        <f>IF(N$18='5.Variables'!$B$16,+'5.Variables'!$J33,+IF(N$18='5.Variables'!$B$39,+'5.Variables'!$J57,+IF(N$18='5.Variables'!$B$62,+'5.Variables'!$J71,+IF(N$18='5.Variables'!$B$76,+'5.Variables'!$J85,+IF(N$18='5.Variables'!$B$90,+'5.Variables'!$J99,+IF(N$18='5.Variables'!$B$104,+'5.Variables'!$J113,0))))))</f>
        <v>0</v>
      </c>
      <c r="O111" s="725">
        <f>IF(O$18='5.Variables'!$B$16,+'5.Variables'!$J33,+IF(O$18='5.Variables'!$B$39,+'5.Variables'!$J57,+IF(O$18='5.Variables'!$B$62,+'5.Variables'!$J71,+IF(O$18='5.Variables'!$B$76,+'5.Variables'!$J85,+IF(O$18='5.Variables'!$B$90,+'5.Variables'!$J99,+IF(O$18='5.Variables'!$B$104,+'5.Variables'!$J113,0))))))</f>
        <v>31</v>
      </c>
      <c r="P111" s="725">
        <f>IF(P$18='5.Variables'!$B$16,+'5.Variables'!$J33,+IF(P$18='5.Variables'!$B$39,+'5.Variables'!$J57,+IF(P$18='5.Variables'!$B$62,+'5.Variables'!$J71,+IF(P$18='5.Variables'!$B$76,+'5.Variables'!$J85,+IF(P$18='5.Variables'!$B$90,+'5.Variables'!$J99,+IF(P$18='5.Variables'!$B$104,+'5.Variables'!$J113,0))))))</f>
        <v>0</v>
      </c>
      <c r="Q111" s="245"/>
      <c r="R111" s="558">
        <f t="shared" si="9"/>
        <v>15822051.679414894</v>
      </c>
      <c r="S111" s="265"/>
      <c r="T111" s="245"/>
      <c r="U111" s="245"/>
      <c r="V111" s="245"/>
      <c r="W111" s="245"/>
      <c r="X111" s="245"/>
      <c r="Y111" s="245"/>
      <c r="Z111" s="245"/>
      <c r="AA111" s="245"/>
      <c r="AB111" s="245"/>
      <c r="AC111" s="245"/>
      <c r="AD111" s="245"/>
      <c r="AE111" s="245"/>
      <c r="AF111" s="245"/>
      <c r="AG111" s="245"/>
      <c r="AH111" s="245"/>
      <c r="AI111" s="245"/>
      <c r="AJ111" s="245"/>
      <c r="AK111" s="245"/>
      <c r="AL111" s="245"/>
      <c r="AM111" s="245"/>
    </row>
    <row r="112" spans="1:39" x14ac:dyDescent="0.2">
      <c r="A112" s="503">
        <f t="shared" si="10"/>
        <v>93</v>
      </c>
      <c r="B112" s="262" t="str">
        <f>CONCATENATE('3. Consumption by Rate Class'!B117,"-",'3. Consumption by Rate Class'!C117)</f>
        <v>2012-September</v>
      </c>
      <c r="C112" s="697">
        <v>13197164.210000001</v>
      </c>
      <c r="D112" s="703"/>
      <c r="E112" s="707"/>
      <c r="F112" s="707"/>
      <c r="G112" s="703"/>
      <c r="H112" s="704"/>
      <c r="I112" s="704"/>
      <c r="J112" s="263">
        <f t="shared" si="8"/>
        <v>13197164.210000001</v>
      </c>
      <c r="K112" s="725">
        <f>IF(K$18='5.Variables'!$B$16,+'5.Variables'!$K34,+IF(K$18='5.Variables'!$B$39,+'5.Variables'!$K57,+IF(K$18='5.Variables'!$B$62,+'5.Variables'!$K71,+IF(K$18='5.Variables'!$B$76,+'5.Variables'!$K85,+IF(K$18='5.Variables'!$B$90,+'5.Variables'!$K99,+IF(K$18='5.Variables'!$B$104,+'5.Variables'!$K113,0))))))</f>
        <v>127.3</v>
      </c>
      <c r="L112" s="725">
        <f>IF(L$18='5.Variables'!$B$16,+'5.Variables'!$K33,+IF(L$18='5.Variables'!$B$39,+'5.Variables'!$K57,+IF(L$18='5.Variables'!$B$62,+'5.Variables'!$K71,+IF(L$18='5.Variables'!$B$76,+'5.Variables'!$K85,+IF(L$18='5.Variables'!$B$90,+'5.Variables'!$K99,+IF(L$18='5.Variables'!$B$104,+'5.Variables'!$K113,0))))))</f>
        <v>20.6</v>
      </c>
      <c r="M112" s="725">
        <f>IF(M$18='5.Variables'!$B$16,+'5.Variables'!$K33,+IF(M$18='5.Variables'!$B$39,+'5.Variables'!$K57,+IF(M$18='5.Variables'!$B$62,+'5.Variables'!$K71,+IF(M$18='5.Variables'!$B$76,+'5.Variables'!$K85,+IF(M$18='5.Variables'!$B$90,+'5.Variables'!$K99,+IF(M$18='5.Variables'!$B$104,+'5.Variables'!$K113,0))))))</f>
        <v>0</v>
      </c>
      <c r="N112" s="725">
        <f>IF(N$18='5.Variables'!$B$16,+'5.Variables'!$K33,+IF(N$18='5.Variables'!$B$39,+'5.Variables'!$K57,+IF(N$18='5.Variables'!$B$62,+'5.Variables'!$K71,+IF(N$18='5.Variables'!$B$76,+'5.Variables'!$K85,+IF(N$18='5.Variables'!$B$90,+'5.Variables'!$K99,+IF(N$18='5.Variables'!$B$104,+'5.Variables'!$K113,0))))))</f>
        <v>0</v>
      </c>
      <c r="O112" s="725">
        <f>IF(O$18='5.Variables'!$B$16,+'5.Variables'!$K33,+IF(O$18='5.Variables'!$B$39,+'5.Variables'!$K57,+IF(O$18='5.Variables'!$B$62,+'5.Variables'!$K71,+IF(O$18='5.Variables'!$B$76,+'5.Variables'!$K85,+IF(O$18='5.Variables'!$B$90,+'5.Variables'!$K99,+IF(O$18='5.Variables'!$B$104,+'5.Variables'!$K113,0))))))</f>
        <v>30</v>
      </c>
      <c r="P112" s="725">
        <f>IF(P$18='5.Variables'!$B$16,+'5.Variables'!$K33,+IF(P$18='5.Variables'!$B$39,+'5.Variables'!$K57,+IF(P$18='5.Variables'!$B$62,+'5.Variables'!$K71,+IF(P$18='5.Variables'!$B$76,+'5.Variables'!$K85,+IF(P$18='5.Variables'!$B$90,+'5.Variables'!$K99,+IF(P$18='5.Variables'!$B$104,+'5.Variables'!$K113,0))))))</f>
        <v>0</v>
      </c>
      <c r="Q112" s="245"/>
      <c r="R112" s="558">
        <f t="shared" si="9"/>
        <v>14552232.928956937</v>
      </c>
      <c r="S112" s="265"/>
      <c r="T112" s="245"/>
      <c r="U112" s="245"/>
      <c r="V112" s="245"/>
      <c r="W112" s="245"/>
      <c r="X112" s="245"/>
      <c r="Y112" s="245"/>
      <c r="Z112" s="245"/>
      <c r="AA112" s="245"/>
      <c r="AB112" s="245"/>
      <c r="AC112" s="245"/>
      <c r="AD112" s="245"/>
      <c r="AE112" s="245"/>
      <c r="AF112" s="245"/>
      <c r="AG112" s="245"/>
      <c r="AH112" s="245"/>
      <c r="AI112" s="245"/>
      <c r="AJ112" s="245"/>
      <c r="AK112" s="245"/>
      <c r="AL112" s="245"/>
      <c r="AM112" s="245"/>
    </row>
    <row r="113" spans="1:39" x14ac:dyDescent="0.2">
      <c r="A113" s="503">
        <f t="shared" si="10"/>
        <v>94</v>
      </c>
      <c r="B113" s="262" t="str">
        <f>CONCATENATE('3. Consumption by Rate Class'!B118,"-",'3. Consumption by Rate Class'!C118)</f>
        <v>2012-October</v>
      </c>
      <c r="C113" s="697">
        <v>13562663.460000001</v>
      </c>
      <c r="D113" s="703"/>
      <c r="E113" s="707"/>
      <c r="F113" s="707"/>
      <c r="G113" s="703"/>
      <c r="H113" s="704"/>
      <c r="I113" s="704"/>
      <c r="J113" s="263">
        <f t="shared" si="8"/>
        <v>13562663.460000001</v>
      </c>
      <c r="K113" s="725">
        <f>IF(K$18='5.Variables'!$B$16,+'5.Variables'!$L34,+IF(K$18='5.Variables'!$B$39,+'5.Variables'!$L57,+IF(K$18='5.Variables'!$B$62,+'5.Variables'!$L71,+IF(K$18='5.Variables'!$B$76,+'5.Variables'!$L85,+IF(K$18='5.Variables'!$B$90,+'5.Variables'!$L99,+IF(K$18='5.Variables'!$B$104,+'5.Variables'!$L113,0))))))</f>
        <v>243.1</v>
      </c>
      <c r="L113" s="725">
        <f>IF(L$18='5.Variables'!$B$16,+'5.Variables'!$L33,+IF(L$18='5.Variables'!$B$39,+'5.Variables'!$L57,+IF(L$18='5.Variables'!$B$62,+'5.Variables'!$L71,+IF(L$18='5.Variables'!$B$76,+'5.Variables'!$L85,+IF(L$18='5.Variables'!$B$90,+'5.Variables'!$L99,+IF(L$18='5.Variables'!$B$104,+'5.Variables'!$L113,0))))))</f>
        <v>0</v>
      </c>
      <c r="M113" s="725">
        <f>IF(M$18='5.Variables'!$B$16,+'5.Variables'!$L33,+IF(M$18='5.Variables'!$B$39,+'5.Variables'!$L57,+IF(M$18='5.Variables'!$B$62,+'5.Variables'!$L71,+IF(M$18='5.Variables'!$B$76,+'5.Variables'!$L85,+IF(M$18='5.Variables'!$B$90,+'5.Variables'!$L99,+IF(M$18='5.Variables'!$B$104,+'5.Variables'!$L113,0))))))</f>
        <v>0</v>
      </c>
      <c r="N113" s="725">
        <f>IF(N$18='5.Variables'!$B$16,+'5.Variables'!$L33,+IF(N$18='5.Variables'!$B$39,+'5.Variables'!$L57,+IF(N$18='5.Variables'!$B$62,+'5.Variables'!$L71,+IF(N$18='5.Variables'!$B$76,+'5.Variables'!$L85,+IF(N$18='5.Variables'!$B$90,+'5.Variables'!$L99,+IF(N$18='5.Variables'!$B$104,+'5.Variables'!$L113,0))))))</f>
        <v>0</v>
      </c>
      <c r="O113" s="725">
        <f>IF(O$18='5.Variables'!$B$16,+'5.Variables'!$L33,+IF(O$18='5.Variables'!$B$39,+'5.Variables'!$L57,+IF(O$18='5.Variables'!$B$62,+'5.Variables'!$L71,+IF(O$18='5.Variables'!$B$76,+'5.Variables'!$L85,+IF(O$18='5.Variables'!$B$90,+'5.Variables'!$L99,+IF(O$18='5.Variables'!$B$104,+'5.Variables'!$L113,0))))))</f>
        <v>31</v>
      </c>
      <c r="P113" s="725">
        <f>IF(P$18='5.Variables'!$B$16,+'5.Variables'!$L33,+IF(P$18='5.Variables'!$B$39,+'5.Variables'!$L57,+IF(P$18='5.Variables'!$B$62,+'5.Variables'!$L71,+IF(P$18='5.Variables'!$B$76,+'5.Variables'!$L85,+IF(P$18='5.Variables'!$B$90,+'5.Variables'!$L99,+IF(P$18='5.Variables'!$B$104,+'5.Variables'!$L113,0))))))</f>
        <v>0</v>
      </c>
      <c r="Q113" s="245"/>
      <c r="R113" s="558">
        <f t="shared" si="9"/>
        <v>14812255.754446469</v>
      </c>
      <c r="S113" s="265"/>
      <c r="T113" s="245"/>
      <c r="U113" s="245"/>
      <c r="V113" s="245"/>
      <c r="W113" s="245"/>
      <c r="X113" s="245"/>
      <c r="Y113" s="245"/>
      <c r="Z113" s="245"/>
      <c r="AA113" s="245"/>
      <c r="AB113" s="245"/>
      <c r="AC113" s="245"/>
      <c r="AD113" s="245"/>
      <c r="AE113" s="245"/>
      <c r="AF113" s="245"/>
      <c r="AG113" s="245"/>
      <c r="AH113" s="245"/>
      <c r="AI113" s="245"/>
      <c r="AJ113" s="245"/>
      <c r="AK113" s="245"/>
      <c r="AL113" s="245"/>
      <c r="AM113" s="245"/>
    </row>
    <row r="114" spans="1:39" x14ac:dyDescent="0.2">
      <c r="A114" s="503">
        <f t="shared" si="10"/>
        <v>95</v>
      </c>
      <c r="B114" s="262" t="str">
        <f>CONCATENATE('3. Consumption by Rate Class'!B119,"-",'3. Consumption by Rate Class'!C119)</f>
        <v>2012-November</v>
      </c>
      <c r="C114" s="697">
        <v>16710915.369999999</v>
      </c>
      <c r="D114" s="703"/>
      <c r="E114" s="707"/>
      <c r="F114" s="707"/>
      <c r="G114" s="703"/>
      <c r="H114" s="704"/>
      <c r="I114" s="704"/>
      <c r="J114" s="263">
        <f t="shared" si="8"/>
        <v>16710915.369999999</v>
      </c>
      <c r="K114" s="725">
        <f>IF(K$18='5.Variables'!$B$16,+'5.Variables'!$M34,+IF(K$18='5.Variables'!$B$39,+'5.Variables'!$M57,+IF(K$18='5.Variables'!$B$62,+'5.Variables'!$M71,+IF(K$18='5.Variables'!$B$76,+'5.Variables'!$M85,+IF(K$18='5.Variables'!$B$90,+'5.Variables'!$M99,+IF(K$18='5.Variables'!$B$104,+'5.Variables'!$M113,0))))))</f>
        <v>541.70000000000005</v>
      </c>
      <c r="L114" s="725">
        <f>IF(L$18='5.Variables'!$B$16,+'5.Variables'!$M33,+IF(L$18='5.Variables'!$B$39,+'5.Variables'!$M57,+IF(L$18='5.Variables'!$B$62,+'5.Variables'!$M71,+IF(L$18='5.Variables'!$B$76,+'5.Variables'!$M85,+IF(L$18='5.Variables'!$B$90,+'5.Variables'!$M99,+IF(L$18='5.Variables'!$B$104,+'5.Variables'!$M113,0))))))</f>
        <v>0</v>
      </c>
      <c r="M114" s="725">
        <f>IF(M$18='5.Variables'!$B$16,+'5.Variables'!$M33,+IF(M$18='5.Variables'!$B$39,+'5.Variables'!$M57,+IF(M$18='5.Variables'!$B$62,+'5.Variables'!$M71,+IF(M$18='5.Variables'!$B$76,+'5.Variables'!$M85,+IF(M$18='5.Variables'!$B$90,+'5.Variables'!$M99,+IF(M$18='5.Variables'!$B$104,+'5.Variables'!$M113,0))))))</f>
        <v>0</v>
      </c>
      <c r="N114" s="725">
        <f>IF(N$18='5.Variables'!$B$16,+'5.Variables'!$M33,+IF(N$18='5.Variables'!$B$39,+'5.Variables'!$M57,+IF(N$18='5.Variables'!$B$62,+'5.Variables'!$M71,+IF(N$18='5.Variables'!$B$76,+'5.Variables'!$M85,+IF(N$18='5.Variables'!$B$90,+'5.Variables'!$M99,+IF(N$18='5.Variables'!$B$104,+'5.Variables'!$M113,0))))))</f>
        <v>0</v>
      </c>
      <c r="O114" s="725">
        <f>IF(O$18='5.Variables'!$B$16,+'5.Variables'!$M33,+IF(O$18='5.Variables'!$B$39,+'5.Variables'!$M57,+IF(O$18='5.Variables'!$B$62,+'5.Variables'!$M71,+IF(O$18='5.Variables'!$B$76,+'5.Variables'!$M85,+IF(O$18='5.Variables'!$B$90,+'5.Variables'!$M99,+IF(O$18='5.Variables'!$B$104,+'5.Variables'!$M113,0))))))</f>
        <v>30</v>
      </c>
      <c r="P114" s="725">
        <f>IF(P$18='5.Variables'!$B$16,+'5.Variables'!$M33,+IF(P$18='5.Variables'!$B$39,+'5.Variables'!$M57,+IF(P$18='5.Variables'!$B$62,+'5.Variables'!$M71,+IF(P$18='5.Variables'!$B$76,+'5.Variables'!$M85,+IF(P$18='5.Variables'!$B$90,+'5.Variables'!$M99,+IF(P$18='5.Variables'!$B$104,+'5.Variables'!$M113,0))))))</f>
        <v>0</v>
      </c>
      <c r="Q114" s="245"/>
      <c r="R114" s="558">
        <f t="shared" si="9"/>
        <v>16944434.623594668</v>
      </c>
      <c r="S114" s="265"/>
      <c r="T114" s="245"/>
      <c r="U114" s="245"/>
      <c r="V114" s="245"/>
      <c r="W114" s="245"/>
      <c r="X114" s="245"/>
      <c r="Y114" s="245"/>
      <c r="Z114" s="245"/>
      <c r="AA114" s="245"/>
      <c r="AB114" s="245"/>
      <c r="AC114" s="245"/>
      <c r="AD114" s="245"/>
      <c r="AE114" s="245"/>
      <c r="AF114" s="245"/>
      <c r="AG114" s="245"/>
      <c r="AH114" s="245"/>
      <c r="AI114" s="245"/>
      <c r="AJ114" s="245"/>
      <c r="AK114" s="245"/>
      <c r="AL114" s="245"/>
      <c r="AM114" s="245"/>
    </row>
    <row r="115" spans="1:39" x14ac:dyDescent="0.2">
      <c r="A115" s="503">
        <f t="shared" si="10"/>
        <v>96</v>
      </c>
      <c r="B115" s="522" t="str">
        <f>CONCATENATE('3. Consumption by Rate Class'!B120,"-",'3. Consumption by Rate Class'!C120)</f>
        <v>2012-December</v>
      </c>
      <c r="C115" s="698">
        <v>18046844.399999999</v>
      </c>
      <c r="D115" s="705"/>
      <c r="E115" s="705"/>
      <c r="F115" s="705"/>
      <c r="G115" s="705"/>
      <c r="H115" s="706"/>
      <c r="I115" s="706"/>
      <c r="J115" s="263">
        <f t="shared" si="8"/>
        <v>18046844.399999999</v>
      </c>
      <c r="K115" s="725">
        <f>IF(K$18='5.Variables'!$B$16,+'5.Variables'!$N34,+IF(K$18='5.Variables'!$B$39,+'5.Variables'!$N57,+IF(K$18='5.Variables'!$B$62,+'5.Variables'!$N71,+IF(K$18='5.Variables'!$B$76,+'5.Variables'!$N85,+IF(K$18='5.Variables'!$B$90,+'5.Variables'!$N99,+IF(K$18='5.Variables'!$B$104,+'5.Variables'!$N113,0))))))</f>
        <v>680.6</v>
      </c>
      <c r="L115" s="725">
        <f>IF(L$18='5.Variables'!$B$16,+'5.Variables'!$N33,+IF(L$18='5.Variables'!$B$39,+'5.Variables'!$N57,+IF(L$18='5.Variables'!$B$62,+'5.Variables'!$N71,+IF(L$18='5.Variables'!$B$76,+'5.Variables'!$N85,+IF(L$18='5.Variables'!$B$90,+'5.Variables'!$N99,+IF(L$18='5.Variables'!$B$104,+'5.Variables'!$N113,0))))))</f>
        <v>0</v>
      </c>
      <c r="M115" s="725">
        <f>IF(M$18='5.Variables'!$B$16,+'5.Variables'!$N33,+IF(M$18='5.Variables'!$B$39,+'5.Variables'!$N57,+IF(M$18='5.Variables'!$B$62,+'5.Variables'!$N71,+IF(M$18='5.Variables'!$B$76,+'5.Variables'!$N85,+IF(M$18='5.Variables'!$B$90,+'5.Variables'!$N99,+IF(M$18='5.Variables'!$B$104,+'5.Variables'!$N113,0))))))</f>
        <v>1</v>
      </c>
      <c r="N115" s="725">
        <f>IF(N$18='5.Variables'!$B$16,+'5.Variables'!$N33,+IF(N$18='5.Variables'!$B$39,+'5.Variables'!$N57,+IF(N$18='5.Variables'!$B$62,+'5.Variables'!$N71,+IF(N$18='5.Variables'!$B$76,+'5.Variables'!$N85,+IF(N$18='5.Variables'!$B$90,+'5.Variables'!$N99,+IF(N$18='5.Variables'!$B$104,+'5.Variables'!$N113,0))))))</f>
        <v>1</v>
      </c>
      <c r="O115" s="725">
        <f>IF(O$18='5.Variables'!$B$16,+'5.Variables'!$N33,+IF(O$18='5.Variables'!$B$39,+'5.Variables'!$N57,+IF(O$18='5.Variables'!$B$62,+'5.Variables'!$N71,+IF(O$18='5.Variables'!$B$76,+'5.Variables'!$N85,+IF(O$18='5.Variables'!$B$90,+'5.Variables'!$N99,+IF(O$18='5.Variables'!$B$104,+'5.Variables'!$N113,0))))))</f>
        <v>31</v>
      </c>
      <c r="P115" s="725">
        <f>IF(P$18='5.Variables'!$B$16,+'5.Variables'!$N33,+IF(P$18='5.Variables'!$B$39,+'5.Variables'!$N57,+IF(P$18='5.Variables'!$B$62,+'5.Variables'!$N71,+IF(P$18='5.Variables'!$B$76,+'5.Variables'!$N85,+IF(P$18='5.Variables'!$B$90,+'5.Variables'!$N99,+IF(P$18='5.Variables'!$B$104,+'5.Variables'!$N113,0))))))</f>
        <v>0</v>
      </c>
      <c r="Q115" s="245"/>
      <c r="R115" s="558">
        <f t="shared" si="9"/>
        <v>19411210.189829666</v>
      </c>
      <c r="S115" s="265">
        <f>SUM(R104:R115)</f>
        <v>200061553.77745542</v>
      </c>
      <c r="T115" s="245"/>
      <c r="U115" s="245"/>
      <c r="V115" s="245"/>
      <c r="W115" s="245"/>
      <c r="X115" s="245"/>
      <c r="Y115" s="245"/>
      <c r="Z115" s="245"/>
      <c r="AA115" s="245"/>
      <c r="AB115" s="245"/>
      <c r="AC115" s="245"/>
      <c r="AD115" s="245"/>
      <c r="AE115" s="245"/>
      <c r="AF115" s="245"/>
      <c r="AG115" s="245"/>
      <c r="AH115" s="245"/>
      <c r="AI115" s="245"/>
      <c r="AJ115" s="245"/>
      <c r="AK115" s="245"/>
      <c r="AL115" s="245"/>
      <c r="AM115" s="245"/>
    </row>
    <row r="116" spans="1:39" x14ac:dyDescent="0.2">
      <c r="A116" s="503">
        <f t="shared" si="10"/>
        <v>97</v>
      </c>
      <c r="B116" s="262" t="str">
        <f>CONCATENATE('3. Consumption by Rate Class'!B121,"-",'3. Consumption by Rate Class'!C121)</f>
        <v>2013-January</v>
      </c>
      <c r="C116" s="697">
        <v>20811741.748199999</v>
      </c>
      <c r="D116" s="703"/>
      <c r="E116" s="707"/>
      <c r="F116" s="707"/>
      <c r="G116" s="703"/>
      <c r="H116" s="704"/>
      <c r="I116" s="704"/>
      <c r="J116" s="263">
        <f t="shared" si="8"/>
        <v>20811741.748199999</v>
      </c>
      <c r="K116" s="725">
        <f>IF(K$18='5.Variables'!$B$16,+'5.Variables'!$C35,+IF(K$18='5.Variables'!$B$39,+'5.Variables'!$C58,+IF(K$18='5.Variables'!$B$62,+'5.Variables'!$C72,+IF(K$18='5.Variables'!$B$76,+'5.Variables'!$C86,+IF(K$18='5.Variables'!$B$90,+'5.Variables'!$C100,+IF(K$18='5.Variables'!$B$104,+'5.Variables'!$C114,0))))))</f>
        <v>839.9</v>
      </c>
      <c r="L116" s="725">
        <f>IF(L$18='5.Variables'!$B$16,+'5.Variables'!$C34,+IF(L$18='5.Variables'!$B$39,+'5.Variables'!$C58,+IF(L$18='5.Variables'!$B$62,+'5.Variables'!$C72,+IF(L$18='5.Variables'!$B$76,+'5.Variables'!$C86,+IF(L$18='5.Variables'!$B$90,+'5.Variables'!$C100,+IF(L$18='5.Variables'!$B$104,+'5.Variables'!$C114,0))))))</f>
        <v>0</v>
      </c>
      <c r="M116" s="725">
        <f>IF(M$18='5.Variables'!$B$16,+'5.Variables'!$C34,+IF(M$18='5.Variables'!$B$39,+'5.Variables'!$C58,+IF(M$18='5.Variables'!$B$62,+'5.Variables'!$C72,+IF(M$18='5.Variables'!$B$76,+'5.Variables'!$C86,+IF(M$18='5.Variables'!$B$90,+'5.Variables'!$C100,+IF(M$18='5.Variables'!$B$104,+'5.Variables'!$C114,0))))))</f>
        <v>1</v>
      </c>
      <c r="N116" s="725">
        <f>IF(N$18='5.Variables'!$B$16,+'5.Variables'!$C34,+IF(N$18='5.Variables'!$B$39,+'5.Variables'!$C58,+IF(N$18='5.Variables'!$B$62,+'5.Variables'!$C72,+IF(N$18='5.Variables'!$B$76,+'5.Variables'!$C86,+IF(N$18='5.Variables'!$B$90,+'5.Variables'!$C100,+IF(N$18='5.Variables'!$B$104,+'5.Variables'!$C114,0))))))</f>
        <v>1</v>
      </c>
      <c r="O116" s="725">
        <f>IF(O$18='5.Variables'!$B$16,+'5.Variables'!$C34,+IF(O$18='5.Variables'!$B$39,+'5.Variables'!$C58,+IF(O$18='5.Variables'!$B$62,+'5.Variables'!$C72,+IF(O$18='5.Variables'!$B$76,+'5.Variables'!$C86,+IF(O$18='5.Variables'!$B$90,+'5.Variables'!$C100,+IF(O$18='5.Variables'!$B$104,+'5.Variables'!$C114,0))))))</f>
        <v>31</v>
      </c>
      <c r="P116" s="725">
        <f>IF(P$18='5.Variables'!$B$16,+'5.Variables'!$C34,+IF(P$18='5.Variables'!$B$39,+'5.Variables'!$C58,+IF(P$18='5.Variables'!$B$62,+'5.Variables'!$C72,+IF(P$18='5.Variables'!$B$76,+'5.Variables'!$C86,+IF(P$18='5.Variables'!$B$90,+'5.Variables'!$C100,+IF(P$18='5.Variables'!$B$104,+'5.Variables'!$C114,0))))))</f>
        <v>0</v>
      </c>
      <c r="Q116" s="245"/>
      <c r="R116" s="558">
        <f t="shared" si="9"/>
        <v>20548705.480704777</v>
      </c>
      <c r="S116" s="265"/>
      <c r="T116" s="245"/>
      <c r="U116" s="245"/>
      <c r="V116" s="245"/>
      <c r="W116" s="245"/>
      <c r="X116" s="245"/>
      <c r="Y116" s="245"/>
      <c r="Z116" s="245"/>
      <c r="AA116" s="245"/>
      <c r="AB116" s="245"/>
      <c r="AC116" s="245"/>
      <c r="AD116" s="245"/>
      <c r="AE116" s="245"/>
      <c r="AF116" s="245"/>
      <c r="AG116" s="245"/>
      <c r="AH116" s="245"/>
      <c r="AI116" s="245"/>
      <c r="AJ116" s="245"/>
      <c r="AK116" s="245"/>
      <c r="AL116" s="245"/>
      <c r="AM116" s="245"/>
    </row>
    <row r="117" spans="1:39" x14ac:dyDescent="0.2">
      <c r="A117" s="503">
        <f t="shared" si="10"/>
        <v>98</v>
      </c>
      <c r="B117" s="262" t="str">
        <f>CONCATENATE('3. Consumption by Rate Class'!B122,"-",'3. Consumption by Rate Class'!C122)</f>
        <v>2013-February</v>
      </c>
      <c r="C117" s="697">
        <v>18188849.137899999</v>
      </c>
      <c r="D117" s="703"/>
      <c r="E117" s="707"/>
      <c r="F117" s="707"/>
      <c r="G117" s="703"/>
      <c r="H117" s="704"/>
      <c r="I117" s="704"/>
      <c r="J117" s="263">
        <f t="shared" si="8"/>
        <v>18188849.137899999</v>
      </c>
      <c r="K117" s="725">
        <f>IF(K$18='5.Variables'!$B$16,+'5.Variables'!$D35,+IF(K$18='5.Variables'!$B$39,+'5.Variables'!$D58,+IF(K$18='5.Variables'!$B$62,+'5.Variables'!$D72,+IF(K$18='5.Variables'!$B$76,+'5.Variables'!$D86,+IF(K$18='5.Variables'!$B$90,+'5.Variables'!$D100,+IF(K$18='5.Variables'!$B$104,+'5.Variables'!$D114,0))))))</f>
        <v>728.5</v>
      </c>
      <c r="L117" s="725">
        <f>IF(L$18='5.Variables'!$B$16,+'5.Variables'!$D34,+IF(L$18='5.Variables'!$B$39,+'5.Variables'!$D58,+IF(L$18='5.Variables'!$B$62,+'5.Variables'!$D72,+IF(L$18='5.Variables'!$B$76,+'5.Variables'!$D86,+IF(L$18='5.Variables'!$B$90,+'5.Variables'!$D100,+IF(L$18='5.Variables'!$B$104,+'5.Variables'!$D114,0))))))</f>
        <v>0</v>
      </c>
      <c r="M117" s="725">
        <f>IF(M$18='5.Variables'!$B$16,+'5.Variables'!$D34,+IF(M$18='5.Variables'!$B$39,+'5.Variables'!$D58,+IF(M$18='5.Variables'!$B$62,+'5.Variables'!$D72,+IF(M$18='5.Variables'!$B$76,+'5.Variables'!$D86,+IF(M$18='5.Variables'!$B$90,+'5.Variables'!$D100,+IF(M$18='5.Variables'!$B$104,+'5.Variables'!$D114,0))))))</f>
        <v>1</v>
      </c>
      <c r="N117" s="725">
        <f>IF(N$18='5.Variables'!$B$16,+'5.Variables'!$D34,+IF(N$18='5.Variables'!$B$39,+'5.Variables'!$D58,+IF(N$18='5.Variables'!$B$62,+'5.Variables'!$D72,+IF(N$18='5.Variables'!$B$76,+'5.Variables'!$D86,+IF(N$18='5.Variables'!$B$90,+'5.Variables'!$D100,+IF(N$18='5.Variables'!$B$104,+'5.Variables'!$D114,0))))))</f>
        <v>0</v>
      </c>
      <c r="O117" s="725">
        <f>IF(O$18='5.Variables'!$B$16,+'5.Variables'!$D34,+IF(O$18='5.Variables'!$B$39,+'5.Variables'!$D58,+IF(O$18='5.Variables'!$B$62,+'5.Variables'!$D72,+IF(O$18='5.Variables'!$B$76,+'5.Variables'!$D86,+IF(O$18='5.Variables'!$B$90,+'5.Variables'!$D100,+IF(O$18='5.Variables'!$B$104,+'5.Variables'!$D114,0))))))</f>
        <v>28</v>
      </c>
      <c r="P117" s="725">
        <f>IF(P$18='5.Variables'!$B$16,+'5.Variables'!$D34,+IF(P$18='5.Variables'!$B$39,+'5.Variables'!$D58,+IF(P$18='5.Variables'!$B$62,+'5.Variables'!$D72,+IF(P$18='5.Variables'!$B$76,+'5.Variables'!$D86,+IF(P$18='5.Variables'!$B$90,+'5.Variables'!$D100,+IF(P$18='5.Variables'!$B$104,+'5.Variables'!$D114,0))))))</f>
        <v>0</v>
      </c>
      <c r="Q117" s="245"/>
      <c r="R117" s="558">
        <f t="shared" si="9"/>
        <v>19753244.241511513</v>
      </c>
      <c r="S117" s="265"/>
      <c r="T117" s="245"/>
      <c r="U117" s="245"/>
      <c r="V117" s="245"/>
      <c r="W117" s="245"/>
      <c r="X117" s="245"/>
      <c r="Y117" s="245"/>
      <c r="Z117" s="245"/>
      <c r="AA117" s="245"/>
      <c r="AB117" s="245"/>
      <c r="AC117" s="245"/>
      <c r="AD117" s="245"/>
      <c r="AE117" s="245"/>
      <c r="AF117" s="245"/>
      <c r="AG117" s="245"/>
      <c r="AH117" s="245"/>
      <c r="AI117" s="245"/>
      <c r="AJ117" s="245"/>
      <c r="AK117" s="245"/>
      <c r="AL117" s="245"/>
      <c r="AM117" s="245"/>
    </row>
    <row r="118" spans="1:39" x14ac:dyDescent="0.2">
      <c r="A118" s="503">
        <f t="shared" si="10"/>
        <v>99</v>
      </c>
      <c r="B118" s="262" t="str">
        <f>CONCATENATE('3. Consumption by Rate Class'!B123,"-",'3. Consumption by Rate Class'!C123)</f>
        <v>2013-March</v>
      </c>
      <c r="C118" s="697">
        <v>17633486.812399998</v>
      </c>
      <c r="D118" s="703"/>
      <c r="E118" s="707"/>
      <c r="F118" s="707"/>
      <c r="G118" s="703"/>
      <c r="H118" s="704"/>
      <c r="I118" s="704"/>
      <c r="J118" s="263">
        <f t="shared" si="8"/>
        <v>17633486.812399998</v>
      </c>
      <c r="K118" s="725">
        <f>IF(K$18='5.Variables'!$B$16,+'5.Variables'!$E35,+IF(K$18='5.Variables'!$B$39,+'5.Variables'!$E58,+IF(K$18='5.Variables'!$B$62,+'5.Variables'!$E72,+IF(K$18='5.Variables'!$B$76,+'5.Variables'!$E86,+IF(K$18='5.Variables'!$B$90,+'5.Variables'!$E100,+IF(K$18='5.Variables'!$B$104,+'5.Variables'!$E114,0))))))</f>
        <v>579.6</v>
      </c>
      <c r="L118" s="725">
        <f>IF(L$18='5.Variables'!$B$16,+'5.Variables'!$E34,+IF(L$18='5.Variables'!$B$39,+'5.Variables'!$E58,+IF(L$18='5.Variables'!$B$62,+'5.Variables'!$E72,+IF(L$18='5.Variables'!$B$76,+'5.Variables'!$E86,+IF(L$18='5.Variables'!$B$90,+'5.Variables'!$E100,+IF(L$18='5.Variables'!$B$104,+'5.Variables'!$E114,0))))))</f>
        <v>0</v>
      </c>
      <c r="M118" s="725">
        <f>IF(M$18='5.Variables'!$B$16,+'5.Variables'!$E34,+IF(M$18='5.Variables'!$B$39,+'5.Variables'!$E58,+IF(M$18='5.Variables'!$B$62,+'5.Variables'!$E72,+IF(M$18='5.Variables'!$B$76,+'5.Variables'!$E86,+IF(M$18='5.Variables'!$B$90,+'5.Variables'!$E100,+IF(M$18='5.Variables'!$B$104,+'5.Variables'!$E114,0))))))</f>
        <v>0</v>
      </c>
      <c r="N118" s="725">
        <f>IF(N$18='5.Variables'!$B$16,+'5.Variables'!$E34,+IF(N$18='5.Variables'!$B$39,+'5.Variables'!$E58,+IF(N$18='5.Variables'!$B$62,+'5.Variables'!$E72,+IF(N$18='5.Variables'!$B$76,+'5.Variables'!$E86,+IF(N$18='5.Variables'!$B$90,+'5.Variables'!$E100,+IF(N$18='5.Variables'!$B$104,+'5.Variables'!$E114,0))))))</f>
        <v>1</v>
      </c>
      <c r="O118" s="725">
        <f>IF(O$18='5.Variables'!$B$16,+'5.Variables'!$E34,+IF(O$18='5.Variables'!$B$39,+'5.Variables'!$E58,+IF(O$18='5.Variables'!$B$62,+'5.Variables'!$E72,+IF(O$18='5.Variables'!$B$76,+'5.Variables'!$E86,+IF(O$18='5.Variables'!$B$90,+'5.Variables'!$E100,+IF(O$18='5.Variables'!$B$104,+'5.Variables'!$E114,0))))))</f>
        <v>31</v>
      </c>
      <c r="P118" s="725">
        <f>IF(P$18='5.Variables'!$B$16,+'5.Variables'!$E34,+IF(P$18='5.Variables'!$B$39,+'5.Variables'!$E58,+IF(P$18='5.Variables'!$B$62,+'5.Variables'!$E72,+IF(P$18='5.Variables'!$B$76,+'5.Variables'!$E86,+IF(P$18='5.Variables'!$B$90,+'5.Variables'!$E100,+IF(P$18='5.Variables'!$B$104,+'5.Variables'!$E114,0))))))</f>
        <v>0</v>
      </c>
      <c r="Q118" s="245"/>
      <c r="R118" s="558">
        <f t="shared" si="9"/>
        <v>17215062.818975501</v>
      </c>
      <c r="S118" s="265"/>
      <c r="T118" s="245"/>
      <c r="U118" s="245"/>
      <c r="V118" s="245"/>
      <c r="W118" s="245"/>
      <c r="X118" s="245"/>
      <c r="Y118" s="245"/>
      <c r="Z118" s="245"/>
      <c r="AA118" s="245"/>
      <c r="AB118" s="245"/>
      <c r="AC118" s="245"/>
      <c r="AD118" s="245"/>
      <c r="AE118" s="245"/>
      <c r="AF118" s="245"/>
      <c r="AG118" s="245"/>
      <c r="AH118" s="245"/>
      <c r="AI118" s="245"/>
      <c r="AJ118" s="245"/>
      <c r="AK118" s="245"/>
      <c r="AL118" s="245"/>
      <c r="AM118" s="245"/>
    </row>
    <row r="119" spans="1:39" x14ac:dyDescent="0.2">
      <c r="A119" s="503">
        <f t="shared" si="10"/>
        <v>100</v>
      </c>
      <c r="B119" s="262" t="str">
        <f>CONCATENATE('3. Consumption by Rate Class'!B124,"-",'3. Consumption by Rate Class'!C124)</f>
        <v>2013-April</v>
      </c>
      <c r="C119" s="697">
        <v>14561831.641099997</v>
      </c>
      <c r="D119" s="703"/>
      <c r="E119" s="707"/>
      <c r="F119" s="707"/>
      <c r="G119" s="703"/>
      <c r="H119" s="704"/>
      <c r="I119" s="704"/>
      <c r="J119" s="263">
        <f>SUM(C119:I119)</f>
        <v>14561831.641099997</v>
      </c>
      <c r="K119" s="725">
        <f>IF(K$18='5.Variables'!$B$16,+'5.Variables'!$F35,+IF(K$18='5.Variables'!$B$39,+'5.Variables'!$F58,+IF(K$18='5.Variables'!$B$62,+'5.Variables'!$F72,+IF(K$18='5.Variables'!$B$76,+'5.Variables'!$F86,+IF(K$18='5.Variables'!$B$90,+'5.Variables'!$F100,+IF(K$18='5.Variables'!$B$104,+'5.Variables'!$F114,0))))))</f>
        <v>285.5</v>
      </c>
      <c r="L119" s="725">
        <f>IF(L$18='5.Variables'!$B$16,+'5.Variables'!$F34,+IF(L$18='5.Variables'!$B$39,+'5.Variables'!$F58,+IF(L$18='5.Variables'!$B$62,+'5.Variables'!$F72,+IF(L$18='5.Variables'!$B$76,+'5.Variables'!$F86,+IF(L$18='5.Variables'!$B$90,+'5.Variables'!$F100,+IF(L$18='5.Variables'!$B$104,+'5.Variables'!$F114,0))))))</f>
        <v>0</v>
      </c>
      <c r="M119" s="725">
        <f>IF(M$18='5.Variables'!$B$16,+'5.Variables'!$F34,+IF(M$18='5.Variables'!$B$39,+'5.Variables'!$F58,+IF(M$18='5.Variables'!$B$62,+'5.Variables'!$F72,+IF(M$18='5.Variables'!$B$76,+'5.Variables'!$F86,+IF(M$18='5.Variables'!$B$90,+'5.Variables'!$F100,+IF(M$18='5.Variables'!$B$104,+'5.Variables'!$F114,0))))))</f>
        <v>0</v>
      </c>
      <c r="N119" s="725">
        <f>IF(N$18='5.Variables'!$B$16,+'5.Variables'!$F34,+IF(N$18='5.Variables'!$B$39,+'5.Variables'!$F58,+IF(N$18='5.Variables'!$B$62,+'5.Variables'!$F72,+IF(N$18='5.Variables'!$B$76,+'5.Variables'!$F86,+IF(N$18='5.Variables'!$B$90,+'5.Variables'!$F100,+IF(N$18='5.Variables'!$B$104,+'5.Variables'!$F114,0))))))</f>
        <v>0</v>
      </c>
      <c r="O119" s="725">
        <f>IF(O$18='5.Variables'!$B$16,+'5.Variables'!$F34,+IF(O$18='5.Variables'!$B$39,+'5.Variables'!$F58,+IF(O$18='5.Variables'!$B$62,+'5.Variables'!$F72,+IF(O$18='5.Variables'!$B$76,+'5.Variables'!$F86,+IF(O$18='5.Variables'!$B$90,+'5.Variables'!$F100,+IF(O$18='5.Variables'!$B$104,+'5.Variables'!$F114,0))))))</f>
        <v>30</v>
      </c>
      <c r="P119" s="725">
        <f>IF(P$18='5.Variables'!$B$16,+'5.Variables'!$F34,+IF(P$18='5.Variables'!$B$39,+'5.Variables'!$F58,+IF(P$18='5.Variables'!$B$62,+'5.Variables'!$F72,+IF(P$18='5.Variables'!$B$76,+'5.Variables'!$F86,+IF(P$18='5.Variables'!$B$90,+'5.Variables'!$F100,+IF(P$18='5.Variables'!$B$104,+'5.Variables'!$F114,0))))))</f>
        <v>0</v>
      </c>
      <c r="Q119" s="245"/>
      <c r="R119" s="558">
        <f t="shared" si="9"/>
        <v>15115016.585162757</v>
      </c>
      <c r="S119" s="265"/>
      <c r="T119" s="245"/>
      <c r="U119" s="245"/>
      <c r="V119" s="245"/>
      <c r="W119" s="245"/>
      <c r="X119" s="245"/>
      <c r="Y119" s="245"/>
      <c r="Z119" s="245"/>
      <c r="AA119" s="245"/>
      <c r="AB119" s="245"/>
      <c r="AC119" s="245"/>
      <c r="AD119" s="245"/>
      <c r="AE119" s="245"/>
      <c r="AF119" s="245"/>
      <c r="AG119" s="245"/>
      <c r="AH119" s="245"/>
      <c r="AI119" s="245"/>
      <c r="AJ119" s="245"/>
      <c r="AK119" s="245"/>
      <c r="AL119" s="245"/>
      <c r="AM119" s="245"/>
    </row>
    <row r="120" spans="1:39" x14ac:dyDescent="0.2">
      <c r="A120" s="503">
        <f t="shared" si="10"/>
        <v>101</v>
      </c>
      <c r="B120" s="262" t="str">
        <f>CONCATENATE('3. Consumption by Rate Class'!B125,"-",'3. Consumption by Rate Class'!C125)</f>
        <v>2013-May</v>
      </c>
      <c r="C120" s="697">
        <v>13925725.6516</v>
      </c>
      <c r="D120" s="703"/>
      <c r="E120" s="703"/>
      <c r="F120" s="703"/>
      <c r="G120" s="703"/>
      <c r="H120" s="704"/>
      <c r="I120" s="704"/>
      <c r="J120" s="263">
        <f t="shared" si="8"/>
        <v>13925725.6516</v>
      </c>
      <c r="K120" s="725">
        <f>IF(K$18='5.Variables'!$B$16,+'5.Variables'!$G35,+IF(K$18='5.Variables'!$B$39,+'5.Variables'!$G58,+IF(K$18='5.Variables'!$B$62,+'5.Variables'!$G72,+IF(K$18='5.Variables'!$B$76,+'5.Variables'!$G86,+IF(K$18='5.Variables'!$B$90,+'5.Variables'!$G100,+IF(K$18='5.Variables'!$B$104,+'5.Variables'!$G114,0))))))</f>
        <v>105.7</v>
      </c>
      <c r="L120" s="725">
        <f>IF(L$18='5.Variables'!$B$16,+'5.Variables'!$G34,+IF(L$18='5.Variables'!$B$39,+'5.Variables'!$G58,+IF(L$18='5.Variables'!$B$62,+'5.Variables'!$G72,+IF(L$18='5.Variables'!$B$76,+'5.Variables'!$G86,+IF(L$18='5.Variables'!$B$90,+'5.Variables'!$G100,+IF(L$18='5.Variables'!$B$104,+'5.Variables'!$G114,0))))))</f>
        <v>15.3</v>
      </c>
      <c r="M120" s="725">
        <f>IF(M$18='5.Variables'!$B$16,+'5.Variables'!$G34,+IF(M$18='5.Variables'!$B$39,+'5.Variables'!$G58,+IF(M$18='5.Variables'!$B$62,+'5.Variables'!$G72,+IF(M$18='5.Variables'!$B$76,+'5.Variables'!$G86,+IF(M$18='5.Variables'!$B$90,+'5.Variables'!$G100,+IF(M$18='5.Variables'!$B$104,+'5.Variables'!$G114,0))))))</f>
        <v>0</v>
      </c>
      <c r="N120" s="725">
        <f>IF(N$18='5.Variables'!$B$16,+'5.Variables'!$G34,+IF(N$18='5.Variables'!$B$39,+'5.Variables'!$G58,+IF(N$18='5.Variables'!$B$62,+'5.Variables'!$G72,+IF(N$18='5.Variables'!$B$76,+'5.Variables'!$G86,+IF(N$18='5.Variables'!$B$90,+'5.Variables'!$G100,+IF(N$18='5.Variables'!$B$104,+'5.Variables'!$G114,0))))))</f>
        <v>0</v>
      </c>
      <c r="O120" s="725">
        <f>IF(O$18='5.Variables'!$B$16,+'5.Variables'!$G34,+IF(O$18='5.Variables'!$B$39,+'5.Variables'!$G58,+IF(O$18='5.Variables'!$B$62,+'5.Variables'!$G72,+IF(O$18='5.Variables'!$B$76,+'5.Variables'!$G86,+IF(O$18='5.Variables'!$B$90,+'5.Variables'!$G100,+IF(O$18='5.Variables'!$B$104,+'5.Variables'!$G114,0))))))</f>
        <v>31</v>
      </c>
      <c r="P120" s="725">
        <f>IF(P$18='5.Variables'!$B$16,+'5.Variables'!$G34,+IF(P$18='5.Variables'!$B$39,+'5.Variables'!$G58,+IF(P$18='5.Variables'!$B$62,+'5.Variables'!$G72,+IF(P$18='5.Variables'!$B$76,+'5.Variables'!$G86,+IF(P$18='5.Variables'!$B$90,+'5.Variables'!$G100,+IF(P$18='5.Variables'!$B$104,+'5.Variables'!$G114,0))))))</f>
        <v>0</v>
      </c>
      <c r="Q120" s="245"/>
      <c r="R120" s="558">
        <f t="shared" si="9"/>
        <v>14252154.432282493</v>
      </c>
      <c r="S120" s="265"/>
      <c r="T120" s="245"/>
      <c r="U120" s="245"/>
      <c r="V120" s="245"/>
      <c r="W120" s="245"/>
      <c r="X120" s="245"/>
      <c r="Y120" s="245"/>
      <c r="Z120" s="245"/>
      <c r="AA120" s="245"/>
      <c r="AB120" s="245"/>
      <c r="AC120" s="245"/>
      <c r="AD120" s="245"/>
      <c r="AE120" s="245"/>
      <c r="AF120" s="245"/>
      <c r="AG120" s="245"/>
      <c r="AH120" s="245"/>
      <c r="AI120" s="245"/>
      <c r="AJ120" s="245"/>
      <c r="AK120" s="245"/>
      <c r="AL120" s="245"/>
      <c r="AM120" s="245"/>
    </row>
    <row r="121" spans="1:39" x14ac:dyDescent="0.2">
      <c r="A121" s="503">
        <f t="shared" si="10"/>
        <v>102</v>
      </c>
      <c r="B121" s="262" t="str">
        <f>CONCATENATE('3. Consumption by Rate Class'!B126,"-",'3. Consumption by Rate Class'!C126)</f>
        <v>2013-June</v>
      </c>
      <c r="C121" s="697">
        <v>14261991.7149</v>
      </c>
      <c r="D121" s="703"/>
      <c r="E121" s="703"/>
      <c r="F121" s="703"/>
      <c r="G121" s="703"/>
      <c r="H121" s="704"/>
      <c r="I121" s="704"/>
      <c r="J121" s="263">
        <f t="shared" si="8"/>
        <v>14261991.7149</v>
      </c>
      <c r="K121" s="725">
        <f>IF(K$18='5.Variables'!$B$16,+'5.Variables'!$H35,+IF(K$18='5.Variables'!$B$39,+'5.Variables'!$H58,+IF(K$18='5.Variables'!$B$62,+'5.Variables'!$H72,+IF(K$18='5.Variables'!$B$76,+'5.Variables'!$H86,+IF(K$18='5.Variables'!$B$90,+'5.Variables'!$H100,+IF(K$18='5.Variables'!$B$104,+'5.Variables'!$H114,0))))))</f>
        <v>54.1</v>
      </c>
      <c r="L121" s="725">
        <f>IF(L$18='5.Variables'!$B$16,+'5.Variables'!$H34,+IF(L$18='5.Variables'!$B$39,+'5.Variables'!$H58,+IF(L$18='5.Variables'!$B$62,+'5.Variables'!$H72,+IF(L$18='5.Variables'!$B$76,+'5.Variables'!$H86,+IF(L$18='5.Variables'!$B$90,+'5.Variables'!$H100,+IF(L$18='5.Variables'!$B$104,+'5.Variables'!$H114,0))))))</f>
        <v>39.4</v>
      </c>
      <c r="M121" s="725">
        <f>IF(M$18='5.Variables'!$B$16,+'5.Variables'!$H34,+IF(M$18='5.Variables'!$B$39,+'5.Variables'!$H58,+IF(M$18='5.Variables'!$B$62,+'5.Variables'!$H72,+IF(M$18='5.Variables'!$B$76,+'5.Variables'!$H86,+IF(M$18='5.Variables'!$B$90,+'5.Variables'!$H100,+IF(M$18='5.Variables'!$B$104,+'5.Variables'!$H114,0))))))</f>
        <v>0</v>
      </c>
      <c r="N121" s="725">
        <f>IF(N$18='5.Variables'!$B$16,+'5.Variables'!$H34,+IF(N$18='5.Variables'!$B$39,+'5.Variables'!$H58,+IF(N$18='5.Variables'!$B$62,+'5.Variables'!$H72,+IF(N$18='5.Variables'!$B$76,+'5.Variables'!$H86,+IF(N$18='5.Variables'!$B$90,+'5.Variables'!$H100,+IF(N$18='5.Variables'!$B$104,+'5.Variables'!$H114,0))))))</f>
        <v>0</v>
      </c>
      <c r="O121" s="725">
        <f>IF(O$18='5.Variables'!$B$16,+'5.Variables'!$H34,+IF(O$18='5.Variables'!$B$39,+'5.Variables'!$H58,+IF(O$18='5.Variables'!$B$62,+'5.Variables'!$H72,+IF(O$18='5.Variables'!$B$76,+'5.Variables'!$H86,+IF(O$18='5.Variables'!$B$90,+'5.Variables'!$H100,+IF(O$18='5.Variables'!$B$104,+'5.Variables'!$H114,0))))))</f>
        <v>30</v>
      </c>
      <c r="P121" s="725">
        <f>IF(P$18='5.Variables'!$B$16,+'5.Variables'!$H34,+IF(P$18='5.Variables'!$B$39,+'5.Variables'!$H58,+IF(P$18='5.Variables'!$B$62,+'5.Variables'!$H72,+IF(P$18='5.Variables'!$B$76,+'5.Variables'!$H86,+IF(P$18='5.Variables'!$B$90,+'5.Variables'!$H100,+IF(P$18='5.Variables'!$B$104,+'5.Variables'!$H114,0))))))</f>
        <v>0</v>
      </c>
      <c r="Q121" s="245"/>
      <c r="R121" s="558">
        <f t="shared" si="9"/>
        <v>14546867.857967135</v>
      </c>
      <c r="S121" s="265"/>
      <c r="T121" s="245"/>
      <c r="U121" s="245"/>
      <c r="V121" s="245"/>
      <c r="W121" s="245"/>
      <c r="X121" s="245"/>
      <c r="Y121" s="245"/>
      <c r="Z121" s="245"/>
      <c r="AA121" s="245"/>
      <c r="AB121" s="245"/>
      <c r="AC121" s="245"/>
      <c r="AD121" s="245"/>
      <c r="AE121" s="245"/>
      <c r="AF121" s="245"/>
      <c r="AG121" s="245"/>
      <c r="AH121" s="245"/>
      <c r="AI121" s="245"/>
      <c r="AJ121" s="245"/>
      <c r="AK121" s="245"/>
      <c r="AL121" s="245"/>
      <c r="AM121" s="245"/>
    </row>
    <row r="122" spans="1:39" x14ac:dyDescent="0.2">
      <c r="A122" s="503">
        <f t="shared" si="10"/>
        <v>103</v>
      </c>
      <c r="B122" s="262" t="str">
        <f>CONCATENATE('3. Consumption by Rate Class'!B127,"-",'3. Consumption by Rate Class'!C127)</f>
        <v>2013-July</v>
      </c>
      <c r="C122" s="699">
        <v>15840370.5626</v>
      </c>
      <c r="D122" s="703"/>
      <c r="E122" s="703"/>
      <c r="F122" s="703"/>
      <c r="G122" s="703"/>
      <c r="H122" s="704"/>
      <c r="I122" s="704"/>
      <c r="J122" s="263">
        <f t="shared" si="8"/>
        <v>15840370.5626</v>
      </c>
      <c r="K122" s="725">
        <f>IF(K$18='5.Variables'!$B$16,+'5.Variables'!$I35,+IF(K$18='5.Variables'!$B$39,+'5.Variables'!$I58,+IF(K$18='5.Variables'!$B$62,+'5.Variables'!$I72,+IF(K$18='5.Variables'!$B$76,+'5.Variables'!$I86,+IF(K$18='5.Variables'!$B$90,+'5.Variables'!$I100,+IF(K$18='5.Variables'!$B$104,+'5.Variables'!$I114,0))))))</f>
        <v>7.7</v>
      </c>
      <c r="L122" s="725">
        <f>IF(L$18='5.Variables'!$B$16,+'5.Variables'!$I34,+IF(L$18='5.Variables'!$B$39,+'5.Variables'!$I58,+IF(L$18='5.Variables'!$B$62,+'5.Variables'!$I72,+IF(L$18='5.Variables'!$B$76,+'5.Variables'!$I86,+IF(L$18='5.Variables'!$B$90,+'5.Variables'!$I100,+IF(L$18='5.Variables'!$B$104,+'5.Variables'!$I114,0))))))</f>
        <v>111.1</v>
      </c>
      <c r="M122" s="725">
        <f>IF(M$18='5.Variables'!$B$16,+'5.Variables'!$I34,+IF(M$18='5.Variables'!$B$39,+'5.Variables'!$I58,+IF(M$18='5.Variables'!$B$62,+'5.Variables'!$I72,+IF(M$18='5.Variables'!$B$76,+'5.Variables'!$I86,+IF(M$18='5.Variables'!$B$90,+'5.Variables'!$I100,+IF(M$18='5.Variables'!$B$104,+'5.Variables'!$I114,0))))))</f>
        <v>0</v>
      </c>
      <c r="N122" s="725">
        <f>IF(N$18='5.Variables'!$B$16,+'5.Variables'!$I34,+IF(N$18='5.Variables'!$B$39,+'5.Variables'!$I58,+IF(N$18='5.Variables'!$B$62,+'5.Variables'!$I72,+IF(N$18='5.Variables'!$B$76,+'5.Variables'!$I86,+IF(N$18='5.Variables'!$B$90,+'5.Variables'!$I100,+IF(N$18='5.Variables'!$B$104,+'5.Variables'!$I114,0))))))</f>
        <v>1</v>
      </c>
      <c r="O122" s="725">
        <f>IF(O$18='5.Variables'!$B$16,+'5.Variables'!$I34,+IF(O$18='5.Variables'!$B$39,+'5.Variables'!$I58,+IF(O$18='5.Variables'!$B$62,+'5.Variables'!$I72,+IF(O$18='5.Variables'!$B$76,+'5.Variables'!$I86,+IF(O$18='5.Variables'!$B$90,+'5.Variables'!$I100,+IF(O$18='5.Variables'!$B$104,+'5.Variables'!$I114,0))))))</f>
        <v>31</v>
      </c>
      <c r="P122" s="725">
        <f>IF(P$18='5.Variables'!$B$16,+'5.Variables'!$I34,+IF(P$18='5.Variables'!$B$39,+'5.Variables'!$I58,+IF(P$18='5.Variables'!$B$62,+'5.Variables'!$I72,+IF(P$18='5.Variables'!$B$76,+'5.Variables'!$I86,+IF(P$18='5.Variables'!$B$90,+'5.Variables'!$I100,+IF(P$18='5.Variables'!$B$104,+'5.Variables'!$I114,0))))))</f>
        <v>0</v>
      </c>
      <c r="Q122" s="245"/>
      <c r="R122" s="558">
        <f t="shared" si="9"/>
        <v>16188537.219543165</v>
      </c>
      <c r="S122" s="265"/>
      <c r="T122" s="245"/>
      <c r="U122" s="245"/>
      <c r="V122" s="245"/>
      <c r="W122" s="245"/>
      <c r="X122" s="245"/>
      <c r="Y122" s="245"/>
      <c r="Z122" s="245"/>
      <c r="AA122" s="245"/>
      <c r="AB122" s="245"/>
      <c r="AC122" s="245"/>
      <c r="AD122" s="245"/>
      <c r="AE122" s="245"/>
      <c r="AF122" s="245"/>
      <c r="AG122" s="245"/>
      <c r="AH122" s="245"/>
      <c r="AI122" s="245"/>
      <c r="AJ122" s="245"/>
      <c r="AK122" s="245"/>
      <c r="AL122" s="245"/>
      <c r="AM122" s="245"/>
    </row>
    <row r="123" spans="1:39" x14ac:dyDescent="0.2">
      <c r="A123" s="503">
        <f t="shared" si="10"/>
        <v>104</v>
      </c>
      <c r="B123" s="262" t="str">
        <f>CONCATENATE('3. Consumption by Rate Class'!B128,"-",'3. Consumption by Rate Class'!C128)</f>
        <v>2013-August</v>
      </c>
      <c r="C123" s="699">
        <v>15748089.349450001</v>
      </c>
      <c r="D123" s="703"/>
      <c r="E123" s="703"/>
      <c r="F123" s="703"/>
      <c r="G123" s="703"/>
      <c r="H123" s="704"/>
      <c r="I123" s="704"/>
      <c r="J123" s="263">
        <f t="shared" si="8"/>
        <v>15748089.349450001</v>
      </c>
      <c r="K123" s="725">
        <f>IF(K$18='5.Variables'!$B$16,+'5.Variables'!$J35,+IF(K$18='5.Variables'!$B$39,+'5.Variables'!$J58,+IF(K$18='5.Variables'!$B$62,+'5.Variables'!$J72,+IF(K$18='5.Variables'!$B$76,+'5.Variables'!$J86,+IF(K$18='5.Variables'!$B$90,+'5.Variables'!$J100,+IF(K$18='5.Variables'!$B$104,+'5.Variables'!$J114,0))))))</f>
        <v>13.4</v>
      </c>
      <c r="L123" s="725">
        <f>IF(L$18='5.Variables'!$B$16,+'5.Variables'!$J34,+IF(L$18='5.Variables'!$B$39,+'5.Variables'!$J58,+IF(L$18='5.Variables'!$B$62,+'5.Variables'!$J72,+IF(L$18='5.Variables'!$B$76,+'5.Variables'!$J86,+IF(L$18='5.Variables'!$B$90,+'5.Variables'!$J100,+IF(L$18='5.Variables'!$B$104,+'5.Variables'!$J114,0))))))</f>
        <v>57.2</v>
      </c>
      <c r="M123" s="725">
        <f>IF(M$18='5.Variables'!$B$16,+'5.Variables'!$J34,+IF(M$18='5.Variables'!$B$39,+'5.Variables'!$J58,+IF(M$18='5.Variables'!$B$62,+'5.Variables'!$J72,+IF(M$18='5.Variables'!$B$76,+'5.Variables'!$J86,+IF(M$18='5.Variables'!$B$90,+'5.Variables'!$J100,+IF(M$18='5.Variables'!$B$104,+'5.Variables'!$J114,0))))))</f>
        <v>0</v>
      </c>
      <c r="N123" s="725">
        <f>IF(N$18='5.Variables'!$B$16,+'5.Variables'!$J34,+IF(N$18='5.Variables'!$B$39,+'5.Variables'!$J58,+IF(N$18='5.Variables'!$B$62,+'5.Variables'!$J72,+IF(N$18='5.Variables'!$B$76,+'5.Variables'!$J86,+IF(N$18='5.Variables'!$B$90,+'5.Variables'!$J100,+IF(N$18='5.Variables'!$B$104,+'5.Variables'!$J114,0))))))</f>
        <v>0</v>
      </c>
      <c r="O123" s="725">
        <f>IF(O$18='5.Variables'!$B$16,+'5.Variables'!$J34,+IF(O$18='5.Variables'!$B$39,+'5.Variables'!$J58,+IF(O$18='5.Variables'!$B$62,+'5.Variables'!$J72,+IF(O$18='5.Variables'!$B$76,+'5.Variables'!$J86,+IF(O$18='5.Variables'!$B$90,+'5.Variables'!$J100,+IF(O$18='5.Variables'!$B$104,+'5.Variables'!$J114,0))))))</f>
        <v>31</v>
      </c>
      <c r="P123" s="725">
        <f>IF(P$18='5.Variables'!$B$16,+'5.Variables'!$J34,+IF(P$18='5.Variables'!$B$39,+'5.Variables'!$J58,+IF(P$18='5.Variables'!$B$62,+'5.Variables'!$J72,+IF(P$18='5.Variables'!$B$76,+'5.Variables'!$J86,+IF(P$18='5.Variables'!$B$90,+'5.Variables'!$J100,+IF(P$18='5.Variables'!$B$104,+'5.Variables'!$J114,0))))))</f>
        <v>0</v>
      </c>
      <c r="Q123" s="245"/>
      <c r="R123" s="558">
        <f t="shared" si="9"/>
        <v>14746054.490320854</v>
      </c>
      <c r="S123" s="265"/>
      <c r="T123" s="245"/>
      <c r="U123" s="245"/>
      <c r="V123" s="245"/>
      <c r="W123" s="245"/>
      <c r="X123" s="245"/>
      <c r="Y123" s="245"/>
      <c r="Z123" s="245"/>
      <c r="AA123" s="245"/>
      <c r="AB123" s="245"/>
      <c r="AC123" s="245"/>
      <c r="AD123" s="245"/>
      <c r="AE123" s="245"/>
      <c r="AF123" s="245"/>
      <c r="AG123" s="245"/>
      <c r="AH123" s="245"/>
      <c r="AI123" s="245"/>
      <c r="AJ123" s="245"/>
      <c r="AK123" s="245"/>
      <c r="AL123" s="245"/>
      <c r="AM123" s="245"/>
    </row>
    <row r="124" spans="1:39" x14ac:dyDescent="0.2">
      <c r="A124" s="503">
        <f t="shared" si="10"/>
        <v>105</v>
      </c>
      <c r="B124" s="262" t="str">
        <f>CONCATENATE('3. Consumption by Rate Class'!B129,"-",'3. Consumption by Rate Class'!C129)</f>
        <v>2013-September</v>
      </c>
      <c r="C124" s="699">
        <v>13142570.375399999</v>
      </c>
      <c r="D124" s="703"/>
      <c r="E124" s="703"/>
      <c r="F124" s="703"/>
      <c r="G124" s="703"/>
      <c r="H124" s="704"/>
      <c r="I124" s="704"/>
      <c r="J124" s="263">
        <f t="shared" si="8"/>
        <v>13142570.375399999</v>
      </c>
      <c r="K124" s="725">
        <f>IF(K$18='5.Variables'!$B$16,+'5.Variables'!$K35,+IF(K$18='5.Variables'!$B$39,+'5.Variables'!$K58,+IF(K$18='5.Variables'!$B$62,+'5.Variables'!$K72,+IF(K$18='5.Variables'!$B$76,+'5.Variables'!$K86,+IF(K$18='5.Variables'!$B$90,+'5.Variables'!$K100,+IF(K$18='5.Variables'!$B$104,+'5.Variables'!$K114,0))))))</f>
        <v>133.19999999999999</v>
      </c>
      <c r="L124" s="725">
        <f>IF(L$18='5.Variables'!$B$16,+'5.Variables'!$K34,+IF(L$18='5.Variables'!$B$39,+'5.Variables'!$K58,+IF(L$18='5.Variables'!$B$62,+'5.Variables'!$K72,+IF(L$18='5.Variables'!$B$76,+'5.Variables'!$K86,+IF(L$18='5.Variables'!$B$90,+'5.Variables'!$K100,+IF(L$18='5.Variables'!$B$104,+'5.Variables'!$K114,0))))))</f>
        <v>10.1</v>
      </c>
      <c r="M124" s="725">
        <f>IF(M$18='5.Variables'!$B$16,+'5.Variables'!$K34,+IF(M$18='5.Variables'!$B$39,+'5.Variables'!$K58,+IF(M$18='5.Variables'!$B$62,+'5.Variables'!$K72,+IF(M$18='5.Variables'!$B$76,+'5.Variables'!$K86,+IF(M$18='5.Variables'!$B$90,+'5.Variables'!$K100,+IF(M$18='5.Variables'!$B$104,+'5.Variables'!$K114,0))))))</f>
        <v>0</v>
      </c>
      <c r="N124" s="725">
        <f>IF(N$18='5.Variables'!$B$16,+'5.Variables'!$K34,+IF(N$18='5.Variables'!$B$39,+'5.Variables'!$K58,+IF(N$18='5.Variables'!$B$62,+'5.Variables'!$K72,+IF(N$18='5.Variables'!$B$76,+'5.Variables'!$K86,+IF(N$18='5.Variables'!$B$90,+'5.Variables'!$K100,+IF(N$18='5.Variables'!$B$104,+'5.Variables'!$K114,0))))))</f>
        <v>0</v>
      </c>
      <c r="O124" s="725">
        <f>IF(O$18='5.Variables'!$B$16,+'5.Variables'!$K34,+IF(O$18='5.Variables'!$B$39,+'5.Variables'!$K58,+IF(O$18='5.Variables'!$B$62,+'5.Variables'!$K72,+IF(O$18='5.Variables'!$B$76,+'5.Variables'!$K86,+IF(O$18='5.Variables'!$B$90,+'5.Variables'!$K100,+IF(O$18='5.Variables'!$B$104,+'5.Variables'!$K114,0))))))</f>
        <v>30</v>
      </c>
      <c r="P124" s="725">
        <f>IF(P$18='5.Variables'!$B$16,+'5.Variables'!$K34,+IF(P$18='5.Variables'!$B$39,+'5.Variables'!$K58,+IF(P$18='5.Variables'!$B$62,+'5.Variables'!$K72,+IF(P$18='5.Variables'!$B$76,+'5.Variables'!$K86,+IF(P$18='5.Variables'!$B$90,+'5.Variables'!$K100,+IF(P$18='5.Variables'!$B$104,+'5.Variables'!$K114,0))))))</f>
        <v>0</v>
      </c>
      <c r="Q124" s="245"/>
      <c r="R124" s="558">
        <f t="shared" si="9"/>
        <v>14305430.423009491</v>
      </c>
      <c r="S124" s="265"/>
      <c r="T124" s="245"/>
      <c r="U124" s="245"/>
      <c r="V124" s="245"/>
      <c r="W124" s="245"/>
      <c r="X124" s="245"/>
      <c r="Y124" s="245"/>
      <c r="Z124" s="245"/>
      <c r="AA124" s="245"/>
      <c r="AB124" s="245"/>
      <c r="AC124" s="245"/>
      <c r="AD124" s="245"/>
      <c r="AE124" s="245"/>
      <c r="AF124" s="245"/>
      <c r="AG124" s="245"/>
      <c r="AH124" s="245"/>
      <c r="AI124" s="245"/>
      <c r="AJ124" s="245"/>
      <c r="AK124" s="245"/>
      <c r="AL124" s="245"/>
      <c r="AM124" s="245"/>
    </row>
    <row r="125" spans="1:39" x14ac:dyDescent="0.2">
      <c r="A125" s="503">
        <f t="shared" si="10"/>
        <v>106</v>
      </c>
      <c r="B125" s="262" t="str">
        <f>CONCATENATE('3. Consumption by Rate Class'!B130,"-",'3. Consumption by Rate Class'!C130)</f>
        <v>2013-October</v>
      </c>
      <c r="C125" s="699">
        <v>14838362.260899998</v>
      </c>
      <c r="D125" s="703"/>
      <c r="E125" s="703"/>
      <c r="F125" s="703"/>
      <c r="G125" s="703"/>
      <c r="H125" s="704"/>
      <c r="I125" s="704"/>
      <c r="J125" s="263">
        <f t="shared" si="8"/>
        <v>14838362.260899998</v>
      </c>
      <c r="K125" s="725">
        <f>IF(K$18='5.Variables'!$B$16,+'5.Variables'!$L35,+IF(K$18='5.Variables'!$B$39,+'5.Variables'!$L58,+IF(K$18='5.Variables'!$B$62,+'5.Variables'!$L72,+IF(K$18='5.Variables'!$B$76,+'5.Variables'!$L86,+IF(K$18='5.Variables'!$B$90,+'5.Variables'!$L100,+IF(K$18='5.Variables'!$B$104,+'5.Variables'!$L114,0))))))</f>
        <v>235.8</v>
      </c>
      <c r="L125" s="725">
        <f>IF(L$18='5.Variables'!$B$16,+'5.Variables'!$L34,+IF(L$18='5.Variables'!$B$39,+'5.Variables'!$L58,+IF(L$18='5.Variables'!$B$62,+'5.Variables'!$L72,+IF(L$18='5.Variables'!$B$76,+'5.Variables'!$L86,+IF(L$18='5.Variables'!$B$90,+'5.Variables'!$L100,+IF(L$18='5.Variables'!$B$104,+'5.Variables'!$L114,0))))))</f>
        <v>0.7</v>
      </c>
      <c r="M125" s="725">
        <f>IF(M$18='5.Variables'!$B$16,+'5.Variables'!$L34,+IF(M$18='5.Variables'!$B$39,+'5.Variables'!$L58,+IF(M$18='5.Variables'!$B$62,+'5.Variables'!$L72,+IF(M$18='5.Variables'!$B$76,+'5.Variables'!$L86,+IF(M$18='5.Variables'!$B$90,+'5.Variables'!$L100,+IF(M$18='5.Variables'!$B$104,+'5.Variables'!$L114,0))))))</f>
        <v>0</v>
      </c>
      <c r="N125" s="725">
        <f>IF(N$18='5.Variables'!$B$16,+'5.Variables'!$L34,+IF(N$18='5.Variables'!$B$39,+'5.Variables'!$L58,+IF(N$18='5.Variables'!$B$62,+'5.Variables'!$L72,+IF(N$18='5.Variables'!$B$76,+'5.Variables'!$L86,+IF(N$18='5.Variables'!$B$90,+'5.Variables'!$L100,+IF(N$18='5.Variables'!$B$104,+'5.Variables'!$L114,0))))))</f>
        <v>0</v>
      </c>
      <c r="O125" s="725">
        <f>IF(O$18='5.Variables'!$B$16,+'5.Variables'!$L34,+IF(O$18='5.Variables'!$B$39,+'5.Variables'!$L58,+IF(O$18='5.Variables'!$B$62,+'5.Variables'!$L72,+IF(O$18='5.Variables'!$B$76,+'5.Variables'!$L86,+IF(O$18='5.Variables'!$B$90,+'5.Variables'!$L100,+IF(O$18='5.Variables'!$B$104,+'5.Variables'!$L114,0))))))</f>
        <v>31</v>
      </c>
      <c r="P125" s="725">
        <f>IF(P$18='5.Variables'!$B$16,+'5.Variables'!$L34,+IF(P$18='5.Variables'!$B$39,+'5.Variables'!$L58,+IF(P$18='5.Variables'!$B$62,+'5.Variables'!$L72,+IF(P$18='5.Variables'!$B$76,+'5.Variables'!$L86,+IF(P$18='5.Variables'!$B$90,+'5.Variables'!$L100,+IF(P$18='5.Variables'!$B$104,+'5.Variables'!$L114,0))))))</f>
        <v>0</v>
      </c>
      <c r="Q125" s="245"/>
      <c r="R125" s="558">
        <f t="shared" si="9"/>
        <v>14779391.610091066</v>
      </c>
      <c r="S125" s="265"/>
      <c r="T125" s="245"/>
      <c r="U125" s="245"/>
      <c r="V125" s="245"/>
      <c r="W125" s="245"/>
      <c r="X125" s="245"/>
      <c r="Y125" s="245"/>
      <c r="Z125" s="245"/>
      <c r="AA125" s="245"/>
      <c r="AB125" s="245"/>
      <c r="AC125" s="245"/>
      <c r="AD125" s="245"/>
      <c r="AE125" s="245"/>
      <c r="AF125" s="245"/>
      <c r="AG125" s="245"/>
      <c r="AH125" s="245"/>
      <c r="AI125" s="245"/>
      <c r="AJ125" s="245"/>
      <c r="AK125" s="245"/>
      <c r="AL125" s="245"/>
      <c r="AM125" s="245"/>
    </row>
    <row r="126" spans="1:39" x14ac:dyDescent="0.2">
      <c r="A126" s="503">
        <f t="shared" si="10"/>
        <v>107</v>
      </c>
      <c r="B126" s="262" t="str">
        <f>CONCATENATE('3. Consumption by Rate Class'!B131,"-",'3. Consumption by Rate Class'!C131)</f>
        <v>2013-November</v>
      </c>
      <c r="C126" s="699">
        <v>16708052.818849999</v>
      </c>
      <c r="D126" s="703"/>
      <c r="E126" s="703"/>
      <c r="F126" s="703"/>
      <c r="G126" s="703"/>
      <c r="H126" s="704"/>
      <c r="I126" s="704"/>
      <c r="J126" s="263">
        <f t="shared" si="8"/>
        <v>16708052.818849999</v>
      </c>
      <c r="K126" s="725">
        <f>IF(K$18='5.Variables'!$B$16,+'5.Variables'!$M35,+IF(K$18='5.Variables'!$B$39,+'5.Variables'!$M58,+IF(K$18='5.Variables'!$B$62,+'5.Variables'!$M72,+IF(K$18='5.Variables'!$B$76,+'5.Variables'!$M86,+IF(K$18='5.Variables'!$B$90,+'5.Variables'!$M100,+IF(K$18='5.Variables'!$B$104,+'5.Variables'!$M114,0))))))</f>
        <v>560.79999999999995</v>
      </c>
      <c r="L126" s="725">
        <f>IF(L$18='5.Variables'!$B$16,+'5.Variables'!$M34,+IF(L$18='5.Variables'!$B$39,+'5.Variables'!$M58,+IF(L$18='5.Variables'!$B$62,+'5.Variables'!$M72,+IF(L$18='5.Variables'!$B$76,+'5.Variables'!$M86,+IF(L$18='5.Variables'!$B$90,+'5.Variables'!$M100,+IF(L$18='5.Variables'!$B$104,+'5.Variables'!$M114,0))))))</f>
        <v>0</v>
      </c>
      <c r="M126" s="725">
        <f>IF(M$18='5.Variables'!$B$16,+'5.Variables'!$M34,+IF(M$18='5.Variables'!$B$39,+'5.Variables'!$M58,+IF(M$18='5.Variables'!$B$62,+'5.Variables'!$M72,+IF(M$18='5.Variables'!$B$76,+'5.Variables'!$M86,+IF(M$18='5.Variables'!$B$90,+'5.Variables'!$M100,+IF(M$18='5.Variables'!$B$104,+'5.Variables'!$M114,0))))))</f>
        <v>0</v>
      </c>
      <c r="N126" s="725">
        <f>IF(N$18='5.Variables'!$B$16,+'5.Variables'!$M34,+IF(N$18='5.Variables'!$B$39,+'5.Variables'!$M58,+IF(N$18='5.Variables'!$B$62,+'5.Variables'!$M72,+IF(N$18='5.Variables'!$B$76,+'5.Variables'!$M86,+IF(N$18='5.Variables'!$B$90,+'5.Variables'!$M100,+IF(N$18='5.Variables'!$B$104,+'5.Variables'!$M114,0))))))</f>
        <v>0</v>
      </c>
      <c r="O126" s="725">
        <f>IF(O$18='5.Variables'!$B$16,+'5.Variables'!$M34,+IF(O$18='5.Variables'!$B$39,+'5.Variables'!$M58,+IF(O$18='5.Variables'!$B$62,+'5.Variables'!$M72,+IF(O$18='5.Variables'!$B$76,+'5.Variables'!$M86,+IF(O$18='5.Variables'!$B$90,+'5.Variables'!$M100,+IF(O$18='5.Variables'!$B$104,+'5.Variables'!$M114,0))))))</f>
        <v>30</v>
      </c>
      <c r="P126" s="725">
        <f>IF(P$18='5.Variables'!$B$16,+'5.Variables'!$M34,+IF(P$18='5.Variables'!$B$39,+'5.Variables'!$M58,+IF(P$18='5.Variables'!$B$62,+'5.Variables'!$M72,+IF(P$18='5.Variables'!$B$76,+'5.Variables'!$M86,+IF(P$18='5.Variables'!$B$90,+'5.Variables'!$M100,+IF(P$18='5.Variables'!$B$104,+'5.Variables'!$M114,0))))))</f>
        <v>0</v>
      </c>
      <c r="Q126" s="245"/>
      <c r="R126" s="558">
        <f t="shared" si="9"/>
        <v>17080819.809129596</v>
      </c>
      <c r="S126" s="265"/>
      <c r="T126" s="245"/>
      <c r="U126" s="245"/>
      <c r="V126" s="245"/>
      <c r="W126" s="245"/>
      <c r="X126" s="245"/>
      <c r="Y126" s="245"/>
      <c r="Z126" s="245"/>
      <c r="AA126" s="245"/>
      <c r="AB126" s="245"/>
      <c r="AC126" s="245"/>
      <c r="AD126" s="245"/>
      <c r="AE126" s="245"/>
      <c r="AF126" s="245"/>
      <c r="AG126" s="245"/>
      <c r="AH126" s="245"/>
      <c r="AI126" s="245"/>
      <c r="AJ126" s="245"/>
      <c r="AK126" s="245"/>
      <c r="AL126" s="245"/>
      <c r="AM126" s="245"/>
    </row>
    <row r="127" spans="1:39" x14ac:dyDescent="0.2">
      <c r="A127" s="503">
        <f t="shared" si="10"/>
        <v>108</v>
      </c>
      <c r="B127" s="522" t="str">
        <f>CONCATENATE('3. Consumption by Rate Class'!B132,"-",'3. Consumption by Rate Class'!C132)</f>
        <v>2013-December</v>
      </c>
      <c r="C127" s="698">
        <v>22597983.941599999</v>
      </c>
      <c r="D127" s="705"/>
      <c r="E127" s="705"/>
      <c r="F127" s="705"/>
      <c r="G127" s="705"/>
      <c r="H127" s="706"/>
      <c r="I127" s="706"/>
      <c r="J127" s="263">
        <f t="shared" si="8"/>
        <v>22597983.941599999</v>
      </c>
      <c r="K127" s="725">
        <f>IF(K$18='5.Variables'!$B$16,+'5.Variables'!$N35,+IF(K$18='5.Variables'!$B$39,+'5.Variables'!$N58,+IF(K$18='5.Variables'!$B$62,+'5.Variables'!$N72,+IF(K$18='5.Variables'!$B$76,+'5.Variables'!$N86,+IF(K$18='5.Variables'!$B$90,+'5.Variables'!$N100,+IF(K$18='5.Variables'!$B$104,+'5.Variables'!$N114,0))))))</f>
        <v>858.2</v>
      </c>
      <c r="L127" s="725">
        <f>IF(L$18='5.Variables'!$B$16,+'5.Variables'!$N34,+IF(L$18='5.Variables'!$B$39,+'5.Variables'!$N58,+IF(L$18='5.Variables'!$B$62,+'5.Variables'!$N72,+IF(L$18='5.Variables'!$B$76,+'5.Variables'!$N86,+IF(L$18='5.Variables'!$B$90,+'5.Variables'!$N100,+IF(L$18='5.Variables'!$B$104,+'5.Variables'!$N114,0))))))</f>
        <v>0</v>
      </c>
      <c r="M127" s="725">
        <f>IF(M$18='5.Variables'!$B$16,+'5.Variables'!$N34,+IF(M$18='5.Variables'!$B$39,+'5.Variables'!$N58,+IF(M$18='5.Variables'!$B$62,+'5.Variables'!$N72,+IF(M$18='5.Variables'!$B$76,+'5.Variables'!$N86,+IF(M$18='5.Variables'!$B$90,+'5.Variables'!$N100,+IF(M$18='5.Variables'!$B$104,+'5.Variables'!$N114,0))))))</f>
        <v>1</v>
      </c>
      <c r="N127" s="725">
        <f>IF(N$18='5.Variables'!$B$16,+'5.Variables'!$N34,+IF(N$18='5.Variables'!$B$39,+'5.Variables'!$N58,+IF(N$18='5.Variables'!$B$62,+'5.Variables'!$N72,+IF(N$18='5.Variables'!$B$76,+'5.Variables'!$N86,+IF(N$18='5.Variables'!$B$90,+'5.Variables'!$N100,+IF(N$18='5.Variables'!$B$104,+'5.Variables'!$N114,0))))))</f>
        <v>1</v>
      </c>
      <c r="O127" s="725">
        <f>IF(O$18='5.Variables'!$B$16,+'5.Variables'!$N34,+IF(O$18='5.Variables'!$B$39,+'5.Variables'!$N58,+IF(O$18='5.Variables'!$B$62,+'5.Variables'!$N72,+IF(O$18='5.Variables'!$B$76,+'5.Variables'!$N86,+IF(O$18='5.Variables'!$B$90,+'5.Variables'!$N100,+IF(O$18='5.Variables'!$B$104,+'5.Variables'!$N114,0))))))</f>
        <v>31</v>
      </c>
      <c r="P127" s="725">
        <f>IF(P$18='5.Variables'!$B$16,+'5.Variables'!$N34,+IF(P$18='5.Variables'!$B$39,+'5.Variables'!$N58,+IF(P$18='5.Variables'!$B$62,+'5.Variables'!$N72,+IF(P$18='5.Variables'!$B$76,+'5.Variables'!$N86,+IF(P$18='5.Variables'!$B$90,+'5.Variables'!$N100,+IF(P$18='5.Variables'!$B$104,+'5.Variables'!$N114,0))))))</f>
        <v>0</v>
      </c>
      <c r="Q127" s="245"/>
      <c r="R127" s="558">
        <f t="shared" si="9"/>
        <v>20679378.19773563</v>
      </c>
      <c r="S127" s="265">
        <f>SUM(R116:R127)</f>
        <v>199210663.16643396</v>
      </c>
      <c r="T127" s="245"/>
      <c r="U127" s="245"/>
      <c r="V127" s="245"/>
      <c r="W127" s="245"/>
      <c r="X127" s="245"/>
      <c r="Y127" s="245"/>
      <c r="Z127" s="245"/>
      <c r="AA127" s="245"/>
      <c r="AB127" s="245"/>
      <c r="AC127" s="245"/>
      <c r="AD127" s="245"/>
      <c r="AE127" s="245"/>
      <c r="AF127" s="245"/>
      <c r="AG127" s="245"/>
      <c r="AH127" s="245"/>
      <c r="AI127" s="245"/>
      <c r="AJ127" s="245"/>
      <c r="AK127" s="245"/>
      <c r="AL127" s="245"/>
      <c r="AM127" s="245"/>
    </row>
    <row r="128" spans="1:39" x14ac:dyDescent="0.2">
      <c r="A128" s="503">
        <f t="shared" si="10"/>
        <v>109</v>
      </c>
      <c r="B128" s="262" t="str">
        <f>CONCATENATE('3. Consumption by Rate Class'!B133,"-",'3. Consumption by Rate Class'!C133)</f>
        <v>2014-January</v>
      </c>
      <c r="C128" s="699">
        <v>20000992.900000002</v>
      </c>
      <c r="D128" s="703"/>
      <c r="E128" s="703"/>
      <c r="F128" s="703"/>
      <c r="G128" s="703"/>
      <c r="H128" s="704"/>
      <c r="I128" s="704"/>
      <c r="J128" s="263">
        <f t="shared" si="8"/>
        <v>20000992.900000002</v>
      </c>
      <c r="K128" s="725">
        <f>IF(K$18='5.Variables'!$B$16,+'5.Variables'!$C36,+IF(K$18='5.Variables'!$B$39,+'5.Variables'!$C59,+IF(K$18='5.Variables'!$B$62,+'5.Variables'!$C73,+IF(K$18='5.Variables'!$B$76,+'5.Variables'!$C87,+IF(K$18='5.Variables'!$B$90,+'5.Variables'!$C101,+IF(K$18='5.Variables'!$B$104,+'5.Variables'!$C115,0))))))</f>
        <v>918.30000000000007</v>
      </c>
      <c r="L128" s="725">
        <f>IF(L$18='5.Variables'!$B$16,+'5.Variables'!$C35,+IF(L$18='5.Variables'!$B$39,+'5.Variables'!$C59,+IF(L$18='5.Variables'!$B$62,+'5.Variables'!$C73,+IF(L$18='5.Variables'!$B$76,+'5.Variables'!$C87,+IF(L$18='5.Variables'!$B$90,+'5.Variables'!$C101,+IF(L$18='5.Variables'!$B$104,+'5.Variables'!$C115,0))))))</f>
        <v>0</v>
      </c>
      <c r="M128" s="725">
        <f>IF(M$18='5.Variables'!$B$16,+'5.Variables'!$C35,+IF(M$18='5.Variables'!$B$39,+'5.Variables'!$C59,+IF(M$18='5.Variables'!$B$62,+'5.Variables'!$C73,+IF(M$18='5.Variables'!$B$76,+'5.Variables'!$C87,+IF(M$18='5.Variables'!$B$90,+'5.Variables'!$C101,+IF(M$18='5.Variables'!$B$104,+'5.Variables'!$C115,0))))))</f>
        <v>1</v>
      </c>
      <c r="N128" s="725">
        <f>IF(N$18='5.Variables'!$B$16,+'5.Variables'!$C35,+IF(N$18='5.Variables'!$B$39,+'5.Variables'!$C59,+IF(N$18='5.Variables'!$B$62,+'5.Variables'!$C73,+IF(N$18='5.Variables'!$B$76,+'5.Variables'!$C87,+IF(N$18='5.Variables'!$B$90,+'5.Variables'!$C101,+IF(N$18='5.Variables'!$B$104,+'5.Variables'!$C115,0))))))</f>
        <v>1</v>
      </c>
      <c r="O128" s="725">
        <f>IF(O$18='5.Variables'!$B$16,+'5.Variables'!$C35,+IF(O$18='5.Variables'!$B$39,+'5.Variables'!$C59,+IF(O$18='5.Variables'!$B$62,+'5.Variables'!$C73,+IF(O$18='5.Variables'!$B$76,+'5.Variables'!$C87,+IF(O$18='5.Variables'!$B$90,+'5.Variables'!$C101,+IF(O$18='5.Variables'!$B$104,+'5.Variables'!$C115,0))))))</f>
        <v>31</v>
      </c>
      <c r="P128" s="725">
        <f>IF(P$18='5.Variables'!$B$16,+'5.Variables'!$C35,+IF(P$18='5.Variables'!$B$39,+'5.Variables'!$C59,+IF(P$18='5.Variables'!$B$62,+'5.Variables'!$C73,+IF(P$18='5.Variables'!$B$76,+'5.Variables'!$C87,+IF(P$18='5.Variables'!$B$90,+'5.Variables'!$C101,+IF(P$18='5.Variables'!$B$104,+'5.Variables'!$C115,0))))))</f>
        <v>0</v>
      </c>
      <c r="Q128" s="245"/>
      <c r="R128" s="558">
        <f t="shared" si="9"/>
        <v>21108527.394104708</v>
      </c>
      <c r="S128" s="265"/>
      <c r="T128" s="245"/>
      <c r="U128" s="245"/>
      <c r="V128" s="245"/>
      <c r="W128" s="245"/>
      <c r="X128" s="245"/>
      <c r="Y128" s="245"/>
      <c r="Z128" s="245"/>
      <c r="AA128" s="245"/>
      <c r="AB128" s="245"/>
      <c r="AC128" s="245"/>
      <c r="AD128" s="245"/>
      <c r="AE128" s="245"/>
      <c r="AF128" s="245"/>
      <c r="AG128" s="245"/>
      <c r="AH128" s="245"/>
      <c r="AI128" s="245"/>
      <c r="AJ128" s="245"/>
      <c r="AK128" s="245"/>
      <c r="AL128" s="245"/>
      <c r="AM128" s="245"/>
    </row>
    <row r="129" spans="1:39" x14ac:dyDescent="0.2">
      <c r="A129" s="503">
        <f t="shared" si="10"/>
        <v>110</v>
      </c>
      <c r="B129" s="262" t="str">
        <f>CONCATENATE('3. Consumption by Rate Class'!B134,"-",'3. Consumption by Rate Class'!C134)</f>
        <v>2014-February</v>
      </c>
      <c r="C129" s="699">
        <v>19226108.919999998</v>
      </c>
      <c r="D129" s="703"/>
      <c r="E129" s="703"/>
      <c r="F129" s="703"/>
      <c r="G129" s="703"/>
      <c r="H129" s="704"/>
      <c r="I129" s="704"/>
      <c r="J129" s="263">
        <f t="shared" si="8"/>
        <v>19226108.919999998</v>
      </c>
      <c r="K129" s="725">
        <f>IF(K$18='5.Variables'!$B$16,+'5.Variables'!$D36,+IF(K$18='5.Variables'!$B$39,+'5.Variables'!$D59,+IF(K$18='5.Variables'!$B$62,+'5.Variables'!$D73,+IF(K$18='5.Variables'!$B$76,+'5.Variables'!$D87,+IF(K$18='5.Variables'!$B$90,+'5.Variables'!$D101,+IF(K$18='5.Variables'!$B$104,+'5.Variables'!$D115,0))))))</f>
        <v>793.2</v>
      </c>
      <c r="L129" s="725">
        <f>IF(L$18='5.Variables'!$B$16,+'5.Variables'!$D35,+IF(L$18='5.Variables'!$B$39,+'5.Variables'!$D59,+IF(L$18='5.Variables'!$B$62,+'5.Variables'!$D73,+IF(L$18='5.Variables'!$B$76,+'5.Variables'!$D87,+IF(L$18='5.Variables'!$B$90,+'5.Variables'!$D101,+IF(L$18='5.Variables'!$B$104,+'5.Variables'!$D115,0))))))</f>
        <v>0</v>
      </c>
      <c r="M129" s="725">
        <f>IF(M$18='5.Variables'!$B$16,+'5.Variables'!$D35,+IF(M$18='5.Variables'!$B$39,+'5.Variables'!$D59,+IF(M$18='5.Variables'!$B$62,+'5.Variables'!$D73,+IF(M$18='5.Variables'!$B$76,+'5.Variables'!$D87,+IF(M$18='5.Variables'!$B$90,+'5.Variables'!$D101,+IF(M$18='5.Variables'!$B$104,+'5.Variables'!$D115,0))))))</f>
        <v>1</v>
      </c>
      <c r="N129" s="725">
        <f>IF(N$18='5.Variables'!$B$16,+'5.Variables'!$D35,+IF(N$18='5.Variables'!$B$39,+'5.Variables'!$D59,+IF(N$18='5.Variables'!$B$62,+'5.Variables'!$D73,+IF(N$18='5.Variables'!$B$76,+'5.Variables'!$D87,+IF(N$18='5.Variables'!$B$90,+'5.Variables'!$D101,+IF(N$18='5.Variables'!$B$104,+'5.Variables'!$D115,0))))))</f>
        <v>0</v>
      </c>
      <c r="O129" s="725">
        <f>IF(O$18='5.Variables'!$B$16,+'5.Variables'!$D35,+IF(O$18='5.Variables'!$B$39,+'5.Variables'!$D59,+IF(O$18='5.Variables'!$B$62,+'5.Variables'!$D73,+IF(O$18='5.Variables'!$B$76,+'5.Variables'!$D87,+IF(O$18='5.Variables'!$B$90,+'5.Variables'!$D101,+IF(O$18='5.Variables'!$B$104,+'5.Variables'!$D115,0))))))</f>
        <v>28</v>
      </c>
      <c r="P129" s="725">
        <f>IF(P$18='5.Variables'!$B$16,+'5.Variables'!$D35,+IF(P$18='5.Variables'!$B$39,+'5.Variables'!$D59,+IF(P$18='5.Variables'!$B$62,+'5.Variables'!$D73,+IF(P$18='5.Variables'!$B$76,+'5.Variables'!$D87,+IF(P$18='5.Variables'!$B$90,+'5.Variables'!$D101,+IF(P$18='5.Variables'!$B$104,+'5.Variables'!$D115,0))))))</f>
        <v>0</v>
      </c>
      <c r="Q129" s="245"/>
      <c r="R129" s="558">
        <f t="shared" si="9"/>
        <v>20215240.131779056</v>
      </c>
      <c r="S129" s="265"/>
      <c r="T129" s="245"/>
      <c r="U129" s="245"/>
      <c r="V129" s="245"/>
      <c r="W129" s="245"/>
      <c r="X129" s="245"/>
      <c r="Y129" s="245"/>
      <c r="Z129" s="245"/>
      <c r="AA129" s="245"/>
      <c r="AB129" s="245"/>
      <c r="AC129" s="245"/>
      <c r="AD129" s="245"/>
      <c r="AE129" s="245"/>
      <c r="AF129" s="245"/>
      <c r="AG129" s="245"/>
      <c r="AH129" s="245"/>
      <c r="AI129" s="245"/>
      <c r="AJ129" s="245"/>
      <c r="AK129" s="245"/>
      <c r="AL129" s="245"/>
      <c r="AM129" s="245"/>
    </row>
    <row r="130" spans="1:39" x14ac:dyDescent="0.2">
      <c r="A130" s="503">
        <f t="shared" si="10"/>
        <v>111</v>
      </c>
      <c r="B130" s="262" t="str">
        <f>CONCATENATE('3. Consumption by Rate Class'!B135,"-",'3. Consumption by Rate Class'!C135)</f>
        <v>2014-March</v>
      </c>
      <c r="C130" s="699">
        <v>17456699.59</v>
      </c>
      <c r="D130" s="703"/>
      <c r="E130" s="703"/>
      <c r="F130" s="703"/>
      <c r="G130" s="703"/>
      <c r="H130" s="704"/>
      <c r="I130" s="704"/>
      <c r="J130" s="263">
        <f t="shared" si="8"/>
        <v>17456699.59</v>
      </c>
      <c r="K130" s="725">
        <f>IF(K$18='5.Variables'!$B$16,+'5.Variables'!$E36,+IF(K$18='5.Variables'!$B$39,+'5.Variables'!$E59,+IF(K$18='5.Variables'!$B$62,+'5.Variables'!$E73,+IF(K$18='5.Variables'!$B$76,+'5.Variables'!$E87,+IF(K$18='5.Variables'!$B$90,+'5.Variables'!$E101,+IF(K$18='5.Variables'!$B$104,+'5.Variables'!$E115,0))))))</f>
        <v>783.6</v>
      </c>
      <c r="L130" s="725">
        <f>IF(L$18='5.Variables'!$B$16,+'5.Variables'!$E35,+IF(L$18='5.Variables'!$B$39,+'5.Variables'!$E59,+IF(L$18='5.Variables'!$B$62,+'5.Variables'!$E73,+IF(L$18='5.Variables'!$B$76,+'5.Variables'!$E87,+IF(L$18='5.Variables'!$B$90,+'5.Variables'!$E101,+IF(L$18='5.Variables'!$B$104,+'5.Variables'!$E115,0))))))</f>
        <v>0</v>
      </c>
      <c r="M130" s="725">
        <f>IF(M$18='5.Variables'!$B$16,+'5.Variables'!$E35,+IF(M$18='5.Variables'!$B$39,+'5.Variables'!$E59,+IF(M$18='5.Variables'!$B$62,+'5.Variables'!$E73,+IF(M$18='5.Variables'!$B$76,+'5.Variables'!$E87,+IF(M$18='5.Variables'!$B$90,+'5.Variables'!$E101,+IF(M$18='5.Variables'!$B$104,+'5.Variables'!$E115,0))))))</f>
        <v>0</v>
      </c>
      <c r="N130" s="725">
        <f>IF(N$18='5.Variables'!$B$16,+'5.Variables'!$E35,+IF(N$18='5.Variables'!$B$39,+'5.Variables'!$E59,+IF(N$18='5.Variables'!$B$62,+'5.Variables'!$E73,+IF(N$18='5.Variables'!$B$76,+'5.Variables'!$E87,+IF(N$18='5.Variables'!$B$90,+'5.Variables'!$E101,+IF(N$18='5.Variables'!$B$104,+'5.Variables'!$E115,0))))))</f>
        <v>1</v>
      </c>
      <c r="O130" s="725">
        <f>IF(O$18='5.Variables'!$B$16,+'5.Variables'!$E35,+IF(O$18='5.Variables'!$B$39,+'5.Variables'!$E59,+IF(O$18='5.Variables'!$B$62,+'5.Variables'!$E73,+IF(O$18='5.Variables'!$B$76,+'5.Variables'!$E87,+IF(O$18='5.Variables'!$B$90,+'5.Variables'!$E101,+IF(O$18='5.Variables'!$B$104,+'5.Variables'!$E115,0))))))</f>
        <v>31</v>
      </c>
      <c r="P130" s="725">
        <f>IF(P$18='5.Variables'!$B$16,+'5.Variables'!$E35,+IF(P$18='5.Variables'!$B$39,+'5.Variables'!$E59,+IF(P$18='5.Variables'!$B$62,+'5.Variables'!$E73,+IF(P$18='5.Variables'!$B$76,+'5.Variables'!$E87,+IF(P$18='5.Variables'!$B$90,+'5.Variables'!$E101,+IF(P$18='5.Variables'!$B$104,+'5.Variables'!$E115,0))))))</f>
        <v>0</v>
      </c>
      <c r="Q130" s="245"/>
      <c r="R130" s="558">
        <f t="shared" si="9"/>
        <v>18671742.287516132</v>
      </c>
      <c r="S130" s="265"/>
      <c r="T130" s="245"/>
      <c r="U130" s="245"/>
      <c r="V130" s="245"/>
      <c r="W130" s="245"/>
      <c r="X130" s="245"/>
      <c r="Y130" s="245"/>
      <c r="Z130" s="245"/>
      <c r="AA130" s="245"/>
      <c r="AB130" s="245"/>
      <c r="AC130" s="245"/>
      <c r="AD130" s="245"/>
      <c r="AE130" s="245"/>
      <c r="AF130" s="245"/>
      <c r="AG130" s="245"/>
      <c r="AH130" s="245"/>
      <c r="AI130" s="245"/>
      <c r="AJ130" s="245"/>
      <c r="AK130" s="245"/>
      <c r="AL130" s="245"/>
      <c r="AM130" s="245"/>
    </row>
    <row r="131" spans="1:39" x14ac:dyDescent="0.2">
      <c r="A131" s="503">
        <f t="shared" si="10"/>
        <v>112</v>
      </c>
      <c r="B131" s="262" t="str">
        <f>CONCATENATE('3. Consumption by Rate Class'!B136,"-",'3. Consumption by Rate Class'!C136)</f>
        <v>2014-April</v>
      </c>
      <c r="C131" s="699">
        <v>15348468.49</v>
      </c>
      <c r="D131" s="703"/>
      <c r="E131" s="703"/>
      <c r="F131" s="703"/>
      <c r="G131" s="703"/>
      <c r="H131" s="704"/>
      <c r="I131" s="704"/>
      <c r="J131" s="263">
        <f t="shared" si="8"/>
        <v>15348468.49</v>
      </c>
      <c r="K131" s="725">
        <f>IF(K$18='5.Variables'!$B$16,+'5.Variables'!$F36,+IF(K$18='5.Variables'!$B$39,+'5.Variables'!$F59,+IF(K$18='5.Variables'!$B$62,+'5.Variables'!$F73,+IF(K$18='5.Variables'!$B$76,+'5.Variables'!$F87,+IF(K$18='5.Variables'!$B$90,+'5.Variables'!$F101,+IF(K$18='5.Variables'!$B$104,+'5.Variables'!$F115,0))))))</f>
        <v>384.20000000000005</v>
      </c>
      <c r="L131" s="725">
        <f>IF(L$18='5.Variables'!$B$16,+'5.Variables'!$F35,+IF(L$18='5.Variables'!$B$39,+'5.Variables'!$F59,+IF(L$18='5.Variables'!$B$62,+'5.Variables'!$F73,+IF(L$18='5.Variables'!$B$76,+'5.Variables'!$F87,+IF(L$18='5.Variables'!$B$90,+'5.Variables'!$F101,+IF(L$18='5.Variables'!$B$104,+'5.Variables'!$F115,0))))))</f>
        <v>0</v>
      </c>
      <c r="M131" s="725">
        <f>IF(M$18='5.Variables'!$B$16,+'5.Variables'!$F35,+IF(M$18='5.Variables'!$B$39,+'5.Variables'!$F59,+IF(M$18='5.Variables'!$B$62,+'5.Variables'!$F73,+IF(M$18='5.Variables'!$B$76,+'5.Variables'!$F87,+IF(M$18='5.Variables'!$B$90,+'5.Variables'!$F101,+IF(M$18='5.Variables'!$B$104,+'5.Variables'!$F115,0))))))</f>
        <v>0</v>
      </c>
      <c r="N131" s="725">
        <f>IF(N$18='5.Variables'!$B$16,+'5.Variables'!$F35,+IF(N$18='5.Variables'!$B$39,+'5.Variables'!$F59,+IF(N$18='5.Variables'!$B$62,+'5.Variables'!$F73,+IF(N$18='5.Variables'!$B$76,+'5.Variables'!$F87,+IF(N$18='5.Variables'!$B$90,+'5.Variables'!$F101,+IF(N$18='5.Variables'!$B$104,+'5.Variables'!$F115,0))))))</f>
        <v>0</v>
      </c>
      <c r="O131" s="725">
        <f>IF(O$18='5.Variables'!$B$16,+'5.Variables'!$F35,+IF(O$18='5.Variables'!$B$39,+'5.Variables'!$F59,+IF(O$18='5.Variables'!$B$62,+'5.Variables'!$F73,+IF(O$18='5.Variables'!$B$76,+'5.Variables'!$F87,+IF(O$18='5.Variables'!$B$90,+'5.Variables'!$F101,+IF(O$18='5.Variables'!$B$104,+'5.Variables'!$F115,0))))))</f>
        <v>30</v>
      </c>
      <c r="P131" s="725">
        <f>IF(P$18='5.Variables'!$B$16,+'5.Variables'!$F35,+IF(P$18='5.Variables'!$B$39,+'5.Variables'!$F59,+IF(P$18='5.Variables'!$B$62,+'5.Variables'!$F73,+IF(P$18='5.Variables'!$B$76,+'5.Variables'!$F87,+IF(P$18='5.Variables'!$B$90,+'5.Variables'!$F101,+IF(P$18='5.Variables'!$B$104,+'5.Variables'!$F115,0))))))</f>
        <v>0</v>
      </c>
      <c r="Q131" s="245"/>
      <c r="R131" s="558">
        <f t="shared" si="9"/>
        <v>15819792.386853738</v>
      </c>
      <c r="S131" s="265"/>
      <c r="T131" s="245"/>
      <c r="U131" s="245"/>
      <c r="V131" s="245"/>
      <c r="W131" s="245"/>
      <c r="X131" s="245"/>
      <c r="Y131" s="245"/>
      <c r="Z131" s="245"/>
      <c r="AA131" s="245"/>
      <c r="AB131" s="245"/>
      <c r="AC131" s="245"/>
      <c r="AD131" s="245"/>
      <c r="AE131" s="245"/>
      <c r="AF131" s="245"/>
      <c r="AG131" s="245"/>
      <c r="AH131" s="245"/>
      <c r="AI131" s="245"/>
      <c r="AJ131" s="245"/>
      <c r="AK131" s="245"/>
      <c r="AL131" s="245"/>
      <c r="AM131" s="245"/>
    </row>
    <row r="132" spans="1:39" x14ac:dyDescent="0.2">
      <c r="A132" s="503">
        <f t="shared" si="10"/>
        <v>113</v>
      </c>
      <c r="B132" s="262" t="str">
        <f>CONCATENATE('3. Consumption by Rate Class'!B137,"-",'3. Consumption by Rate Class'!C137)</f>
        <v>2014-May</v>
      </c>
      <c r="C132" s="699">
        <v>14153569.25</v>
      </c>
      <c r="D132" s="703"/>
      <c r="E132" s="703"/>
      <c r="F132" s="703"/>
      <c r="G132" s="703"/>
      <c r="H132" s="704"/>
      <c r="I132" s="704"/>
      <c r="J132" s="263">
        <f t="shared" si="8"/>
        <v>14153569.25</v>
      </c>
      <c r="K132" s="725">
        <f>IF(K$18='5.Variables'!$B$16,+'5.Variables'!$G36,+IF(K$18='5.Variables'!$B$39,+'5.Variables'!$G59,+IF(K$18='5.Variables'!$B$62,+'5.Variables'!$G73,+IF(K$18='5.Variables'!$B$76,+'5.Variables'!$G87,+IF(K$18='5.Variables'!$B$90,+'5.Variables'!$G101,+IF(K$18='5.Variables'!$B$104,+'5.Variables'!$G115,0))))))</f>
        <v>127.3</v>
      </c>
      <c r="L132" s="725">
        <f>IF(L$18='5.Variables'!$B$16,+'5.Variables'!$G35,+IF(L$18='5.Variables'!$B$39,+'5.Variables'!$G59,+IF(L$18='5.Variables'!$B$62,+'5.Variables'!$G73,+IF(L$18='5.Variables'!$B$76,+'5.Variables'!$G87,+IF(L$18='5.Variables'!$B$90,+'5.Variables'!$G101,+IF(L$18='5.Variables'!$B$104,+'5.Variables'!$G115,0))))))</f>
        <v>8.8000000000000007</v>
      </c>
      <c r="M132" s="725">
        <f>IF(M$18='5.Variables'!$B$16,+'5.Variables'!$G35,+IF(M$18='5.Variables'!$B$39,+'5.Variables'!$G59,+IF(M$18='5.Variables'!$B$62,+'5.Variables'!$G73,+IF(M$18='5.Variables'!$B$76,+'5.Variables'!$G87,+IF(M$18='5.Variables'!$B$90,+'5.Variables'!$G101,+IF(M$18='5.Variables'!$B$104,+'5.Variables'!$G115,0))))))</f>
        <v>0</v>
      </c>
      <c r="N132" s="725">
        <f>IF(N$18='5.Variables'!$B$16,+'5.Variables'!$G35,+IF(N$18='5.Variables'!$B$39,+'5.Variables'!$G59,+IF(N$18='5.Variables'!$B$62,+'5.Variables'!$G73,+IF(N$18='5.Variables'!$B$76,+'5.Variables'!$G87,+IF(N$18='5.Variables'!$B$90,+'5.Variables'!$G101,+IF(N$18='5.Variables'!$B$104,+'5.Variables'!$G115,0))))))</f>
        <v>0</v>
      </c>
      <c r="O132" s="725">
        <f>IF(O$18='5.Variables'!$B$16,+'5.Variables'!$G35,+IF(O$18='5.Variables'!$B$39,+'5.Variables'!$G59,+IF(O$18='5.Variables'!$B$62,+'5.Variables'!$G73,+IF(O$18='5.Variables'!$B$76,+'5.Variables'!$G87,+IF(O$18='5.Variables'!$B$90,+'5.Variables'!$G101,+IF(O$18='5.Variables'!$B$104,+'5.Variables'!$G115,0))))))</f>
        <v>31</v>
      </c>
      <c r="P132" s="725">
        <f>IF(P$18='5.Variables'!$B$16,+'5.Variables'!$G35,+IF(P$18='5.Variables'!$B$39,+'5.Variables'!$G59,+IF(P$18='5.Variables'!$B$62,+'5.Variables'!$G73,+IF(P$18='5.Variables'!$B$76,+'5.Variables'!$G87,+IF(P$18='5.Variables'!$B$90,+'5.Variables'!$G101,+IF(P$18='5.Variables'!$B$104,+'5.Variables'!$G115,0))))))</f>
        <v>0</v>
      </c>
      <c r="Q132" s="245"/>
      <c r="R132" s="558">
        <f t="shared" si="9"/>
        <v>14227528.439266698</v>
      </c>
      <c r="S132" s="265"/>
      <c r="T132" s="245"/>
      <c r="U132" s="245"/>
      <c r="V132" s="245"/>
      <c r="W132" s="245"/>
      <c r="X132" s="245"/>
      <c r="Y132" s="245"/>
      <c r="Z132" s="245"/>
      <c r="AA132" s="245"/>
      <c r="AB132" s="245"/>
      <c r="AC132" s="245"/>
      <c r="AD132" s="245"/>
      <c r="AE132" s="245"/>
      <c r="AF132" s="245"/>
      <c r="AG132" s="245"/>
      <c r="AH132" s="245"/>
      <c r="AI132" s="245"/>
      <c r="AJ132" s="245"/>
      <c r="AK132" s="245"/>
      <c r="AL132" s="245"/>
      <c r="AM132" s="245"/>
    </row>
    <row r="133" spans="1:39" x14ac:dyDescent="0.2">
      <c r="A133" s="503">
        <f t="shared" si="10"/>
        <v>114</v>
      </c>
      <c r="B133" s="262" t="str">
        <f>CONCATENATE('3. Consumption by Rate Class'!B138,"-",'3. Consumption by Rate Class'!C138)</f>
        <v>2014-June</v>
      </c>
      <c r="C133" s="699">
        <v>15797161.310000001</v>
      </c>
      <c r="D133" s="703"/>
      <c r="E133" s="703"/>
      <c r="F133" s="703"/>
      <c r="G133" s="703"/>
      <c r="H133" s="704"/>
      <c r="I133" s="704"/>
      <c r="J133" s="263">
        <f t="shared" si="8"/>
        <v>15797161.310000001</v>
      </c>
      <c r="K133" s="725">
        <f>IF(K$18='5.Variables'!$B$16,+'5.Variables'!$H36,+IF(K$18='5.Variables'!$B$39,+'5.Variables'!$H59,+IF(K$18='5.Variables'!$B$62,+'5.Variables'!$H73,+IF(K$18='5.Variables'!$B$76,+'5.Variables'!$H87,+IF(K$18='5.Variables'!$B$90,+'5.Variables'!$H101,+IF(K$18='5.Variables'!$B$104,+'5.Variables'!$H115,0))))))</f>
        <v>20.299999999999997</v>
      </c>
      <c r="L133" s="725">
        <f>IF(L$18='5.Variables'!$B$16,+'5.Variables'!$H35,+IF(L$18='5.Variables'!$B$39,+'5.Variables'!$H59,+IF(L$18='5.Variables'!$B$62,+'5.Variables'!$H73,+IF(L$18='5.Variables'!$B$76,+'5.Variables'!$H87,+IF(L$18='5.Variables'!$B$90,+'5.Variables'!$H101,+IF(L$18='5.Variables'!$B$104,+'5.Variables'!$H115,0))))))</f>
        <v>54.9</v>
      </c>
      <c r="M133" s="725">
        <f>IF(M$18='5.Variables'!$B$16,+'5.Variables'!$H35,+IF(M$18='5.Variables'!$B$39,+'5.Variables'!$H59,+IF(M$18='5.Variables'!$B$62,+'5.Variables'!$H73,+IF(M$18='5.Variables'!$B$76,+'5.Variables'!$H87,+IF(M$18='5.Variables'!$B$90,+'5.Variables'!$H101,+IF(M$18='5.Variables'!$B$104,+'5.Variables'!$H115,0))))))</f>
        <v>0</v>
      </c>
      <c r="N133" s="725">
        <f>IF(N$18='5.Variables'!$B$16,+'5.Variables'!$H35,+IF(N$18='5.Variables'!$B$39,+'5.Variables'!$H59,+IF(N$18='5.Variables'!$B$62,+'5.Variables'!$H73,+IF(N$18='5.Variables'!$B$76,+'5.Variables'!$H87,+IF(N$18='5.Variables'!$B$90,+'5.Variables'!$H101,+IF(N$18='5.Variables'!$B$104,+'5.Variables'!$H115,0))))))</f>
        <v>0</v>
      </c>
      <c r="O133" s="725">
        <f>IF(O$18='5.Variables'!$B$16,+'5.Variables'!$H35,+IF(O$18='5.Variables'!$B$39,+'5.Variables'!$H59,+IF(O$18='5.Variables'!$B$62,+'5.Variables'!$H73,+IF(O$18='5.Variables'!$B$76,+'5.Variables'!$H87,+IF(O$18='5.Variables'!$B$90,+'5.Variables'!$H101,+IF(O$18='5.Variables'!$B$104,+'5.Variables'!$H115,0))))))</f>
        <v>30</v>
      </c>
      <c r="P133" s="725">
        <f>IF(P$18='5.Variables'!$B$16,+'5.Variables'!$H35,+IF(P$18='5.Variables'!$B$39,+'5.Variables'!$H59,+IF(P$18='5.Variables'!$B$62,+'5.Variables'!$H73,+IF(P$18='5.Variables'!$B$76,+'5.Variables'!$H87,+IF(P$18='5.Variables'!$B$90,+'5.Variables'!$H101,+IF(P$18='5.Variables'!$B$104,+'5.Variables'!$H115,0))))))</f>
        <v>0</v>
      </c>
      <c r="Q133" s="245"/>
      <c r="R133" s="558">
        <f t="shared" si="9"/>
        <v>14732034.673008591</v>
      </c>
      <c r="S133" s="265"/>
      <c r="T133" s="245"/>
      <c r="U133" s="245"/>
      <c r="V133" s="245"/>
      <c r="W133" s="245"/>
      <c r="X133" s="245"/>
      <c r="Y133" s="245"/>
      <c r="Z133" s="245"/>
      <c r="AA133" s="245"/>
      <c r="AB133" s="245"/>
      <c r="AC133" s="245"/>
      <c r="AD133" s="245"/>
      <c r="AE133" s="245"/>
      <c r="AF133" s="245"/>
      <c r="AG133" s="245"/>
      <c r="AH133" s="245"/>
      <c r="AI133" s="245"/>
      <c r="AJ133" s="245"/>
      <c r="AK133" s="245"/>
      <c r="AL133" s="245"/>
      <c r="AM133" s="245"/>
    </row>
    <row r="134" spans="1:39" x14ac:dyDescent="0.2">
      <c r="A134" s="503">
        <f t="shared" si="10"/>
        <v>115</v>
      </c>
      <c r="B134" s="262" t="str">
        <f>CONCATENATE('3. Consumption by Rate Class'!B139,"-",'3. Consumption by Rate Class'!C139)</f>
        <v>2014-July</v>
      </c>
      <c r="C134" s="699">
        <v>14657239.130000001</v>
      </c>
      <c r="D134" s="703"/>
      <c r="E134" s="703"/>
      <c r="F134" s="703"/>
      <c r="G134" s="703"/>
      <c r="H134" s="704"/>
      <c r="I134" s="704"/>
      <c r="J134" s="263">
        <f t="shared" si="8"/>
        <v>14657239.130000001</v>
      </c>
      <c r="K134" s="725">
        <f>IF(K$18='5.Variables'!$B$16,+'5.Variables'!$I35,+IF(K$18='5.Variables'!$B$39,+'5.Variables'!$I59,+IF(K$18='5.Variables'!$B$62,+'5.Variables'!$I73,+IF(K$18='5.Variables'!$B$76,+'5.Variables'!$I87,+IF(K$18='5.Variables'!$B$90,+'5.Variables'!$I101,+IF(K$18='5.Variables'!$B$104,+'5.Variables'!$I115,0))))))</f>
        <v>7.7</v>
      </c>
      <c r="L134" s="725">
        <f>IF(L$18='5.Variables'!$B$16,+'5.Variables'!$I35,+IF(L$18='5.Variables'!$B$39,+'5.Variables'!$I59,+IF(L$18='5.Variables'!$B$62,+'5.Variables'!$I73,+IF(L$18='5.Variables'!$B$76,+'5.Variables'!$I87,+IF(L$18='5.Variables'!$B$90,+'5.Variables'!$I101,+IF(L$18='5.Variables'!$B$104,+'5.Variables'!$I115,0))))))</f>
        <v>62.800000000000011</v>
      </c>
      <c r="M134" s="725">
        <f>IF(M$18='5.Variables'!$B$16,+'5.Variables'!$I35,+IF(M$18='5.Variables'!$B$39,+'5.Variables'!$I59,+IF(M$18='5.Variables'!$B$62,+'5.Variables'!$I73,+IF(M$18='5.Variables'!$B$76,+'5.Variables'!$I87,+IF(M$18='5.Variables'!$B$90,+'5.Variables'!$I101,+IF(M$18='5.Variables'!$B$104,+'5.Variables'!$I115,0))))))</f>
        <v>0</v>
      </c>
      <c r="N134" s="725">
        <f>IF(N$18='5.Variables'!$B$16,+'5.Variables'!$I35,+IF(N$18='5.Variables'!$B$39,+'5.Variables'!$I59,+IF(N$18='5.Variables'!$B$62,+'5.Variables'!$I73,+IF(N$18='5.Variables'!$B$76,+'5.Variables'!$I87,+IF(N$18='5.Variables'!$B$90,+'5.Variables'!$I101,+IF(N$18='5.Variables'!$B$104,+'5.Variables'!$I115,0))))))</f>
        <v>1</v>
      </c>
      <c r="O134" s="725">
        <f>IF(O$18='5.Variables'!$B$16,+'5.Variables'!$I35,+IF(O$18='5.Variables'!$B$39,+'5.Variables'!$I59,+IF(O$18='5.Variables'!$B$62,+'5.Variables'!$I73,+IF(O$18='5.Variables'!$B$76,+'5.Variables'!$I87,+IF(O$18='5.Variables'!$B$90,+'5.Variables'!$I101,+IF(O$18='5.Variables'!$B$104,+'5.Variables'!$I115,0))))))</f>
        <v>31</v>
      </c>
      <c r="P134" s="725">
        <f>IF(P$18='5.Variables'!$B$16,+'5.Variables'!$I35,+IF(P$18='5.Variables'!$B$39,+'5.Variables'!$I59,+IF(P$18='5.Variables'!$B$62,+'5.Variables'!$I73,+IF(P$18='5.Variables'!$B$76,+'5.Variables'!$I87,+IF(P$18='5.Variables'!$B$90,+'5.Variables'!$I101,+IF(P$18='5.Variables'!$B$104,+'5.Variables'!$I115,0))))))</f>
        <v>0</v>
      </c>
      <c r="Q134" s="245"/>
      <c r="R134" s="558">
        <f t="shared" si="9"/>
        <v>14859450.198183967</v>
      </c>
      <c r="S134" s="265"/>
      <c r="T134" s="245"/>
      <c r="U134" s="245"/>
      <c r="V134" s="245"/>
      <c r="W134" s="245"/>
      <c r="X134" s="245"/>
      <c r="Y134" s="245"/>
      <c r="Z134" s="245"/>
      <c r="AA134" s="245"/>
      <c r="AB134" s="245"/>
      <c r="AC134" s="245"/>
      <c r="AD134" s="245"/>
      <c r="AE134" s="245"/>
      <c r="AF134" s="245"/>
      <c r="AG134" s="245"/>
      <c r="AH134" s="245"/>
      <c r="AI134" s="245"/>
      <c r="AJ134" s="245"/>
      <c r="AK134" s="245"/>
      <c r="AL134" s="245"/>
      <c r="AM134" s="245"/>
    </row>
    <row r="135" spans="1:39" x14ac:dyDescent="0.2">
      <c r="A135" s="503">
        <f t="shared" si="10"/>
        <v>116</v>
      </c>
      <c r="B135" s="262" t="str">
        <f>CONCATENATE('3. Consumption by Rate Class'!B140,"-",'3. Consumption by Rate Class'!C140)</f>
        <v>2014-August</v>
      </c>
      <c r="C135" s="699">
        <v>14519949.390000001</v>
      </c>
      <c r="D135" s="703"/>
      <c r="E135" s="703"/>
      <c r="F135" s="703"/>
      <c r="G135" s="703"/>
      <c r="H135" s="704"/>
      <c r="I135" s="704"/>
      <c r="J135" s="263">
        <f t="shared" si="8"/>
        <v>14519949.390000001</v>
      </c>
      <c r="K135" s="725">
        <f>IF(K$18='5.Variables'!$B$16,+'5.Variables'!$J36,+IF(K$18='5.Variables'!$B$39,+'5.Variables'!$J59,+IF(K$18='5.Variables'!$B$62,+'5.Variables'!$J73,+IF(K$18='5.Variables'!$B$76,+'5.Variables'!$J87,+IF(K$18='5.Variables'!$B$90,+'5.Variables'!$J101,+IF(K$18='5.Variables'!$B$104,+'5.Variables'!$J115,0))))))</f>
        <v>21.400000000000002</v>
      </c>
      <c r="L135" s="725">
        <f>IF(L$18='5.Variables'!$B$16,+'5.Variables'!$J35,+IF(L$18='5.Variables'!$B$39,+'5.Variables'!$J59,+IF(L$18='5.Variables'!$B$62,+'5.Variables'!$J73,+IF(L$18='5.Variables'!$B$76,+'5.Variables'!$J87,+IF(L$18='5.Variables'!$B$90,+'5.Variables'!$J101,+IF(L$18='5.Variables'!$B$104,+'5.Variables'!$J115,0))))))</f>
        <v>55.800000000000004</v>
      </c>
      <c r="M135" s="725">
        <f>IF(M$18='5.Variables'!$B$16,+'5.Variables'!$J35,+IF(M$18='5.Variables'!$B$39,+'5.Variables'!$J59,+IF(M$18='5.Variables'!$B$62,+'5.Variables'!$J73,+IF(M$18='5.Variables'!$B$76,+'5.Variables'!$J87,+IF(M$18='5.Variables'!$B$90,+'5.Variables'!$J101,+IF(M$18='5.Variables'!$B$104,+'5.Variables'!$J115,0))))))</f>
        <v>0</v>
      </c>
      <c r="N135" s="725">
        <f>IF(N$18='5.Variables'!$B$16,+'5.Variables'!$J35,+IF(N$18='5.Variables'!$B$39,+'5.Variables'!$J59,+IF(N$18='5.Variables'!$B$62,+'5.Variables'!$J73,+IF(N$18='5.Variables'!$B$76,+'5.Variables'!$J87,+IF(N$18='5.Variables'!$B$90,+'5.Variables'!$J101,+IF(N$18='5.Variables'!$B$104,+'5.Variables'!$J115,0))))))</f>
        <v>0</v>
      </c>
      <c r="O135" s="725">
        <f>IF(O$18='5.Variables'!$B$16,+'5.Variables'!$J35,+IF(O$18='5.Variables'!$B$39,+'5.Variables'!$J59,+IF(O$18='5.Variables'!$B$62,+'5.Variables'!$J73,+IF(O$18='5.Variables'!$B$76,+'5.Variables'!$J87,+IF(O$18='5.Variables'!$B$90,+'5.Variables'!$J101,+IF(O$18='5.Variables'!$B$104,+'5.Variables'!$J115,0))))))</f>
        <v>31</v>
      </c>
      <c r="P135" s="725">
        <f>IF(P$18='5.Variables'!$B$16,+'5.Variables'!$J35,+IF(P$18='5.Variables'!$B$39,+'5.Variables'!$J59,+IF(P$18='5.Variables'!$B$62,+'5.Variables'!$J73,+IF(P$18='5.Variables'!$B$76,+'5.Variables'!$J87,+IF(P$18='5.Variables'!$B$90,+'5.Variables'!$J101,+IF(P$18='5.Variables'!$B$104,+'5.Variables'!$J115,0))))))</f>
        <v>0</v>
      </c>
      <c r="Q135" s="245"/>
      <c r="R135" s="558">
        <f t="shared" si="9"/>
        <v>14764654.913872991</v>
      </c>
      <c r="S135" s="265"/>
      <c r="T135" s="245"/>
      <c r="U135" s="245"/>
      <c r="V135" s="245"/>
      <c r="W135" s="245"/>
      <c r="X135" s="245"/>
      <c r="Y135" s="245"/>
      <c r="Z135" s="245"/>
      <c r="AA135" s="245"/>
      <c r="AB135" s="245"/>
      <c r="AC135" s="245"/>
      <c r="AD135" s="245"/>
      <c r="AE135" s="245"/>
      <c r="AF135" s="245"/>
      <c r="AG135" s="245"/>
      <c r="AH135" s="245"/>
      <c r="AI135" s="245"/>
      <c r="AJ135" s="245"/>
      <c r="AK135" s="245"/>
      <c r="AL135" s="245"/>
      <c r="AM135" s="245"/>
    </row>
    <row r="136" spans="1:39" x14ac:dyDescent="0.2">
      <c r="A136" s="503">
        <f t="shared" si="10"/>
        <v>117</v>
      </c>
      <c r="B136" s="262" t="str">
        <f>CONCATENATE('3. Consumption by Rate Class'!B141,"-",'3. Consumption by Rate Class'!C141)</f>
        <v>2014-September</v>
      </c>
      <c r="C136" s="699">
        <v>11739127.049999999</v>
      </c>
      <c r="D136" s="703"/>
      <c r="E136" s="703"/>
      <c r="F136" s="703"/>
      <c r="G136" s="703"/>
      <c r="H136" s="704"/>
      <c r="I136" s="704"/>
      <c r="J136" s="263">
        <f t="shared" si="8"/>
        <v>11739127.049999999</v>
      </c>
      <c r="K136" s="725">
        <f>IF(K$18='5.Variables'!$B$16,+'5.Variables'!$K36,+IF(K$18='5.Variables'!$B$39,+'5.Variables'!$K59,+IF(K$18='5.Variables'!$B$62,+'5.Variables'!$K73,+IF(K$18='5.Variables'!$B$76,+'5.Variables'!$K87,+IF(K$18='5.Variables'!$B$90,+'5.Variables'!$K101,+IF(K$18='5.Variables'!$B$104,+'5.Variables'!$K115,0))))))</f>
        <v>110.3</v>
      </c>
      <c r="L136" s="725">
        <f>IF(L$18='5.Variables'!$B$16,+'5.Variables'!$K35,+IF(L$18='5.Variables'!$B$39,+'5.Variables'!$K59,+IF(L$18='5.Variables'!$B$62,+'5.Variables'!$K73,+IF(L$18='5.Variables'!$B$76,+'5.Variables'!$K87,+IF(L$18='5.Variables'!$B$90,+'5.Variables'!$K101,+IF(L$18='5.Variables'!$B$104,+'5.Variables'!$K115,0))))))</f>
        <v>21.600000000000005</v>
      </c>
      <c r="M136" s="725">
        <f>IF(M$18='5.Variables'!$B$16,+'5.Variables'!$K35,+IF(M$18='5.Variables'!$B$39,+'5.Variables'!$K59,+IF(M$18='5.Variables'!$B$62,+'5.Variables'!$K73,+IF(M$18='5.Variables'!$B$76,+'5.Variables'!$K87,+IF(M$18='5.Variables'!$B$90,+'5.Variables'!$K101,+IF(M$18='5.Variables'!$B$104,+'5.Variables'!$K115,0))))))</f>
        <v>0</v>
      </c>
      <c r="N136" s="725">
        <f>IF(N$18='5.Variables'!$B$16,+'5.Variables'!$K35,+IF(N$18='5.Variables'!$B$39,+'5.Variables'!$K59,+IF(N$18='5.Variables'!$B$62,+'5.Variables'!$K73,+IF(N$18='5.Variables'!$B$76,+'5.Variables'!$K87,+IF(N$18='5.Variables'!$B$90,+'5.Variables'!$K101,+IF(N$18='5.Variables'!$B$104,+'5.Variables'!$K115,0))))))</f>
        <v>0</v>
      </c>
      <c r="O136" s="725">
        <f>IF(O$18='5.Variables'!$B$16,+'5.Variables'!$K35,+IF(O$18='5.Variables'!$B$39,+'5.Variables'!$K59,+IF(O$18='5.Variables'!$B$62,+'5.Variables'!$K73,+IF(O$18='5.Variables'!$B$76,+'5.Variables'!$K87,+IF(O$18='5.Variables'!$B$90,+'5.Variables'!$K101,+IF(O$18='5.Variables'!$B$104,+'5.Variables'!$K115,0))))))</f>
        <v>30</v>
      </c>
      <c r="P136" s="725">
        <f>IF(P$18='5.Variables'!$B$16,+'5.Variables'!$K35,+IF(P$18='5.Variables'!$B$39,+'5.Variables'!$K59,+IF(P$18='5.Variables'!$B$62,+'5.Variables'!$K73,+IF(P$18='5.Variables'!$B$76,+'5.Variables'!$K87,+IF(P$18='5.Variables'!$B$90,+'5.Variables'!$K101,+IF(P$18='5.Variables'!$B$104,+'5.Variables'!$K115,0))))))</f>
        <v>0</v>
      </c>
      <c r="Q136" s="245"/>
      <c r="R136" s="558">
        <f t="shared" si="9"/>
        <v>14458360.302879984</v>
      </c>
      <c r="S136" s="265"/>
      <c r="T136" s="245"/>
      <c r="U136" s="245"/>
      <c r="V136" s="245"/>
      <c r="W136" s="245"/>
      <c r="X136" s="245"/>
      <c r="Y136" s="245"/>
      <c r="Z136" s="245"/>
      <c r="AA136" s="245"/>
      <c r="AB136" s="245"/>
      <c r="AC136" s="245"/>
      <c r="AD136" s="245"/>
      <c r="AE136" s="245"/>
      <c r="AF136" s="245"/>
      <c r="AG136" s="245"/>
      <c r="AH136" s="245"/>
      <c r="AI136" s="245"/>
      <c r="AJ136" s="245"/>
      <c r="AK136" s="245"/>
      <c r="AL136" s="245"/>
      <c r="AM136" s="245"/>
    </row>
    <row r="137" spans="1:39" x14ac:dyDescent="0.2">
      <c r="A137" s="503">
        <f t="shared" si="10"/>
        <v>118</v>
      </c>
      <c r="B137" s="262" t="str">
        <f>CONCATENATE('3. Consumption by Rate Class'!B142,"-",'3. Consumption by Rate Class'!C142)</f>
        <v>2014-October</v>
      </c>
      <c r="C137" s="699">
        <v>14153187.039999999</v>
      </c>
      <c r="D137" s="703"/>
      <c r="E137" s="703"/>
      <c r="F137" s="703"/>
      <c r="G137" s="703"/>
      <c r="H137" s="704"/>
      <c r="I137" s="704"/>
      <c r="J137" s="263">
        <f t="shared" si="8"/>
        <v>14153187.039999999</v>
      </c>
      <c r="K137" s="725">
        <f>IF(K$18='5.Variables'!$B$16,+'5.Variables'!$L36,+IF(K$18='5.Variables'!$B$39,+'5.Variables'!$L59,+IF(K$18='5.Variables'!$B$62,+'5.Variables'!$L73,+IF(K$18='5.Variables'!$B$76,+'5.Variables'!$L87,+IF(K$18='5.Variables'!$B$90,+'5.Variables'!$L101,+IF(K$18='5.Variables'!$B$104,+'5.Variables'!$L115,0))))))</f>
        <v>257.90000000000003</v>
      </c>
      <c r="L137" s="725">
        <f>IF(L$18='5.Variables'!$B$16,+'5.Variables'!$L35,+IF(L$18='5.Variables'!$B$39,+'5.Variables'!$L59,+IF(L$18='5.Variables'!$B$62,+'5.Variables'!$L73,+IF(L$18='5.Variables'!$B$76,+'5.Variables'!$L87,+IF(L$18='5.Variables'!$B$90,+'5.Variables'!$L101,+IF(L$18='5.Variables'!$B$104,+'5.Variables'!$L115,0))))))</f>
        <v>3.1</v>
      </c>
      <c r="M137" s="725">
        <f>IF(M$18='5.Variables'!$B$16,+'5.Variables'!$L35,+IF(M$18='5.Variables'!$B$39,+'5.Variables'!$L59,+IF(M$18='5.Variables'!$B$62,+'5.Variables'!$L73,+IF(M$18='5.Variables'!$B$76,+'5.Variables'!$L87,+IF(M$18='5.Variables'!$B$90,+'5.Variables'!$L101,+IF(M$18='5.Variables'!$B$104,+'5.Variables'!$L115,0))))))</f>
        <v>0</v>
      </c>
      <c r="N137" s="725">
        <f>IF(N$18='5.Variables'!$B$16,+'5.Variables'!$L35,+IF(N$18='5.Variables'!$B$39,+'5.Variables'!$L59,+IF(N$18='5.Variables'!$B$62,+'5.Variables'!$L73,+IF(N$18='5.Variables'!$B$76,+'5.Variables'!$L87,+IF(N$18='5.Variables'!$B$90,+'5.Variables'!$L101,+IF(N$18='5.Variables'!$B$104,+'5.Variables'!$L115,0))))))</f>
        <v>0</v>
      </c>
      <c r="O137" s="725">
        <f>IF(O$18='5.Variables'!$B$16,+'5.Variables'!$L35,+IF(O$18='5.Variables'!$B$39,+'5.Variables'!$L59,+IF(O$18='5.Variables'!$B$62,+'5.Variables'!$L73,+IF(O$18='5.Variables'!$B$76,+'5.Variables'!$L87,+IF(O$18='5.Variables'!$B$90,+'5.Variables'!$L101,+IF(O$18='5.Variables'!$B$104,+'5.Variables'!$L115,0))))))</f>
        <v>31</v>
      </c>
      <c r="P137" s="725">
        <f>IF(P$18='5.Variables'!$B$16,+'5.Variables'!$L35,+IF(P$18='5.Variables'!$B$39,+'5.Variables'!$L59,+IF(P$18='5.Variables'!$B$62,+'5.Variables'!$L73,+IF(P$18='5.Variables'!$B$76,+'5.Variables'!$L87,+IF(P$18='5.Variables'!$B$90,+'5.Variables'!$L101,+IF(P$18='5.Variables'!$B$104,+'5.Variables'!$L115,0))))))</f>
        <v>0</v>
      </c>
      <c r="Q137" s="245"/>
      <c r="R137" s="558">
        <f t="shared" si="9"/>
        <v>15003240.14363974</v>
      </c>
      <c r="S137" s="265"/>
      <c r="T137" s="245"/>
      <c r="U137" s="245"/>
      <c r="V137" s="245"/>
      <c r="W137" s="245"/>
      <c r="X137" s="245"/>
      <c r="Y137" s="245"/>
      <c r="Z137" s="245"/>
      <c r="AA137" s="245"/>
      <c r="AB137" s="245"/>
      <c r="AC137" s="245"/>
      <c r="AD137" s="245"/>
      <c r="AE137" s="245"/>
      <c r="AF137" s="245"/>
      <c r="AG137" s="245"/>
      <c r="AH137" s="245"/>
      <c r="AI137" s="245"/>
      <c r="AJ137" s="245"/>
      <c r="AK137" s="245"/>
      <c r="AL137" s="245"/>
      <c r="AM137" s="245"/>
    </row>
    <row r="138" spans="1:39" x14ac:dyDescent="0.2">
      <c r="A138" s="503">
        <f t="shared" si="10"/>
        <v>119</v>
      </c>
      <c r="B138" s="262" t="str">
        <f>CONCATENATE('3. Consumption by Rate Class'!B143,"-",'3. Consumption by Rate Class'!C143)</f>
        <v>2014-November</v>
      </c>
      <c r="C138" s="699">
        <v>16001153.539999999</v>
      </c>
      <c r="D138" s="703"/>
      <c r="E138" s="703"/>
      <c r="F138" s="703"/>
      <c r="G138" s="703"/>
      <c r="H138" s="704"/>
      <c r="I138" s="704"/>
      <c r="J138" s="263">
        <f t="shared" si="8"/>
        <v>16001153.539999999</v>
      </c>
      <c r="K138" s="725">
        <f>IF(K$18='5.Variables'!$B$16,+'5.Variables'!$M36,+IF(K$18='5.Variables'!$B$39,+'5.Variables'!$M59,+IF(K$18='5.Variables'!$B$62,+'5.Variables'!$M73,+IF(K$18='5.Variables'!$B$76,+'5.Variables'!$M87,+IF(K$18='5.Variables'!$B$90,+'5.Variables'!$M101,+IF(K$18='5.Variables'!$B$104,+'5.Variables'!$M115,0))))))</f>
        <v>510.6</v>
      </c>
      <c r="L138" s="725">
        <f>IF(L$18='5.Variables'!$B$16,+'5.Variables'!$M35,+IF(L$18='5.Variables'!$B$39,+'5.Variables'!$M59,+IF(L$18='5.Variables'!$B$62,+'5.Variables'!$M73,+IF(L$18='5.Variables'!$B$76,+'5.Variables'!$M87,+IF(L$18='5.Variables'!$B$90,+'5.Variables'!$M101,+IF(L$18='5.Variables'!$B$104,+'5.Variables'!$M115,0))))))</f>
        <v>0</v>
      </c>
      <c r="M138" s="725">
        <f>IF(M$18='5.Variables'!$B$16,+'5.Variables'!$M35,+IF(M$18='5.Variables'!$B$39,+'5.Variables'!$M59,+IF(M$18='5.Variables'!$B$62,+'5.Variables'!$M73,+IF(M$18='5.Variables'!$B$76,+'5.Variables'!$M87,+IF(M$18='5.Variables'!$B$90,+'5.Variables'!$M101,+IF(M$18='5.Variables'!$B$104,+'5.Variables'!$M115,0))))))</f>
        <v>0</v>
      </c>
      <c r="N138" s="725">
        <f>IF(N$18='5.Variables'!$B$16,+'5.Variables'!$M35,+IF(N$18='5.Variables'!$B$39,+'5.Variables'!$M59,+IF(N$18='5.Variables'!$B$62,+'5.Variables'!$M73,+IF(N$18='5.Variables'!$B$76,+'5.Variables'!$M87,+IF(N$18='5.Variables'!$B$90,+'5.Variables'!$M101,+IF(N$18='5.Variables'!$B$104,+'5.Variables'!$M115,0))))))</f>
        <v>0</v>
      </c>
      <c r="O138" s="725">
        <f>IF(O$18='5.Variables'!$B$16,+'5.Variables'!$M35,+IF(O$18='5.Variables'!$B$39,+'5.Variables'!$M59,+IF(O$18='5.Variables'!$B$62,+'5.Variables'!$M73,+IF(O$18='5.Variables'!$B$76,+'5.Variables'!$M87,+IF(O$18='5.Variables'!$B$90,+'5.Variables'!$M101,+IF(O$18='5.Variables'!$B$104,+'5.Variables'!$M115,0))))))</f>
        <v>30</v>
      </c>
      <c r="P138" s="725">
        <f>IF(P$18='5.Variables'!$B$16,+'5.Variables'!$M35,+IF(P$18='5.Variables'!$B$39,+'5.Variables'!$M59,+IF(P$18='5.Variables'!$B$62,+'5.Variables'!$M73,+IF(P$18='5.Variables'!$B$76,+'5.Variables'!$M87,+IF(P$18='5.Variables'!$B$90,+'5.Variables'!$M101,+IF(P$18='5.Variables'!$B$104,+'5.Variables'!$M115,0))))))</f>
        <v>0</v>
      </c>
      <c r="Q138" s="245"/>
      <c r="R138" s="558">
        <f t="shared" si="9"/>
        <v>16722362.410498522</v>
      </c>
      <c r="S138" s="265"/>
      <c r="T138" s="245"/>
      <c r="U138" s="245"/>
      <c r="V138" s="245"/>
      <c r="W138" s="245"/>
      <c r="X138" s="245"/>
      <c r="Y138" s="245"/>
      <c r="Z138" s="245"/>
      <c r="AA138" s="245"/>
      <c r="AB138" s="245"/>
      <c r="AC138" s="245"/>
      <c r="AD138" s="245"/>
      <c r="AE138" s="245"/>
      <c r="AF138" s="245"/>
      <c r="AG138" s="245"/>
      <c r="AH138" s="245"/>
      <c r="AI138" s="245"/>
      <c r="AJ138" s="245"/>
      <c r="AK138" s="245"/>
      <c r="AL138" s="245"/>
      <c r="AM138" s="245"/>
    </row>
    <row r="139" spans="1:39" x14ac:dyDescent="0.2">
      <c r="A139" s="503">
        <f t="shared" si="10"/>
        <v>120</v>
      </c>
      <c r="B139" s="522" t="str">
        <f>CONCATENATE('3. Consumption by Rate Class'!B144,"-",'3. Consumption by Rate Class'!C144)</f>
        <v>2014-December</v>
      </c>
      <c r="C139" s="698">
        <v>18583491.75</v>
      </c>
      <c r="D139" s="705"/>
      <c r="E139" s="705"/>
      <c r="F139" s="705"/>
      <c r="G139" s="705"/>
      <c r="H139" s="706"/>
      <c r="I139" s="706"/>
      <c r="J139" s="263">
        <f t="shared" si="8"/>
        <v>18583491.75</v>
      </c>
      <c r="K139" s="725">
        <f>IF(K$18='5.Variables'!$B$16,+'5.Variables'!$N36,+IF(K$18='5.Variables'!$B$39,+'5.Variables'!$N59,+IF(K$18='5.Variables'!$B$62,+'5.Variables'!$N73,+IF(K$18='5.Variables'!$B$76,+'5.Variables'!$N87,+IF(K$18='5.Variables'!$B$90,+'5.Variables'!$N101,+IF(K$18='5.Variables'!$B$104,+'5.Variables'!$N115,0))))))</f>
        <v>696.39999999999986</v>
      </c>
      <c r="L139" s="725">
        <f>IF(L$18='5.Variables'!$B$16,+'5.Variables'!$N35,+IF(L$18='5.Variables'!$B$39,+'5.Variables'!$N59,+IF(L$18='5.Variables'!$B$62,+'5.Variables'!$N73,+IF(L$18='5.Variables'!$B$76,+'5.Variables'!$N87,+IF(L$18='5.Variables'!$B$90,+'5.Variables'!$N101,+IF(L$18='5.Variables'!$B$104,+'5.Variables'!$N115,0))))))</f>
        <v>0</v>
      </c>
      <c r="M139" s="725">
        <f>IF(M$18='5.Variables'!$B$16,+'5.Variables'!$N35,+IF(M$18='5.Variables'!$B$39,+'5.Variables'!$N59,+IF(M$18='5.Variables'!$B$62,+'5.Variables'!$N73,+IF(M$18='5.Variables'!$B$76,+'5.Variables'!$N87,+IF(M$18='5.Variables'!$B$90,+'5.Variables'!$N101,+IF(M$18='5.Variables'!$B$104,+'5.Variables'!$N115,0))))))</f>
        <v>1</v>
      </c>
      <c r="N139" s="725">
        <f>IF(N$18='5.Variables'!$B$16,+'5.Variables'!$N35,+IF(N$18='5.Variables'!$B$39,+'5.Variables'!$N59,+IF(N$18='5.Variables'!$B$62,+'5.Variables'!$N73,+IF(N$18='5.Variables'!$B$76,+'5.Variables'!$N87,+IF(N$18='5.Variables'!$B$90,+'5.Variables'!$N101,+IF(N$18='5.Variables'!$B$104,+'5.Variables'!$N115,0))))))</f>
        <v>1</v>
      </c>
      <c r="O139" s="725">
        <f>IF(O$18='5.Variables'!$B$16,+'5.Variables'!$N35,+IF(O$18='5.Variables'!$B$39,+'5.Variables'!$N59,+IF(O$18='5.Variables'!$B$62,+'5.Variables'!$N73,+IF(O$18='5.Variables'!$B$76,+'5.Variables'!$N87,+IF(O$18='5.Variables'!$B$90,+'5.Variables'!$N101,+IF(O$18='5.Variables'!$B$104,+'5.Variables'!$N115,0))))))</f>
        <v>31</v>
      </c>
      <c r="P139" s="725">
        <f>IF(P$18='5.Variables'!$B$16,+'5.Variables'!$N35,+IF(P$18='5.Variables'!$B$39,+'5.Variables'!$N59,+IF(P$18='5.Variables'!$B$62,+'5.Variables'!$N73,+IF(P$18='5.Variables'!$B$76,+'5.Variables'!$N87,+IF(P$18='5.Variables'!$B$90,+'5.Variables'!$N101,+IF(P$18='5.Variables'!$B$104,+'5.Variables'!$N115,0))))))</f>
        <v>0</v>
      </c>
      <c r="Q139" s="245"/>
      <c r="R139" s="558">
        <f t="shared" si="9"/>
        <v>19524031.442785263</v>
      </c>
      <c r="S139" s="265">
        <f>SUM(R128:R139)</f>
        <v>200106964.7243894</v>
      </c>
      <c r="T139" s="245"/>
      <c r="U139" s="245"/>
      <c r="V139" s="245"/>
      <c r="W139" s="245"/>
      <c r="X139" s="245"/>
      <c r="Y139" s="245"/>
      <c r="Z139" s="245"/>
      <c r="AA139" s="245"/>
      <c r="AB139" s="245"/>
      <c r="AC139" s="245"/>
      <c r="AD139" s="245"/>
      <c r="AE139" s="245"/>
      <c r="AF139" s="245"/>
      <c r="AG139" s="245"/>
      <c r="AH139" s="245"/>
      <c r="AI139" s="245"/>
      <c r="AJ139" s="245"/>
      <c r="AK139" s="245"/>
      <c r="AL139" s="245"/>
      <c r="AM139" s="245"/>
    </row>
    <row r="140" spans="1:39" x14ac:dyDescent="0.2">
      <c r="A140" s="503">
        <f t="shared" si="10"/>
        <v>121</v>
      </c>
      <c r="B140" s="262" t="str">
        <f>CONCATENATE('3. Consumption by Rate Class'!B145,"-",'3. Consumption by Rate Class'!C145)</f>
        <v>2015-January</v>
      </c>
      <c r="C140" s="699"/>
      <c r="D140" s="703"/>
      <c r="E140" s="703"/>
      <c r="F140" s="703"/>
      <c r="G140" s="703"/>
      <c r="H140" s="704"/>
      <c r="I140" s="704"/>
      <c r="J140" s="263"/>
      <c r="K140" s="744">
        <f>IF(K$19=$B$169,+AVERAGE(K20,K32,K44,K56,K68,K80,K92,K104,K116,K128),+IF(K$19=$B$170,+(EXP((LN(+'4. Customer Growth'!$W$42)/12))*$K139),IF($K$19=$B$171,+$A140*$C$176+$D$176,0)))</f>
        <v>845.20999999999981</v>
      </c>
      <c r="L140" s="744">
        <f>IF(L$19=$B$169,+AVERAGE(L20,L32,L44,L56,L68,L80,L92,L104,L116,L128),+IF(L$19=$B$170,+(EXP((LN(+'4. Customer Growth'!$W$42)/12))*$K139),IF($L$19=$B$171,+$A140*$C$177+$D$177,0)))</f>
        <v>0</v>
      </c>
      <c r="M140" s="744">
        <f>IF(M$19=$B$169,+AVERAGE(M20,M32,M44,M56,M68,M80,M92,M104,M116,M128),+IF(M$19=$B$170,+(EXP((LN(+'4. Customer Growth'!$W$42)/12))*$K139),IF($M$19=$B$171,+$A140*$C$178+$D$178,0)))</f>
        <v>1</v>
      </c>
      <c r="N140" s="744">
        <f>IF(N$19=$B$169,+AVERAGE(N20,N32,N44,N56,N68,N80,N92,N104,N116,N128),+IF(N$19=$B$170,+(EXP((LN(+'4. Customer Growth'!$W$42)/12))*$K139),IF($N$19=$B$171,+$A140*$C$179+$D$179,0)))</f>
        <v>1</v>
      </c>
      <c r="O140" s="744">
        <f>IF(O$19=$B$169,+AVERAGE(O20,O32,O44,O56,O68,O80,O92,O104,O116,O128),+IF(O$19=$B$170,+(EXP((LN(+'4. Customer Growth'!$W$42)/12))*$O139),IF($O$19=$B$171,+$A140*$C$180+$D$180,0)))</f>
        <v>31</v>
      </c>
      <c r="P140" s="744">
        <f>IF(P$19=$B$169,+AVERAGE(P20,P32,P44,P56,P68,P80,P92,P104,P116,P128),+IF(P$19=$B$170,+(EXP((LN(+'4. Customer Growth'!$W$42)/12))*$P139),IF($P$19=$B$171,+$A140*$C$181+$D$181,0)))</f>
        <v>0</v>
      </c>
      <c r="Q140" s="245"/>
      <c r="R140" s="558">
        <f t="shared" si="9"/>
        <v>20586621.990400612</v>
      </c>
      <c r="S140" s="265"/>
      <c r="T140" s="245"/>
      <c r="U140" s="245"/>
      <c r="V140" s="245"/>
      <c r="W140" s="245"/>
      <c r="X140" s="245"/>
      <c r="Y140" s="245"/>
      <c r="Z140" s="245"/>
      <c r="AA140" s="245"/>
      <c r="AB140" s="245"/>
      <c r="AC140" s="245"/>
      <c r="AD140" s="245"/>
      <c r="AE140" s="245"/>
      <c r="AF140" s="245"/>
      <c r="AG140" s="245"/>
      <c r="AH140" s="245"/>
      <c r="AI140" s="245"/>
      <c r="AJ140" s="245"/>
      <c r="AK140" s="245"/>
      <c r="AL140" s="245"/>
      <c r="AM140" s="245"/>
    </row>
    <row r="141" spans="1:39" x14ac:dyDescent="0.2">
      <c r="A141" s="503">
        <f t="shared" si="10"/>
        <v>122</v>
      </c>
      <c r="B141" s="262" t="str">
        <f>CONCATENATE('3. Consumption by Rate Class'!B146,"-",'3. Consumption by Rate Class'!C146)</f>
        <v>2015-February</v>
      </c>
      <c r="C141" s="699"/>
      <c r="D141" s="703"/>
      <c r="E141" s="703"/>
      <c r="F141" s="703"/>
      <c r="G141" s="703"/>
      <c r="H141" s="704"/>
      <c r="I141" s="704"/>
      <c r="J141" s="263"/>
      <c r="K141" s="744">
        <f>IF(K$19=$B$169,+AVERAGE(K21,K33,K45,K57,K69,K81,K93,K105,K117,K129),+IF(K$19=$B$170,+(EXP((LN(+'4. Customer Growth'!$W$42)/12))*$K140),IF($K$19=$B$171,+$A141*$C$176+$D$176,0)))</f>
        <v>730.78</v>
      </c>
      <c r="L141" s="744">
        <f>IF(L$19=$B$169,+AVERAGE(L21,L33,L45,L57,L69,L81,L93,L105,L117,L129),+IF(L$19=$B$170,+(EXP((LN(+'4. Customer Growth'!$W$42)/12))*$K140),IF($L$19=$B$171,+$A141*$C$177+$D$177,0)))</f>
        <v>0</v>
      </c>
      <c r="M141" s="744">
        <f>IF(M$19=$B$169,+AVERAGE(M21,M33,M45,M57,M69,M81,M93,M105,M117,M129),+IF(M$19=$B$170,+(EXP((LN(+'4. Customer Growth'!$W$42)/12))*$K140),IF($M$19=$B$171,+$A141*$C$178+$D$178,0)))</f>
        <v>1</v>
      </c>
      <c r="N141" s="744">
        <f>IF(N$19=$B$169,+AVERAGE(N21,N33,N45,N57,N69,N81,N93,N105,N117,N129),+IF(N$19=$B$170,+(EXP((LN(+'4. Customer Growth'!$W$42)/12))*$K140),IF($N$19=$B$171,+$A141*$C$179+$D$179,0)))</f>
        <v>0</v>
      </c>
      <c r="O141" s="744">
        <f>IF(O$19=$B$169,+AVERAGE(O21,O33,O45,O57,O69,O81,O93,O105,O117,O129),+IF(O$19=$B$170,+(EXP((LN(+'4. Customer Growth'!$W$42)/12))*$O140),IF($O$19=$B$171,+$A141*$C$180+$D$180,0)))</f>
        <v>28.2</v>
      </c>
      <c r="P141" s="744">
        <f>IF(P$19=$B$169,+AVERAGE(P21,P33,P45,P57,P69,P81,P93,P105,P117,P129),+IF(P$19=$B$170,+(EXP((LN(+'4. Customer Growth'!$W$42)/12))*$P140),IF($P$19=$B$171,+$A141*$C$181+$D$181,0)))</f>
        <v>0</v>
      </c>
      <c r="Q141" s="245"/>
      <c r="R141" s="558">
        <f t="shared" si="9"/>
        <v>19769524.776748143</v>
      </c>
      <c r="S141" s="265"/>
      <c r="T141" s="245"/>
      <c r="U141" s="245"/>
      <c r="V141" s="245"/>
      <c r="W141" s="245"/>
      <c r="X141" s="245"/>
      <c r="Y141" s="245"/>
      <c r="Z141" s="245"/>
      <c r="AA141" s="245"/>
      <c r="AB141" s="245"/>
      <c r="AC141" s="245"/>
      <c r="AD141" s="245"/>
      <c r="AE141" s="245"/>
      <c r="AF141" s="245"/>
      <c r="AG141" s="245"/>
      <c r="AH141" s="245"/>
      <c r="AI141" s="245"/>
      <c r="AJ141" s="245"/>
      <c r="AK141" s="245"/>
      <c r="AL141" s="245"/>
      <c r="AM141" s="245"/>
    </row>
    <row r="142" spans="1:39" x14ac:dyDescent="0.2">
      <c r="A142" s="503">
        <f t="shared" si="10"/>
        <v>123</v>
      </c>
      <c r="B142" s="262" t="str">
        <f>CONCATENATE('3. Consumption by Rate Class'!B147,"-",'3. Consumption by Rate Class'!C147)</f>
        <v>2015-March</v>
      </c>
      <c r="C142" s="699"/>
      <c r="D142" s="703"/>
      <c r="E142" s="703"/>
      <c r="F142" s="703"/>
      <c r="G142" s="703"/>
      <c r="H142" s="704"/>
      <c r="I142" s="704"/>
      <c r="J142" s="263"/>
      <c r="K142" s="744">
        <f>IF(K$19=$B$169,+AVERAGE(K22,K34,K46,K58,K70,K82,K94,K106,K118,K130),+IF(K$19=$B$170,+(EXP((LN(+'4. Customer Growth'!$W$42)/12))*$K141),IF($K$19=$B$171,+$A142*$C$176+$D$176,0)))</f>
        <v>615.04000000000008</v>
      </c>
      <c r="L142" s="744">
        <f>IF(L$19=$B$169,+AVERAGE(L22,L34,L46,L58,L70,L82,L94,L106,L118,L130),+IF(L$19=$B$170,+(EXP((LN(+'4. Customer Growth'!$W$42)/12))*$K141),IF($L$19=$B$171,+$A142*$C$177+$D$177,0)))</f>
        <v>0</v>
      </c>
      <c r="M142" s="744">
        <f>IF(M$19=$B$169,+AVERAGE(M22,M34,M46,M58,M70,M82,M94,M106,M118,M130),+IF(M$19=$B$170,+(EXP((LN(+'4. Customer Growth'!$W$42)/12))*$K141),IF($M$19=$B$171,+$A142*$C$178+$D$178,0)))</f>
        <v>0</v>
      </c>
      <c r="N142" s="744">
        <f>IF(N$19=$B$169,+AVERAGE(N22,N34,N46,N58,N70,N82,N94,N106,N118,N130),+IF(N$19=$B$170,+(EXP((LN(+'4. Customer Growth'!$W$42)/12))*$K141),IF($N$19=$B$171,+$A142*$C$179+$D$179,0)))</f>
        <v>1</v>
      </c>
      <c r="O142" s="744">
        <f>IF(O$19=$B$169,+AVERAGE(O22,O34,O46,O58,O70,O82,O94,O106,O118,O130),+IF(O$19=$B$170,+(EXP((LN(+'4. Customer Growth'!$W$42)/12))*$O141),IF($O$19=$B$171,+$A142*$C$180+$D$180,0)))</f>
        <v>31</v>
      </c>
      <c r="P142" s="744">
        <f>IF(P$19=$B$169,+AVERAGE(P22,P34,P46,P58,P70,P82,P94,P106,P118,P130),+IF(P$19=$B$170,+(EXP((LN(+'4. Customer Growth'!$W$42)/12))*$P141),IF($P$19=$B$171,+$A142*$C$181+$D$181,0)))</f>
        <v>0</v>
      </c>
      <c r="Q142" s="245"/>
      <c r="R142" s="558">
        <f t="shared" si="9"/>
        <v>17468125.173706286</v>
      </c>
      <c r="S142" s="265"/>
      <c r="T142" s="245"/>
      <c r="U142" s="245"/>
      <c r="V142" s="245"/>
      <c r="W142" s="245"/>
      <c r="X142" s="245"/>
      <c r="Y142" s="245"/>
      <c r="Z142" s="245"/>
      <c r="AA142" s="245"/>
      <c r="AB142" s="245"/>
      <c r="AC142" s="245"/>
      <c r="AD142" s="245"/>
      <c r="AE142" s="245"/>
      <c r="AF142" s="245"/>
      <c r="AG142" s="245"/>
      <c r="AH142" s="245"/>
      <c r="AI142" s="245"/>
      <c r="AJ142" s="245"/>
      <c r="AK142" s="245"/>
      <c r="AL142" s="245"/>
      <c r="AM142" s="245"/>
    </row>
    <row r="143" spans="1:39" x14ac:dyDescent="0.2">
      <c r="A143" s="503">
        <f t="shared" si="10"/>
        <v>124</v>
      </c>
      <c r="B143" s="262" t="str">
        <f>CONCATENATE('3. Consumption by Rate Class'!B148,"-",'3. Consumption by Rate Class'!C148)</f>
        <v>2015-April</v>
      </c>
      <c r="C143" s="699"/>
      <c r="D143" s="703"/>
      <c r="E143" s="703"/>
      <c r="F143" s="703"/>
      <c r="G143" s="703"/>
      <c r="H143" s="704"/>
      <c r="I143" s="704"/>
      <c r="J143" s="263"/>
      <c r="K143" s="744">
        <f>IF(K$19=$B$169,+AVERAGE(K23,K35,K47,K59,K71,K83,K95,K107,K119,K131),+IF(K$19=$B$170,+(EXP((LN(+'4. Customer Growth'!$W$42)/12))*$K142),IF($K$19=$B$171,+$A143*$C$176+$D$176,0)))</f>
        <v>327.99000000000007</v>
      </c>
      <c r="L143" s="744">
        <f>IF(L$19=$B$169,+AVERAGE(L23,L35,L47,L59,L71,L83,L95,L107,L119,L131),+IF(L$19=$B$170,+(EXP((LN(+'4. Customer Growth'!$W$42)/12))*$K142),IF($L$19=$B$171,+$A143*$C$177+$D$177,0)))</f>
        <v>0.73</v>
      </c>
      <c r="M143" s="744">
        <f>IF(M$19=$B$169,+AVERAGE(M23,M35,M47,M59,M71,M83,M95,M107,M119,M131),+IF(M$19=$B$170,+(EXP((LN(+'4. Customer Growth'!$W$42)/12))*$K142),IF($M$19=$B$171,+$A143*$C$178+$D$178,0)))</f>
        <v>0</v>
      </c>
      <c r="N143" s="744">
        <f>IF(N$19=$B$169,+AVERAGE(N23,N35,N47,N59,N71,N83,N95,N107,N119,N131),+IF(N$19=$B$170,+(EXP((LN(+'4. Customer Growth'!$W$42)/12))*$K142),IF($N$19=$B$171,+$A143*$C$179+$D$179,0)))</f>
        <v>0</v>
      </c>
      <c r="O143" s="744">
        <f>IF(O$19=$B$169,+AVERAGE(O23,O35,O47,O59,O71,O83,O95,O107,O119,O131),+IF(O$19=$B$170,+(EXP((LN(+'4. Customer Growth'!$W$42)/12))*$O142),IF($O$19=$B$171,+$A143*$C$180+$D$180,0)))</f>
        <v>30</v>
      </c>
      <c r="P143" s="744">
        <f>IF(P$19=$B$169,+AVERAGE(P23,P35,P47,P59,P71,P83,P95,P107,P119,P131),+IF(P$19=$B$170,+(EXP((LN(+'4. Customer Growth'!$W$42)/12))*$P142),IF($P$19=$B$171,+$A143*$C$181+$D$181,0)))</f>
        <v>0</v>
      </c>
      <c r="Q143" s="245"/>
      <c r="R143" s="558">
        <f t="shared" si="9"/>
        <v>15438507.719219133</v>
      </c>
      <c r="S143" s="265"/>
      <c r="T143" s="245"/>
      <c r="U143" s="245"/>
      <c r="V143" s="245"/>
      <c r="W143" s="245"/>
      <c r="X143" s="245"/>
      <c r="Y143" s="245"/>
      <c r="Z143" s="245"/>
      <c r="AA143" s="245"/>
      <c r="AB143" s="245"/>
      <c r="AC143" s="245"/>
      <c r="AD143" s="245"/>
      <c r="AE143" s="245"/>
      <c r="AF143" s="245"/>
      <c r="AG143" s="245"/>
      <c r="AH143" s="245"/>
      <c r="AI143" s="245"/>
      <c r="AJ143" s="245"/>
      <c r="AK143" s="245"/>
      <c r="AL143" s="245"/>
      <c r="AM143" s="245"/>
    </row>
    <row r="144" spans="1:39" x14ac:dyDescent="0.2">
      <c r="A144" s="503">
        <f t="shared" si="10"/>
        <v>125</v>
      </c>
      <c r="B144" s="262" t="str">
        <f>CONCATENATE('3. Consumption by Rate Class'!B149,"-",'3. Consumption by Rate Class'!C149)</f>
        <v>2015-May</v>
      </c>
      <c r="C144" s="699"/>
      <c r="D144" s="703"/>
      <c r="E144" s="703"/>
      <c r="F144" s="703"/>
      <c r="G144" s="703"/>
      <c r="H144" s="704"/>
      <c r="I144" s="704"/>
      <c r="J144" s="263"/>
      <c r="K144" s="744">
        <f>IF(K$19=$B$169,+AVERAGE(K24,K36,K48,K60,K72,K84,K96,K108,K120,K132),+IF(K$19=$B$170,+(EXP((LN(+'4. Customer Growth'!$W$42)/12))*$K143),IF($K$19=$B$171,+$A144*$C$176+$D$176,0)))</f>
        <v>144.16</v>
      </c>
      <c r="L144" s="744">
        <f>IF(L$19=$B$169,+AVERAGE(L24,L36,L48,L60,L72,L84,L96,L108,L120,L132),+IF(L$19=$B$170,+(EXP((LN(+'4. Customer Growth'!$W$42)/12))*$K143),IF($L$19=$B$171,+$A144*$C$177+$D$177,0)))</f>
        <v>13.930000000000001</v>
      </c>
      <c r="M144" s="744">
        <f>IF(M$19=$B$169,+AVERAGE(M24,M36,M48,M60,M72,M84,M96,M108,M120,M132),+IF(M$19=$B$170,+(EXP((LN(+'4. Customer Growth'!$W$42)/12))*$K143),IF($M$19=$B$171,+$A144*$C$178+$D$178,0)))</f>
        <v>0</v>
      </c>
      <c r="N144" s="744">
        <f>IF(N$19=$B$169,+AVERAGE(N24,N36,N48,N60,N72,N84,N96,N108,N120,N132),+IF(N$19=$B$170,+(EXP((LN(+'4. Customer Growth'!$W$42)/12))*$K143),IF($N$19=$B$171,+$A144*$C$179+$D$179,0)))</f>
        <v>0</v>
      </c>
      <c r="O144" s="744">
        <f>IF(O$19=$B$169,+AVERAGE(O24,O36,O48,O60,O72,O84,O96,O108,O120,O132),+IF(O$19=$B$170,+(EXP((LN(+'4. Customer Growth'!$W$42)/12))*$O143),IF($O$19=$B$171,+$A144*$C$180+$D$180,0)))</f>
        <v>31</v>
      </c>
      <c r="P144" s="744">
        <f>IF(P$19=$B$169,+AVERAGE(P24,P36,P48,P60,P72,P84,P96,P108,P120,P132),+IF(P$19=$B$170,+(EXP((LN(+'4. Customer Growth'!$W$42)/12))*$P143),IF($P$19=$B$171,+$A144*$C$181+$D$181,0)))</f>
        <v>0</v>
      </c>
      <c r="Q144" s="245"/>
      <c r="R144" s="558">
        <f t="shared" si="9"/>
        <v>14489082.614016553</v>
      </c>
      <c r="S144" s="265"/>
      <c r="T144" s="245"/>
      <c r="U144" s="245"/>
      <c r="V144" s="245"/>
      <c r="W144" s="245"/>
      <c r="X144" s="245"/>
      <c r="Y144" s="245"/>
      <c r="Z144" s="245"/>
      <c r="AA144" s="245"/>
      <c r="AB144" s="245"/>
      <c r="AC144" s="245"/>
      <c r="AD144" s="245"/>
      <c r="AE144" s="245"/>
      <c r="AF144" s="245"/>
      <c r="AG144" s="245"/>
      <c r="AH144" s="245"/>
      <c r="AI144" s="245"/>
      <c r="AJ144" s="245"/>
      <c r="AK144" s="245"/>
      <c r="AL144" s="245"/>
      <c r="AM144" s="245"/>
    </row>
    <row r="145" spans="1:39" x14ac:dyDescent="0.2">
      <c r="A145" s="503">
        <f t="shared" si="10"/>
        <v>126</v>
      </c>
      <c r="B145" s="262" t="str">
        <f>CONCATENATE('3. Consumption by Rate Class'!B150,"-",'3. Consumption by Rate Class'!C150)</f>
        <v>2015-June</v>
      </c>
      <c r="C145" s="699"/>
      <c r="D145" s="703"/>
      <c r="E145" s="703"/>
      <c r="F145" s="703"/>
      <c r="G145" s="703"/>
      <c r="H145" s="704"/>
      <c r="I145" s="704"/>
      <c r="J145" s="263"/>
      <c r="K145" s="744">
        <f>IF(K$19=$B$169,+AVERAGE(K25,K37,K49,K61,K73,K85,K97,K109,K121,K133),+IF(K$19=$B$170,+(EXP((LN(+'4. Customer Growth'!$W$42)/12))*$K144),IF($K$19=$B$171,+$A145*$C$176+$D$176,0)))</f>
        <v>31.26</v>
      </c>
      <c r="L145" s="744">
        <f>IF(L$19=$B$169,+AVERAGE(L25,L37,L49,L61,L73,L85,L97,L109,L121,L133),+IF(L$19=$B$170,+(EXP((LN(+'4. Customer Growth'!$W$42)/12))*$K144),IF($L$19=$B$171,+$A145*$C$177+$D$177,0)))</f>
        <v>58.929999999999993</v>
      </c>
      <c r="M145" s="744">
        <f>IF(M$19=$B$169,+AVERAGE(M25,M37,M49,M61,M73,M85,M97,M109,M121,M133),+IF(M$19=$B$170,+(EXP((LN(+'4. Customer Growth'!$W$42)/12))*$K144),IF($M$19=$B$171,+$A145*$C$178+$D$178,0)))</f>
        <v>0</v>
      </c>
      <c r="N145" s="744">
        <f>IF(N$19=$B$169,+AVERAGE(N25,N37,N49,N61,N73,N85,N97,N109,N121,N133),+IF(N$19=$B$170,+(EXP((LN(+'4. Customer Growth'!$W$42)/12))*$K144),IF($N$19=$B$171,+$A145*$C$179+$D$179,0)))</f>
        <v>0</v>
      </c>
      <c r="O145" s="744">
        <f>IF(O$19=$B$169,+AVERAGE(O25,O37,O49,O61,O73,O85,O97,O109,O121,O133),+IF(O$19=$B$170,+(EXP((LN(+'4. Customer Growth'!$W$42)/12))*$O144),IF($O$19=$B$171,+$A145*$C$180+$D$180,0)))</f>
        <v>30</v>
      </c>
      <c r="P145" s="744">
        <f>IF(P$19=$B$169,+AVERAGE(P25,P37,P49,P61,P73,P85,P97,P109,P121,P133),+IF(P$19=$B$170,+(EXP((LN(+'4. Customer Growth'!$W$42)/12))*$P144),IF($P$19=$B$171,+$A145*$C$181+$D$181,0)))</f>
        <v>0</v>
      </c>
      <c r="Q145" s="245"/>
      <c r="R145" s="558">
        <f t="shared" si="9"/>
        <v>14921190.329942605</v>
      </c>
      <c r="S145" s="265"/>
      <c r="T145" s="245"/>
      <c r="U145" s="245"/>
      <c r="V145" s="245"/>
      <c r="W145" s="245"/>
      <c r="X145" s="276"/>
      <c r="Y145" s="245"/>
      <c r="Z145" s="245"/>
      <c r="AA145" s="245"/>
      <c r="AB145" s="245"/>
      <c r="AC145" s="245"/>
      <c r="AD145" s="245"/>
      <c r="AE145" s="245"/>
      <c r="AF145" s="245"/>
      <c r="AG145" s="245"/>
      <c r="AH145" s="245"/>
      <c r="AI145" s="245"/>
      <c r="AJ145" s="245"/>
      <c r="AK145" s="245"/>
      <c r="AL145" s="245"/>
      <c r="AM145" s="245"/>
    </row>
    <row r="146" spans="1:39" x14ac:dyDescent="0.2">
      <c r="A146" s="503">
        <f t="shared" si="10"/>
        <v>127</v>
      </c>
      <c r="B146" s="262" t="str">
        <f>CONCATENATE('3. Consumption by Rate Class'!B151,"-",'3. Consumption by Rate Class'!C151)</f>
        <v>2015-July</v>
      </c>
      <c r="C146" s="699"/>
      <c r="D146" s="703"/>
      <c r="E146" s="703"/>
      <c r="F146" s="703"/>
      <c r="G146" s="703"/>
      <c r="H146" s="704"/>
      <c r="I146" s="704"/>
      <c r="J146" s="263"/>
      <c r="K146" s="744">
        <f>IF(K$19=$B$169,+AVERAGE(K26,K38,K50,K62,K74,K86,K98,K110,K122,K134),+IF(K$19=$B$170,+(EXP((LN(+'4. Customer Growth'!$W$42)/12))*$K145),IF($K$19=$B$171,+$A146*$C$176+$D$176,0)))</f>
        <v>4.83</v>
      </c>
      <c r="L146" s="744">
        <f>IF(L$19=$B$169,+AVERAGE(L26,L38,L50,L62,L74,L86,L98,L110,L122,L134),+IF(L$19=$B$170,+(EXP((LN(+'4. Customer Growth'!$W$42)/12))*$K145),IF($L$19=$B$171,+$A146*$C$177+$D$177,0)))</f>
        <v>105.05</v>
      </c>
      <c r="M146" s="744">
        <f>IF(M$19=$B$169,+AVERAGE(M26,M38,M50,M62,M74,M86,M98,M110,M122,M134),+IF(M$19=$B$170,+(EXP((LN(+'4. Customer Growth'!$W$42)/12))*$K145),IF($M$19=$B$171,+$A146*$C$178+$D$178,0)))</f>
        <v>0</v>
      </c>
      <c r="N146" s="744">
        <f>IF(N$19=$B$169,+AVERAGE(N26,N38,N50,N62,N74,N86,N98,N110,N122,N134),+IF(N$19=$B$170,+(EXP((LN(+'4. Customer Growth'!$W$42)/12))*$K145),IF($N$19=$B$171,+$A146*$C$179+$D$179,0)))</f>
        <v>1</v>
      </c>
      <c r="O146" s="744">
        <f>IF(O$19=$B$169,+AVERAGE(O26,O38,O50,O62,O74,O86,O98,O110,O122,O134),+IF(O$19=$B$170,+(EXP((LN(+'4. Customer Growth'!$W$42)/12))*$O145),IF($O$19=$B$171,+$A146*$C$180+$D$180,0)))</f>
        <v>31</v>
      </c>
      <c r="P146" s="744">
        <f>IF(P$19=$B$169,+AVERAGE(P26,P38,P50,P62,P74,P86,P98,P110,P122,P134),+IF(P$19=$B$170,+(EXP((LN(+'4. Customer Growth'!$W$42)/12))*$P145),IF($P$19=$B$171,+$A146*$C$181+$D$181,0)))</f>
        <v>0</v>
      </c>
      <c r="Q146" s="245"/>
      <c r="R146" s="558">
        <f t="shared" si="9"/>
        <v>16001563.89449444</v>
      </c>
      <c r="S146" s="265"/>
      <c r="T146" s="245"/>
      <c r="U146" s="245"/>
      <c r="V146" s="245"/>
      <c r="W146" s="245"/>
      <c r="X146" s="245"/>
      <c r="Y146" s="245"/>
      <c r="Z146" s="245"/>
      <c r="AA146" s="245"/>
      <c r="AB146" s="245"/>
      <c r="AC146" s="245"/>
      <c r="AD146" s="245"/>
      <c r="AE146" s="245"/>
      <c r="AF146" s="245"/>
      <c r="AG146" s="245"/>
      <c r="AH146" s="245"/>
      <c r="AI146" s="245"/>
      <c r="AJ146" s="245"/>
      <c r="AK146" s="245"/>
      <c r="AL146" s="245"/>
      <c r="AM146" s="245"/>
    </row>
    <row r="147" spans="1:39" x14ac:dyDescent="0.2">
      <c r="A147" s="503">
        <f t="shared" si="10"/>
        <v>128</v>
      </c>
      <c r="B147" s="262" t="str">
        <f>CONCATENATE('3. Consumption by Rate Class'!B152,"-",'3. Consumption by Rate Class'!C152)</f>
        <v>2015-August</v>
      </c>
      <c r="C147" s="699"/>
      <c r="D147" s="703"/>
      <c r="E147" s="703"/>
      <c r="F147" s="703"/>
      <c r="G147" s="703"/>
      <c r="H147" s="704"/>
      <c r="I147" s="704"/>
      <c r="J147" s="263"/>
      <c r="K147" s="744">
        <f>IF(K$19=$B$169,+AVERAGE(K27,K39,K51,K63,K75,K87,K99,K111,K123,K135),+IF(K$19=$B$170,+(EXP((LN(+'4. Customer Growth'!$W$42)/12))*$K146),IF($K$19=$B$171,+$A147*$C$176+$D$176,0)))</f>
        <v>14.74</v>
      </c>
      <c r="L147" s="744">
        <f>IF(L$19=$B$169,+AVERAGE(L27,L39,L51,L63,L75,L87,L99,L111,L123,L135),+IF(L$19=$B$170,+(EXP((LN(+'4. Customer Growth'!$W$42)/12))*$K146),IF($L$19=$B$171,+$A147*$C$177+$D$177,0)))</f>
        <v>78.03</v>
      </c>
      <c r="M147" s="744">
        <f>IF(M$19=$B$169,+AVERAGE(M27,M39,M51,M63,M75,M87,M99,M111,M123,M135),+IF(M$19=$B$170,+(EXP((LN(+'4. Customer Growth'!$W$42)/12))*$K146),IF($M$19=$B$171,+$A147*$C$178+$D$178,0)))</f>
        <v>0</v>
      </c>
      <c r="N147" s="744">
        <f>IF(N$19=$B$169,+AVERAGE(N27,N39,N51,N63,N75,N87,N99,N111,N123,N135),+IF(N$19=$B$170,+(EXP((LN(+'4. Customer Growth'!$W$42)/12))*$K146),IF($N$19=$B$171,+$A147*$C$179+$D$179,0)))</f>
        <v>0</v>
      </c>
      <c r="O147" s="744">
        <f>IF(O$19=$B$169,+AVERAGE(O27,O39,O51,O63,O75,O87,O99,O111,O123,O135),+IF(O$19=$B$170,+(EXP((LN(+'4. Customer Growth'!$W$42)/12))*$O146),IF($O$19=$B$171,+$A147*$C$180+$D$180,0)))</f>
        <v>31</v>
      </c>
      <c r="P147" s="744">
        <f>IF(P$19=$B$169,+AVERAGE(P27,P39,P51,P63,P75,P87,P99,P111,P123,P135),+IF(P$19=$B$170,+(EXP((LN(+'4. Customer Growth'!$W$42)/12))*$P146),IF($P$19=$B$171,+$A147*$C$181+$D$181,0)))</f>
        <v>0</v>
      </c>
      <c r="Q147" s="245"/>
      <c r="R147" s="558">
        <f t="shared" si="9"/>
        <v>15328808.851357365</v>
      </c>
      <c r="S147" s="265"/>
      <c r="T147" s="245"/>
      <c r="U147" s="245"/>
      <c r="V147" s="245"/>
      <c r="W147" s="245"/>
      <c r="X147" s="245"/>
      <c r="Y147" s="245"/>
      <c r="Z147" s="245"/>
      <c r="AA147" s="245"/>
      <c r="AB147" s="245"/>
      <c r="AC147" s="245"/>
      <c r="AD147" s="245"/>
      <c r="AE147" s="245"/>
      <c r="AF147" s="245"/>
      <c r="AG147" s="245"/>
      <c r="AH147" s="245"/>
      <c r="AI147" s="245"/>
      <c r="AJ147" s="245"/>
      <c r="AK147" s="245"/>
      <c r="AL147" s="245"/>
      <c r="AM147" s="245"/>
    </row>
    <row r="148" spans="1:39" x14ac:dyDescent="0.2">
      <c r="A148" s="503">
        <f t="shared" si="10"/>
        <v>129</v>
      </c>
      <c r="B148" s="262" t="str">
        <f>CONCATENATE('3. Consumption by Rate Class'!B153,"-",'3. Consumption by Rate Class'!C153)</f>
        <v>2015-September</v>
      </c>
      <c r="C148" s="699"/>
      <c r="D148" s="703"/>
      <c r="E148" s="703"/>
      <c r="F148" s="703"/>
      <c r="G148" s="703"/>
      <c r="H148" s="704"/>
      <c r="I148" s="704"/>
      <c r="J148" s="263"/>
      <c r="K148" s="744">
        <f>IF(K$19=$B$169,+AVERAGE(K28,K40,K52,K64,K76,K88,K100,K112,K124,K136),+IF(K$19=$B$170,+(EXP((LN(+'4. Customer Growth'!$W$42)/12))*$K147),IF($K$19=$B$171,+$A148*$C$176+$D$176,0)))</f>
        <v>99.63</v>
      </c>
      <c r="L148" s="744">
        <f>IF(L$19=$B$169,+AVERAGE(L28,L40,L52,L64,L76,L88,L100,L112,L124,L136),+IF(L$19=$B$170,+(EXP((LN(+'4. Customer Growth'!$W$42)/12))*$K147),IF($L$19=$B$171,+$A148*$C$177+$D$177,0)))</f>
        <v>20.549999999999997</v>
      </c>
      <c r="M148" s="744">
        <f>IF(M$19=$B$169,+AVERAGE(M28,M40,M52,M64,M76,M88,M100,M112,M124,M136),+IF(M$19=$B$170,+(EXP((LN(+'4. Customer Growth'!$W$42)/12))*$K147),IF($M$19=$B$171,+$A148*$C$178+$D$178,0)))</f>
        <v>0</v>
      </c>
      <c r="N148" s="744">
        <f>IF(N$19=$B$169,+AVERAGE(N28,N40,N52,N64,N76,N88,N100,N112,N124,N136),+IF(N$19=$B$170,+(EXP((LN(+'4. Customer Growth'!$W$42)/12))*$K147),IF($N$19=$B$171,+$A148*$C$179+$D$179,0)))</f>
        <v>0</v>
      </c>
      <c r="O148" s="744">
        <f>IF(O$19=$B$169,+AVERAGE(O28,O40,O52,O64,O76,O88,O100,O112,O124,O136),+IF(O$19=$B$170,+(EXP((LN(+'4. Customer Growth'!$W$42)/12))*$O147),IF($O$19=$B$171,+$A148*$C$180+$D$180,0)))</f>
        <v>30</v>
      </c>
      <c r="P148" s="744">
        <f>IF(P$19=$B$169,+AVERAGE(P28,P40,P52,P64,P76,P88,P100,P112,P124,P136),+IF(P$19=$B$170,+(EXP((LN(+'4. Customer Growth'!$W$42)/12))*$P147),IF($P$19=$B$171,+$A148*$C$181+$D$181,0)))</f>
        <v>0</v>
      </c>
      <c r="Q148" s="245"/>
      <c r="R148" s="558">
        <f t="shared" si="9"/>
        <v>14353277.058090301</v>
      </c>
      <c r="S148" s="265"/>
      <c r="T148" s="245"/>
      <c r="U148" s="245"/>
      <c r="V148" s="245"/>
      <c r="W148" s="245"/>
      <c r="X148" s="245"/>
      <c r="Y148" s="245"/>
      <c r="Z148" s="245"/>
      <c r="AA148" s="245"/>
      <c r="AB148" s="245"/>
      <c r="AC148" s="245"/>
      <c r="AD148" s="245"/>
      <c r="AE148" s="245"/>
      <c r="AF148" s="245"/>
      <c r="AG148" s="245"/>
      <c r="AH148" s="245"/>
      <c r="AI148" s="245"/>
      <c r="AJ148" s="245"/>
      <c r="AK148" s="245"/>
      <c r="AL148" s="245"/>
      <c r="AM148" s="245"/>
    </row>
    <row r="149" spans="1:39" x14ac:dyDescent="0.2">
      <c r="A149" s="503">
        <f t="shared" si="10"/>
        <v>130</v>
      </c>
      <c r="B149" s="262" t="str">
        <f>CONCATENATE('3. Consumption by Rate Class'!B154,"-",'3. Consumption by Rate Class'!C154)</f>
        <v>2015-October</v>
      </c>
      <c r="C149" s="699"/>
      <c r="D149" s="703"/>
      <c r="E149" s="703"/>
      <c r="F149" s="703"/>
      <c r="G149" s="703"/>
      <c r="H149" s="704"/>
      <c r="I149" s="704"/>
      <c r="J149" s="263"/>
      <c r="K149" s="744">
        <f>IF(K$19=$B$169,+AVERAGE(K29,K41,K53,K65,K77,K89,K101,K113,K125,K137),+IF(K$19=$B$170,+(EXP((LN(+'4. Customer Growth'!$W$42)/12))*$K148),IF($K$19=$B$171,+$A149*$C$176+$D$176,0)))</f>
        <v>281.71000000000004</v>
      </c>
      <c r="L149" s="744">
        <f>IF(L$19=$B$169,+AVERAGE(L29,L41,L53,L65,L77,L89,L101,L113,L125,L137),+IF(L$19=$B$170,+(EXP((LN(+'4. Customer Growth'!$W$42)/12))*$K148),IF($L$19=$B$171,+$A149*$C$177+$D$177,0)))</f>
        <v>1.35</v>
      </c>
      <c r="M149" s="744">
        <f>IF(M$19=$B$169,+AVERAGE(M29,M41,M53,M65,M77,M89,M101,M113,M125,M137),+IF(M$19=$B$170,+(EXP((LN(+'4. Customer Growth'!$W$42)/12))*$K148),IF($M$19=$B$171,+$A149*$C$178+$D$178,0)))</f>
        <v>0</v>
      </c>
      <c r="N149" s="744">
        <f>IF(N$19=$B$169,+AVERAGE(N29,N41,N53,N65,N77,N89,N101,N113,N125,N137),+IF(N$19=$B$170,+(EXP((LN(+'4. Customer Growth'!$W$42)/12))*$K148),IF($N$19=$B$171,+$A149*$C$179+$D$179,0)))</f>
        <v>0</v>
      </c>
      <c r="O149" s="744">
        <f>IF(O$19=$B$169,+AVERAGE(O29,O41,O53,O65,O77,O89,O101,O113,O125,O137),+IF(O$19=$B$170,+(EXP((LN(+'4. Customer Growth'!$W$42)/12))*$O148),IF($O$19=$B$171,+$A149*$C$180+$D$180,0)))</f>
        <v>31</v>
      </c>
      <c r="P149" s="744">
        <f>IF(P$19=$B$169,+AVERAGE(P29,P41,P53,P65,P77,P89,P101,P113,P125,P137),+IF(P$19=$B$170,+(EXP((LN(+'4. Customer Growth'!$W$42)/12))*$P148),IF($P$19=$B$171,+$A149*$C$181+$D$181,0)))</f>
        <v>0</v>
      </c>
      <c r="Q149" s="245"/>
      <c r="R149" s="558">
        <f t="shared" ref="R149:R163" si="11">$V$34+(K149*$V$35)+(L149*$V$36)+(M149*$V$37)+(N149*$V$38)+(O149*$V$39)</f>
        <v>15125102.160631608</v>
      </c>
      <c r="S149" s="265"/>
      <c r="T149" s="245"/>
      <c r="U149" s="245"/>
      <c r="V149" s="245"/>
      <c r="W149" s="245"/>
      <c r="X149" s="245"/>
      <c r="Y149" s="245"/>
      <c r="Z149" s="245"/>
      <c r="AA149" s="245"/>
      <c r="AB149" s="245"/>
      <c r="AC149" s="245"/>
      <c r="AD149" s="245"/>
      <c r="AE149" s="245"/>
      <c r="AF149" s="245"/>
      <c r="AG149" s="245"/>
      <c r="AH149" s="245"/>
      <c r="AI149" s="245"/>
      <c r="AJ149" s="245"/>
      <c r="AK149" s="245"/>
      <c r="AL149" s="245"/>
      <c r="AM149" s="245"/>
    </row>
    <row r="150" spans="1:39" x14ac:dyDescent="0.2">
      <c r="A150" s="503">
        <f t="shared" ref="A150:A163" si="12">+A149+1</f>
        <v>131</v>
      </c>
      <c r="B150" s="262" t="str">
        <f>CONCATENATE('3. Consumption by Rate Class'!B155,"-",'3. Consumption by Rate Class'!C155)</f>
        <v>2015-November</v>
      </c>
      <c r="C150" s="699"/>
      <c r="D150" s="703"/>
      <c r="E150" s="703"/>
      <c r="F150" s="703"/>
      <c r="G150" s="703"/>
      <c r="H150" s="704"/>
      <c r="I150" s="704"/>
      <c r="J150" s="263"/>
      <c r="K150" s="744">
        <f>IF(K$19=$B$169,+AVERAGE(K30,K42,K54,K66,K78,K90,K102,K114,K126,K138),+IF(K$19=$B$170,+(EXP((LN(+'4. Customer Growth'!$W$42)/12))*$K149),IF($K$19=$B$171,+$A150*$C$176+$D$176,0)))</f>
        <v>483.63</v>
      </c>
      <c r="L150" s="744">
        <f>IF(L$19=$B$169,+AVERAGE(L30,L42,L54,L66,L78,L90,L102,L114,L126,L138),+IF(L$19=$B$170,+(EXP((LN(+'4. Customer Growth'!$W$42)/12))*$K149),IF($L$19=$B$171,+$A150*$C$177+$D$177,0)))</f>
        <v>0</v>
      </c>
      <c r="M150" s="744">
        <f>IF(M$19=$B$169,+AVERAGE(M30,M42,M54,M66,M78,M90,M102,M114,M126,M138),+IF(M$19=$B$170,+(EXP((LN(+'4. Customer Growth'!$W$42)/12))*$K149),IF($M$19=$B$171,+$A150*$C$178+$D$178,0)))</f>
        <v>0</v>
      </c>
      <c r="N150" s="744">
        <f>IF(N$19=$B$169,+AVERAGE(N30,N42,N54,N66,N78,N90,N102,N114,N126,N138),+IF(N$19=$B$170,+(EXP((LN(+'4. Customer Growth'!$W$42)/12))*$K149),IF($N$19=$B$171,+$A150*$C$179+$D$179,0)))</f>
        <v>0</v>
      </c>
      <c r="O150" s="744">
        <f>IF(O$19=$B$169,+AVERAGE(O30,O42,O54,O66,O78,O90,O102,O114,O126,O138),+IF(O$19=$B$170,+(EXP((LN(+'4. Customer Growth'!$W$42)/12))*$O149),IF($O$19=$B$171,+$A150*$C$180+$D$180,0)))</f>
        <v>30</v>
      </c>
      <c r="P150" s="744">
        <f>IF(P$19=$B$169,+AVERAGE(P30,P42,P54,P66,P78,P90,P102,P114,P126,P138),+IF(P$19=$B$170,+(EXP((LN(+'4. Customer Growth'!$W$42)/12))*$P149),IF($P$19=$B$171,+$A150*$C$181+$D$181,0)))</f>
        <v>0</v>
      </c>
      <c r="Q150" s="245"/>
      <c r="R150" s="558">
        <f t="shared" si="11"/>
        <v>16529780.816054694</v>
      </c>
      <c r="S150" s="265"/>
      <c r="T150" s="245"/>
      <c r="U150" s="245"/>
      <c r="V150" s="245"/>
      <c r="W150" s="245"/>
      <c r="X150" s="245"/>
      <c r="Y150" s="245"/>
      <c r="Z150" s="245"/>
      <c r="AA150" s="245"/>
      <c r="AB150" s="245"/>
      <c r="AC150" s="245"/>
      <c r="AD150" s="245"/>
      <c r="AE150" s="245"/>
      <c r="AF150" s="245"/>
      <c r="AG150" s="245"/>
      <c r="AH150" s="245"/>
      <c r="AI150" s="245"/>
      <c r="AJ150" s="245"/>
      <c r="AK150" s="245"/>
      <c r="AL150" s="245"/>
      <c r="AM150" s="245"/>
    </row>
    <row r="151" spans="1:39" x14ac:dyDescent="0.2">
      <c r="A151" s="503">
        <f t="shared" si="12"/>
        <v>132</v>
      </c>
      <c r="B151" s="522" t="str">
        <f>CONCATENATE('3. Consumption by Rate Class'!B156,"-",'3. Consumption by Rate Class'!C156)</f>
        <v>2015-December</v>
      </c>
      <c r="C151" s="698"/>
      <c r="D151" s="705"/>
      <c r="E151" s="705"/>
      <c r="F151" s="705"/>
      <c r="G151" s="705"/>
      <c r="H151" s="706"/>
      <c r="I151" s="706"/>
      <c r="J151" s="263"/>
      <c r="K151" s="744">
        <f>IF(K$19=$B$169,+AVERAGE(K31,K43,K55,K67,K79,K91,K103,K115,K127,K139),+IF(K$19=$B$170,+(EXP((LN(+'4. Customer Growth'!$W$42)/12))*$K150),IF($K$19=$B$171,+$A151*$C$176+$D$176,0)))</f>
        <v>693.87999999999988</v>
      </c>
      <c r="L151" s="744">
        <f>IF(L$19=$B$169,+AVERAGE(L31,L43,L55,L67,L79,L91,L103,L115,L127,L139),+IF(L$19=$B$170,+(EXP((LN(+'4. Customer Growth'!$W$42)/12))*$K150),IF($L$19=$B$171,+$A151*$C$177+$D$177,0)))</f>
        <v>0</v>
      </c>
      <c r="M151" s="744">
        <f>IF(M$19=$B$169,+AVERAGE(M31,M43,M55,M67,M79,M91,M103,M115,M127,M139),+IF(M$19=$B$170,+(EXP((LN(+'4. Customer Growth'!$W$42)/12))*$K150),IF($M$19=$B$171,+$A151*$C$178+$D$178,0)))</f>
        <v>1</v>
      </c>
      <c r="N151" s="744">
        <f>IF(N$19=$B$169,+AVERAGE(N31,N43,N55,N67,N79,N91,N103,N115,N127,N139),+IF(N$19=$B$170,+(EXP((LN(+'4. Customer Growth'!$W$42)/12))*$K150),IF($N$19=$B$171,+$A151*$C$179+$D$179,0)))</f>
        <v>1</v>
      </c>
      <c r="O151" s="744">
        <f>IF(O$19=$B$169,+AVERAGE(O31,O43,O55,O67,O79,O91,O103,O115,O127,O139),+IF(O$19=$B$170,+(EXP((LN(+'4. Customer Growth'!$W$42)/12))*$O150),IF($O$19=$B$171,+$A151*$C$180+$D$180,0)))</f>
        <v>31</v>
      </c>
      <c r="P151" s="744">
        <f>IF(P$19=$B$169,+AVERAGE(P31,P43,P55,P67,P79,P91,P103,P115,P127,P139),+IF(P$19=$B$170,+(EXP((LN(+'4. Customer Growth'!$W$42)/12))*$P150),IF($P$19=$B$171,+$A151*$C$181+$D$181,0)))</f>
        <v>0</v>
      </c>
      <c r="Q151" s="245"/>
      <c r="R151" s="558">
        <f t="shared" si="11"/>
        <v>19506037.16699741</v>
      </c>
      <c r="S151" s="265">
        <f>SUM(R140:R151)</f>
        <v>199517622.55165914</v>
      </c>
      <c r="T151" s="245"/>
      <c r="U151" s="245"/>
      <c r="V151" s="245"/>
      <c r="W151" s="245"/>
      <c r="X151" s="245"/>
      <c r="Y151" s="245"/>
      <c r="Z151" s="245"/>
      <c r="AA151" s="245"/>
      <c r="AB151" s="245"/>
      <c r="AC151" s="245"/>
      <c r="AD151" s="245"/>
      <c r="AE151" s="245"/>
      <c r="AF151" s="245"/>
      <c r="AG151" s="245"/>
      <c r="AH151" s="245"/>
      <c r="AI151" s="245"/>
      <c r="AJ151" s="245"/>
      <c r="AK151" s="245"/>
      <c r="AL151" s="245"/>
      <c r="AM151" s="245"/>
    </row>
    <row r="152" spans="1:39" x14ac:dyDescent="0.2">
      <c r="A152" s="503">
        <f t="shared" si="12"/>
        <v>133</v>
      </c>
      <c r="B152" s="262" t="str">
        <f>CONCATENATE('3. Consumption by Rate Class'!B157,"-",'3. Consumption by Rate Class'!C157)</f>
        <v>2016-January</v>
      </c>
      <c r="C152" s="715"/>
      <c r="D152" s="275"/>
      <c r="E152" s="275"/>
      <c r="F152" s="275"/>
      <c r="G152" s="275"/>
      <c r="H152" s="275"/>
      <c r="I152" s="275"/>
      <c r="J152" s="246"/>
      <c r="K152" s="744">
        <f>IF(K$19=$B$169,+AVERAGE(K32,K44,K56,K68,K80,K92,K104,K116,K128,K140),+IF(K$19=$B$170,+(EXP((LN(+'4. Customer Growth'!$W$43)/12))*$K151),IF($K$19=$B$171,+$A152*$C$176+$D$176,0)))</f>
        <v>837.66099999999983</v>
      </c>
      <c r="L152" s="744">
        <f>IF(L$19=$B$169,+AVERAGE(L32,L44,L56,L68,L80,L92,L104,L116,L128,L140),+IF(L$19=$B$170,+(EXP((LN(+'4. Customer Growth'!$W$43)/12))*$K151),IF($L$19=$B$171,+$A152*$C$177+$D$177,0)))</f>
        <v>0</v>
      </c>
      <c r="M152" s="744">
        <f>IF(M$19=$B$169,+AVERAGE(M32,M44,M56,M68,M80,M92,M104,M116,M128,M140),+IF(M$19=$B$170,+(EXP((LN(+'4. Customer Growth'!$W$43)/12))*$K151),IF($M$19=$B$171,+$A152*$C$178+$D$178,0)))</f>
        <v>1</v>
      </c>
      <c r="N152" s="744">
        <f>IF(N$19=$B$169,+AVERAGE(N32,N44,N56,N68,N80,N92,N104,N116,N128,N140),+IF(N$19=$B$170,+(EXP((LN(+'4. Customer Growth'!$W$43)/12))*$K151),IF($N$19=$B$171,+$A152*$C$179+$D$179,0)))</f>
        <v>1</v>
      </c>
      <c r="O152" s="744">
        <f>IF(O$19=$B$169,+AVERAGE(O32,O44,O56,O68,O80,O92,O104,O116,O128,O140),+IF(O$19=$B$170,+(EXP((LN(+'4. Customer Growth'!$W$43)/12))*$O151),IF($O$19=$B$171,+$A152*$C$180+$D$180,0)))</f>
        <v>31</v>
      </c>
      <c r="P152" s="744">
        <f>IF(P$19=$B$169,+AVERAGE(P32,P44,P56,P68,P80,P92,P104,P116,P128,P140),+IF(P$19=$B$170,+(EXP((LN(+'4. Customer Growth'!$W$43)/12))*$P151),IF($P$19=$B$171,+$A152*$C$181+$D$181,0)))</f>
        <v>0</v>
      </c>
      <c r="Q152" s="245"/>
      <c r="R152" s="558">
        <f t="shared" si="11"/>
        <v>20532717.709478982</v>
      </c>
      <c r="S152" s="265"/>
      <c r="T152" s="245"/>
      <c r="U152" s="245"/>
      <c r="V152" s="245"/>
      <c r="W152" s="245"/>
      <c r="X152" s="245"/>
      <c r="Y152" s="245"/>
      <c r="Z152" s="245"/>
      <c r="AA152" s="245"/>
      <c r="AB152" s="245"/>
      <c r="AC152" s="245"/>
      <c r="AD152" s="245"/>
      <c r="AE152" s="245"/>
      <c r="AF152" s="245"/>
      <c r="AG152" s="245"/>
      <c r="AH152" s="245"/>
      <c r="AI152" s="245"/>
      <c r="AJ152" s="245"/>
      <c r="AK152" s="245"/>
      <c r="AL152" s="245"/>
      <c r="AM152" s="245"/>
    </row>
    <row r="153" spans="1:39" x14ac:dyDescent="0.2">
      <c r="A153" s="503">
        <f t="shared" si="12"/>
        <v>134</v>
      </c>
      <c r="B153" s="262" t="str">
        <f>CONCATENATE('3. Consumption by Rate Class'!B158,"-",'3. Consumption by Rate Class'!C158)</f>
        <v>2016-February</v>
      </c>
      <c r="C153" s="715"/>
      <c r="D153" s="275"/>
      <c r="E153" s="275"/>
      <c r="F153" s="275"/>
      <c r="G153" s="275"/>
      <c r="H153" s="275"/>
      <c r="I153" s="275"/>
      <c r="J153" s="246"/>
      <c r="K153" s="744">
        <f>IF(K$19=$B$169,+AVERAGE(K33,K45,K57,K69,K81,K93,K105,K117,K129,K141),+IF(K$19=$B$170,+(EXP((LN(+'4. Customer Growth'!$W$43)/12))*$K152),IF($K$19=$B$171,+$A153*$C$176+$D$176,0)))</f>
        <v>733.798</v>
      </c>
      <c r="L153" s="744">
        <f>IF(L$19=$B$169,+AVERAGE(L33,L45,L57,L69,L81,L93,L105,L117,L129,L141),+IF(L$19=$B$170,+(EXP((LN(+'4. Customer Growth'!$W$43)/12))*$K152),IF($L$19=$B$171,+$A153*$C$177+$D$177,0)))</f>
        <v>0</v>
      </c>
      <c r="M153" s="744">
        <f>IF(M$19=$B$169,+AVERAGE(M33,M45,M57,M69,M81,M93,M105,M117,M129,M141),+IF(M$19=$B$170,+(EXP((LN(+'4. Customer Growth'!$W$43)/12))*$K152),IF($M$19=$B$171,+$A153*$C$178+$D$178,0)))</f>
        <v>1</v>
      </c>
      <c r="N153" s="744">
        <f>IF(N$19=$B$169,+AVERAGE(N33,N45,N57,N69,N81,N93,N105,N117,N129,N141),+IF(N$19=$B$170,+(EXP((LN(+'4. Customer Growth'!$W$43)/12))*$K152),IF($N$19=$B$171,+$A153*$C$179+$D$179,0)))</f>
        <v>0</v>
      </c>
      <c r="O153" s="744">
        <f>IF(O$19=$B$169,+AVERAGE(O33,O45,O57,O69,O81,O93,O105,O117,O129,O141),+IF(O$19=$B$170,+(EXP((LN(+'4. Customer Growth'!$W$43)/12))*$O152),IF($O$19=$B$171,+$A153*$C$180+$D$180,0)))</f>
        <v>28.22</v>
      </c>
      <c r="P153" s="744">
        <f>IF(P$19=$B$169,+AVERAGE(P33,P45,P57,P69,P81,P93,P105,P117,P129,P141),+IF(P$19=$B$170,+(EXP((LN(+'4. Customer Growth'!$W$43)/12))*$P152),IF($P$19=$B$171,+$A153*$C$181+$D$181,0)))</f>
        <v>0</v>
      </c>
      <c r="Q153" s="245"/>
      <c r="R153" s="558">
        <f t="shared" si="11"/>
        <v>19791075.064179786</v>
      </c>
      <c r="S153" s="265"/>
      <c r="T153" s="245"/>
      <c r="U153" s="245"/>
      <c r="V153" s="245"/>
      <c r="W153" s="245"/>
      <c r="X153" s="245"/>
      <c r="Y153" s="245"/>
      <c r="Z153" s="245"/>
      <c r="AA153" s="245"/>
      <c r="AB153" s="245"/>
      <c r="AC153" s="245"/>
      <c r="AD153" s="245"/>
      <c r="AE153" s="245"/>
      <c r="AF153" s="245"/>
      <c r="AG153" s="245"/>
      <c r="AH153" s="245"/>
      <c r="AI153" s="245"/>
      <c r="AJ153" s="245"/>
      <c r="AK153" s="245"/>
      <c r="AL153" s="245"/>
      <c r="AM153" s="245"/>
    </row>
    <row r="154" spans="1:39" x14ac:dyDescent="0.2">
      <c r="A154" s="503">
        <f t="shared" si="12"/>
        <v>135</v>
      </c>
      <c r="B154" s="262" t="str">
        <f>CONCATENATE('3. Consumption by Rate Class'!B159,"-",'3. Consumption by Rate Class'!C159)</f>
        <v>2016-March</v>
      </c>
      <c r="C154" s="715"/>
      <c r="D154" s="275"/>
      <c r="E154" s="275"/>
      <c r="F154" s="275"/>
      <c r="G154" s="275"/>
      <c r="H154" s="275"/>
      <c r="I154" s="275"/>
      <c r="J154" s="246"/>
      <c r="K154" s="744">
        <f>IF(K$19=$B$169,+AVERAGE(K34,K46,K58,K70,K82,K94,K106,K118,K130,K142),+IF(K$19=$B$170,+(EXP((LN(+'4. Customer Growth'!$W$43)/12))*$K153),IF($K$19=$B$171,+$A154*$C$176+$D$176,0)))</f>
        <v>609.66399999999999</v>
      </c>
      <c r="L154" s="744">
        <f>IF(L$19=$B$169,+AVERAGE(L34,L46,L58,L70,L82,L94,L106,L118,L130,L142),+IF(L$19=$B$170,+(EXP((LN(+'4. Customer Growth'!$W$43)/12))*$K153),IF($L$19=$B$171,+$A154*$C$177+$D$177,0)))</f>
        <v>0</v>
      </c>
      <c r="M154" s="744">
        <f>IF(M$19=$B$169,+AVERAGE(M34,M46,M58,M70,M82,M94,M106,M118,M130,M142),+IF(M$19=$B$170,+(EXP((LN(+'4. Customer Growth'!$W$43)/12))*$K153),IF($M$19=$B$171,+$A154*$C$178+$D$178,0)))</f>
        <v>0</v>
      </c>
      <c r="N154" s="744">
        <f>IF(N$19=$B$169,+AVERAGE(N34,N46,N58,N70,N82,N94,N106,N118,N130,N142),+IF(N$19=$B$170,+(EXP((LN(+'4. Customer Growth'!$W$43)/12))*$K153),IF($N$19=$B$171,+$A154*$C$179+$D$179,0)))</f>
        <v>1</v>
      </c>
      <c r="O154" s="744">
        <f>IF(O$19=$B$169,+AVERAGE(O34,O46,O58,O70,O82,O94,O106,O118,O130,O142),+IF(O$19=$B$170,+(EXP((LN(+'4. Customer Growth'!$W$43)/12))*$O153),IF($O$19=$B$171,+$A154*$C$180+$D$180,0)))</f>
        <v>31</v>
      </c>
      <c r="P154" s="744">
        <f>IF(P$19=$B$169,+AVERAGE(P34,P46,P58,P70,P82,P94,P106,P118,P130,P142),+IF(P$19=$B$170,+(EXP((LN(+'4. Customer Growth'!$W$43)/12))*$P153),IF($P$19=$B$171,+$A154*$C$181+$D$181,0)))</f>
        <v>0</v>
      </c>
      <c r="Q154" s="245"/>
      <c r="R154" s="558">
        <f t="shared" si="11"/>
        <v>17429737.385358859</v>
      </c>
      <c r="S154" s="265"/>
      <c r="T154" s="245"/>
      <c r="U154" s="245"/>
      <c r="V154" s="245"/>
      <c r="W154" s="245"/>
      <c r="X154" s="245"/>
      <c r="Y154" s="245"/>
      <c r="Z154" s="245"/>
      <c r="AA154" s="245"/>
      <c r="AB154" s="245"/>
      <c r="AC154" s="245"/>
      <c r="AD154" s="245"/>
      <c r="AE154" s="245"/>
      <c r="AF154" s="245"/>
      <c r="AG154" s="245"/>
      <c r="AH154" s="245"/>
      <c r="AI154" s="245"/>
      <c r="AJ154" s="245"/>
      <c r="AK154" s="245"/>
      <c r="AL154" s="245"/>
      <c r="AM154" s="245"/>
    </row>
    <row r="155" spans="1:39" x14ac:dyDescent="0.2">
      <c r="A155" s="503">
        <f t="shared" si="12"/>
        <v>136</v>
      </c>
      <c r="B155" s="262" t="str">
        <f>CONCATENATE('3. Consumption by Rate Class'!B160,"-",'3. Consumption by Rate Class'!C160)</f>
        <v>2016-April</v>
      </c>
      <c r="C155" s="715"/>
      <c r="D155" s="275"/>
      <c r="E155" s="275"/>
      <c r="F155" s="275"/>
      <c r="G155" s="275"/>
      <c r="H155" s="275"/>
      <c r="I155" s="275"/>
      <c r="J155" s="246"/>
      <c r="K155" s="744">
        <f>IF(K$19=$B$169,+AVERAGE(K35,K47,K59,K71,K83,K95,K107,K119,K131,K143),+IF(K$19=$B$170,+(EXP((LN(+'4. Customer Growth'!$W$43)/12))*$K154),IF($K$19=$B$171,+$A155*$C$176+$D$176,0)))</f>
        <v>328.30900000000008</v>
      </c>
      <c r="L155" s="744">
        <f>IF(L$19=$B$169,+AVERAGE(L35,L47,L59,L71,L83,L95,L107,L119,L131,L143),+IF(L$19=$B$170,+(EXP((LN(+'4. Customer Growth'!$W$43)/12))*$K154),IF($L$19=$B$171,+$A155*$C$177+$D$177,0)))</f>
        <v>0.80299999999999994</v>
      </c>
      <c r="M155" s="744">
        <f>IF(M$19=$B$169,+AVERAGE(M35,M47,M59,M71,M83,M95,M107,M119,M131,M143),+IF(M$19=$B$170,+(EXP((LN(+'4. Customer Growth'!$W$43)/12))*$K154),IF($M$19=$B$171,+$A155*$C$178+$D$178,0)))</f>
        <v>0</v>
      </c>
      <c r="N155" s="744">
        <f>IF(N$19=$B$169,+AVERAGE(N35,N47,N59,N71,N83,N95,N107,N119,N131,N143),+IF(N$19=$B$170,+(EXP((LN(+'4. Customer Growth'!$W$43)/12))*$K154),IF($N$19=$B$171,+$A155*$C$179+$D$179,0)))</f>
        <v>0</v>
      </c>
      <c r="O155" s="744">
        <f>IF(O$19=$B$169,+AVERAGE(O35,O47,O59,O71,O83,O95,O107,O119,O131,O143),+IF(O$19=$B$170,+(EXP((LN(+'4. Customer Growth'!$W$43)/12))*$O154),IF($O$19=$B$171,+$A155*$C$180+$D$180,0)))</f>
        <v>30</v>
      </c>
      <c r="P155" s="744">
        <f>IF(P$19=$B$169,+AVERAGE(P35,P47,P59,P71,P83,P95,P107,P119,P131,P143),+IF(P$19=$B$170,+(EXP((LN(+'4. Customer Growth'!$W$43)/12))*$P154),IF($P$19=$B$171,+$A155*$C$181+$D$181,0)))</f>
        <v>0</v>
      </c>
      <c r="Q155" s="245"/>
      <c r="R155" s="558">
        <f t="shared" si="11"/>
        <v>15442794.331098475</v>
      </c>
      <c r="S155" s="265"/>
      <c r="T155" s="245"/>
      <c r="U155" s="245"/>
      <c r="V155" s="245"/>
      <c r="W155" s="245"/>
      <c r="X155" s="245"/>
      <c r="Y155" s="245"/>
      <c r="Z155" s="245"/>
      <c r="AA155" s="245"/>
      <c r="AB155" s="245"/>
      <c r="AC155" s="245"/>
      <c r="AD155" s="245"/>
      <c r="AE155" s="245"/>
      <c r="AF155" s="245"/>
      <c r="AG155" s="245"/>
      <c r="AH155" s="245"/>
      <c r="AI155" s="245"/>
      <c r="AJ155" s="245"/>
      <c r="AK155" s="245"/>
      <c r="AL155" s="245"/>
      <c r="AM155" s="245"/>
    </row>
    <row r="156" spans="1:39" x14ac:dyDescent="0.2">
      <c r="A156" s="503">
        <f t="shared" si="12"/>
        <v>137</v>
      </c>
      <c r="B156" s="262" t="str">
        <f>CONCATENATE('3. Consumption by Rate Class'!B161,"-",'3. Consumption by Rate Class'!C161)</f>
        <v>2016-May</v>
      </c>
      <c r="C156" s="715"/>
      <c r="D156" s="275"/>
      <c r="E156" s="275"/>
      <c r="F156" s="275"/>
      <c r="G156" s="275"/>
      <c r="H156" s="275"/>
      <c r="I156" s="275"/>
      <c r="J156" s="246"/>
      <c r="K156" s="744">
        <f>IF(K$19=$B$169,+AVERAGE(K36,K48,K60,K72,K84,K96,K108,K120,K132,K144),+IF(K$19=$B$170,+(EXP((LN(+'4. Customer Growth'!$W$43)/12))*$K155),IF($K$19=$B$171,+$A156*$C$176+$D$176,0)))</f>
        <v>138.07599999999999</v>
      </c>
      <c r="L156" s="744">
        <f>IF(L$19=$B$169,+AVERAGE(L36,L48,L60,L72,L84,L96,L108,L120,L132,L144),+IF(L$19=$B$170,+(EXP((LN(+'4. Customer Growth'!$W$43)/12))*$K155),IF($L$19=$B$171,+$A156*$C$177+$D$177,0)))</f>
        <v>15.133000000000004</v>
      </c>
      <c r="M156" s="744">
        <f>IF(M$19=$B$169,+AVERAGE(M36,M48,M60,M72,M84,M96,M108,M120,M132,M144),+IF(M$19=$B$170,+(EXP((LN(+'4. Customer Growth'!$W$43)/12))*$K155),IF($M$19=$B$171,+$A156*$C$178+$D$178,0)))</f>
        <v>0</v>
      </c>
      <c r="N156" s="744">
        <f>IF(N$19=$B$169,+AVERAGE(N36,N48,N60,N72,N84,N96,N108,N120,N132,N144),+IF(N$19=$B$170,+(EXP((LN(+'4. Customer Growth'!$W$43)/12))*$K155),IF($N$19=$B$171,+$A156*$C$179+$D$179,0)))</f>
        <v>0</v>
      </c>
      <c r="O156" s="744">
        <f>IF(O$19=$B$169,+AVERAGE(O36,O48,O60,O72,O84,O96,O108,O120,O132,O144),+IF(O$19=$B$170,+(EXP((LN(+'4. Customer Growth'!$W$43)/12))*$O155),IF($O$19=$B$171,+$A156*$C$180+$D$180,0)))</f>
        <v>31</v>
      </c>
      <c r="P156" s="744">
        <f>IF(P$19=$B$169,+AVERAGE(P36,P48,P60,P72,P84,P96,P108,P120,P132,P144),+IF(P$19=$B$170,+(EXP((LN(+'4. Customer Growth'!$W$43)/12))*$P155),IF($P$19=$B$171,+$A156*$C$181+$D$181,0)))</f>
        <v>0</v>
      </c>
      <c r="Q156" s="245"/>
      <c r="R156" s="558">
        <f t="shared" si="11"/>
        <v>14478742.63859364</v>
      </c>
      <c r="S156" s="265"/>
      <c r="T156" s="245"/>
      <c r="U156" s="245"/>
      <c r="V156" s="245"/>
      <c r="W156" s="245"/>
      <c r="X156" s="245"/>
      <c r="Y156" s="245"/>
      <c r="Z156" s="245"/>
      <c r="AA156" s="245"/>
      <c r="AB156" s="245"/>
      <c r="AC156" s="245"/>
      <c r="AD156" s="245"/>
      <c r="AE156" s="245"/>
      <c r="AF156" s="245"/>
      <c r="AG156" s="245"/>
      <c r="AH156" s="245"/>
      <c r="AI156" s="245"/>
      <c r="AJ156" s="245"/>
      <c r="AK156" s="245"/>
      <c r="AL156" s="245"/>
      <c r="AM156" s="245"/>
    </row>
    <row r="157" spans="1:39" x14ac:dyDescent="0.2">
      <c r="A157" s="503">
        <f t="shared" si="12"/>
        <v>138</v>
      </c>
      <c r="B157" s="262" t="str">
        <f>CONCATENATE('3. Consumption by Rate Class'!B162,"-",'3. Consumption by Rate Class'!C162)</f>
        <v>2016-June</v>
      </c>
      <c r="C157" s="715"/>
      <c r="D157" s="275"/>
      <c r="E157" s="275"/>
      <c r="F157" s="275"/>
      <c r="G157" s="275"/>
      <c r="H157" s="275"/>
      <c r="I157" s="275"/>
      <c r="J157" s="246"/>
      <c r="K157" s="744">
        <f>IF(K$19=$B$169,+AVERAGE(K37,K49,K61,K73,K85,K97,K109,K121,K133,K145),+IF(K$19=$B$170,+(EXP((LN(+'4. Customer Growth'!$W$43)/12))*$K156),IF($K$19=$B$171,+$A157*$C$176+$D$176,0)))</f>
        <v>32.775999999999996</v>
      </c>
      <c r="L157" s="744">
        <f>IF(L$19=$B$169,+AVERAGE(L37,L49,L61,L73,L85,L97,L109,L121,L133,L145),+IF(L$19=$B$170,+(EXP((LN(+'4. Customer Growth'!$W$43)/12))*$K156),IF($L$19=$B$171,+$A157*$C$177+$D$177,0)))</f>
        <v>53.662999999999997</v>
      </c>
      <c r="M157" s="744">
        <f>IF(M$19=$B$169,+AVERAGE(M37,M49,M61,M73,M85,M97,M109,M121,M133,M145),+IF(M$19=$B$170,+(EXP((LN(+'4. Customer Growth'!$W$43)/12))*$K156),IF($M$19=$B$171,+$A157*$C$178+$D$178,0)))</f>
        <v>0</v>
      </c>
      <c r="N157" s="744">
        <f>IF(N$19=$B$169,+AVERAGE(N37,N49,N61,N73,N85,N97,N109,N121,N133,N145),+IF(N$19=$B$170,+(EXP((LN(+'4. Customer Growth'!$W$43)/12))*$K156),IF($N$19=$B$171,+$A157*$C$179+$D$179,0)))</f>
        <v>0</v>
      </c>
      <c r="O157" s="744">
        <f>IF(O$19=$B$169,+AVERAGE(O37,O49,O61,O73,O85,O97,O109,O121,O133,O145),+IF(O$19=$B$170,+(EXP((LN(+'4. Customer Growth'!$W$43)/12))*$O156),IF($O$19=$B$171,+$A157*$C$180+$D$180,0)))</f>
        <v>30</v>
      </c>
      <c r="P157" s="744">
        <f>IF(P$19=$B$169,+AVERAGE(P37,P49,P61,P73,P85,P97,P109,P121,P133,P145),+IF(P$19=$B$170,+(EXP((LN(+'4. Customer Growth'!$W$43)/12))*$P156),IF($P$19=$B$171,+$A157*$C$181+$D$181,0)))</f>
        <v>0</v>
      </c>
      <c r="Q157" s="245"/>
      <c r="R157" s="558">
        <f t="shared" si="11"/>
        <v>14787081.682571525</v>
      </c>
      <c r="S157" s="265"/>
      <c r="T157" s="245"/>
      <c r="U157" s="245"/>
      <c r="V157" s="245"/>
      <c r="W157" s="245"/>
      <c r="X157" s="245"/>
      <c r="Y157" s="245"/>
      <c r="Z157" s="245"/>
      <c r="AA157" s="245"/>
      <c r="AB157" s="245"/>
      <c r="AC157" s="245"/>
      <c r="AD157" s="245"/>
      <c r="AE157" s="245"/>
      <c r="AF157" s="245"/>
      <c r="AG157" s="245"/>
      <c r="AH157" s="245"/>
      <c r="AI157" s="245"/>
      <c r="AJ157" s="245"/>
      <c r="AK157" s="245"/>
      <c r="AL157" s="245"/>
      <c r="AM157" s="245"/>
    </row>
    <row r="158" spans="1:39" x14ac:dyDescent="0.2">
      <c r="A158" s="503">
        <f t="shared" si="12"/>
        <v>139</v>
      </c>
      <c r="B158" s="262" t="str">
        <f>CONCATENATE('3. Consumption by Rate Class'!B163,"-",'3. Consumption by Rate Class'!C163)</f>
        <v>2016-July</v>
      </c>
      <c r="C158" s="715"/>
      <c r="D158" s="275"/>
      <c r="E158" s="275"/>
      <c r="F158" s="275"/>
      <c r="G158" s="275"/>
      <c r="H158" s="275"/>
      <c r="I158" s="275"/>
      <c r="J158" s="246"/>
      <c r="K158" s="744">
        <f>IF(K$19=$B$169,+AVERAGE(K38,K50,K62,K74,K86,K98,K110,K122,K134,K146),+IF(K$19=$B$170,+(EXP((LN(+'4. Customer Growth'!$W$43)/12))*$K157),IF($K$19=$B$171,+$A158*$C$176+$D$176,0)))</f>
        <v>5.0230000000000006</v>
      </c>
      <c r="L158" s="744">
        <f>IF(L$19=$B$169,+AVERAGE(L38,L50,L62,L74,L86,L98,L110,L122,L134,L146),+IF(L$19=$B$170,+(EXP((LN(+'4. Customer Growth'!$W$43)/12))*$K157),IF($L$19=$B$171,+$A158*$C$177+$D$177,0)))</f>
        <v>102.69500000000001</v>
      </c>
      <c r="M158" s="744">
        <f>IF(M$19=$B$169,+AVERAGE(M38,M50,M62,M74,M86,M98,M110,M122,M134,M146),+IF(M$19=$B$170,+(EXP((LN(+'4. Customer Growth'!$W$43)/12))*$K157),IF($M$19=$B$171,+$A158*$C$178+$D$178,0)))</f>
        <v>0</v>
      </c>
      <c r="N158" s="744">
        <f>IF(N$19=$B$169,+AVERAGE(N38,N50,N62,N74,N86,N98,N110,N122,N134,N146),+IF(N$19=$B$170,+(EXP((LN(+'4. Customer Growth'!$W$43)/12))*$K157),IF($N$19=$B$171,+$A158*$C$179+$D$179,0)))</f>
        <v>1</v>
      </c>
      <c r="O158" s="744">
        <f>IF(O$19=$B$169,+AVERAGE(O38,O50,O62,O74,O86,O98,O110,O122,O134,O146),+IF(O$19=$B$170,+(EXP((LN(+'4. Customer Growth'!$W$43)/12))*$O157),IF($O$19=$B$171,+$A158*$C$180+$D$180,0)))</f>
        <v>31</v>
      </c>
      <c r="P158" s="744">
        <f>IF(P$19=$B$169,+AVERAGE(P38,P50,P62,P74,P86,P98,P110,P122,P134,P146),+IF(P$19=$B$170,+(EXP((LN(+'4. Customer Growth'!$W$43)/12))*$P157),IF($P$19=$B$171,+$A158*$C$181+$D$181,0)))</f>
        <v>0</v>
      </c>
      <c r="Q158" s="245"/>
      <c r="R158" s="558">
        <f t="shared" si="11"/>
        <v>15938138.716231177</v>
      </c>
      <c r="S158" s="265"/>
      <c r="T158" s="245"/>
      <c r="U158" s="245"/>
      <c r="V158" s="245"/>
      <c r="W158" s="245"/>
      <c r="X158" s="245"/>
      <c r="Y158" s="245"/>
      <c r="Z158" s="245"/>
      <c r="AA158" s="245"/>
      <c r="AB158" s="245"/>
      <c r="AC158" s="245"/>
      <c r="AD158" s="245"/>
      <c r="AE158" s="245"/>
      <c r="AF158" s="245"/>
      <c r="AG158" s="245"/>
      <c r="AH158" s="245"/>
      <c r="AI158" s="245"/>
      <c r="AJ158" s="245"/>
      <c r="AK158" s="245"/>
      <c r="AL158" s="245"/>
      <c r="AM158" s="245"/>
    </row>
    <row r="159" spans="1:39" x14ac:dyDescent="0.2">
      <c r="A159" s="503">
        <f t="shared" si="12"/>
        <v>140</v>
      </c>
      <c r="B159" s="262" t="str">
        <f>CONCATENATE('3. Consumption by Rate Class'!B164,"-",'3. Consumption by Rate Class'!C164)</f>
        <v>2016-August</v>
      </c>
      <c r="C159" s="715"/>
      <c r="D159" s="275"/>
      <c r="E159" s="275"/>
      <c r="F159" s="275"/>
      <c r="G159" s="275"/>
      <c r="H159" s="275"/>
      <c r="I159" s="275"/>
      <c r="J159" s="246"/>
      <c r="K159" s="744">
        <f>IF(K$19=$B$169,+AVERAGE(K39,K51,K63,K75,K87,K99,K111,K123,K135,K147),+IF(K$19=$B$170,+(EXP((LN(+'4. Customer Growth'!$W$43)/12))*$K158),IF($K$19=$B$171,+$A159*$C$176+$D$176,0)))</f>
        <v>15.374000000000001</v>
      </c>
      <c r="L159" s="744">
        <f>IF(L$19=$B$169,+AVERAGE(L39,L51,L63,L75,L87,L99,L111,L123,L135,L147),+IF(L$19=$B$170,+(EXP((LN(+'4. Customer Growth'!$W$43)/12))*$K158),IF($L$19=$B$171,+$A159*$C$177+$D$177,0)))</f>
        <v>74.292999999999992</v>
      </c>
      <c r="M159" s="744">
        <f>IF(M$19=$B$169,+AVERAGE(M39,M51,M63,M75,M87,M99,M111,M123,M135,M147),+IF(M$19=$B$170,+(EXP((LN(+'4. Customer Growth'!$W$43)/12))*$K158),IF($M$19=$B$171,+$A159*$C$178+$D$178,0)))</f>
        <v>0</v>
      </c>
      <c r="N159" s="744">
        <f>IF(N$19=$B$169,+AVERAGE(N39,N51,N63,N75,N87,N99,N111,N123,N135,N147),+IF(N$19=$B$170,+(EXP((LN(+'4. Customer Growth'!$W$43)/12))*$K158),IF($N$19=$B$171,+$A159*$C$179+$D$179,0)))</f>
        <v>0</v>
      </c>
      <c r="O159" s="744">
        <f>IF(O$19=$B$169,+AVERAGE(O39,O51,O63,O75,O87,O99,O111,O123,O135,O147),+IF(O$19=$B$170,+(EXP((LN(+'4. Customer Growth'!$W$43)/12))*$O158),IF($O$19=$B$171,+$A159*$C$180+$D$180,0)))</f>
        <v>31</v>
      </c>
      <c r="P159" s="744">
        <f>IF(P$19=$B$169,+AVERAGE(P39,P51,P63,P75,P87,P99,P111,P123,P135,P147),+IF(P$19=$B$170,+(EXP((LN(+'4. Customer Growth'!$W$43)/12))*$P158),IF($P$19=$B$171,+$A159*$C$181+$D$181,0)))</f>
        <v>0</v>
      </c>
      <c r="Q159" s="245"/>
      <c r="R159" s="558">
        <f t="shared" si="11"/>
        <v>15230503.721801728</v>
      </c>
      <c r="S159" s="265"/>
      <c r="T159" s="245"/>
      <c r="U159" s="245"/>
      <c r="V159" s="245"/>
      <c r="W159" s="245"/>
      <c r="X159" s="245"/>
      <c r="Y159" s="245"/>
      <c r="Z159" s="245"/>
      <c r="AA159" s="245"/>
      <c r="AB159" s="245"/>
      <c r="AC159" s="245"/>
      <c r="AD159" s="245"/>
      <c r="AE159" s="245"/>
      <c r="AF159" s="245"/>
      <c r="AG159" s="245"/>
      <c r="AH159" s="245"/>
      <c r="AI159" s="245"/>
      <c r="AJ159" s="245"/>
      <c r="AK159" s="245"/>
      <c r="AL159" s="245"/>
      <c r="AM159" s="245"/>
    </row>
    <row r="160" spans="1:39" x14ac:dyDescent="0.2">
      <c r="A160" s="503">
        <f t="shared" si="12"/>
        <v>141</v>
      </c>
      <c r="B160" s="262" t="str">
        <f>CONCATENATE('3. Consumption by Rate Class'!B165,"-",'3. Consumption by Rate Class'!C165)</f>
        <v>2016-September</v>
      </c>
      <c r="C160" s="715"/>
      <c r="D160" s="275"/>
      <c r="E160" s="275"/>
      <c r="F160" s="275"/>
      <c r="G160" s="275"/>
      <c r="H160" s="275"/>
      <c r="I160" s="275"/>
      <c r="J160" s="246"/>
      <c r="K160" s="744">
        <f>IF(K$19=$B$169,+AVERAGE(K40,K52,K64,K76,K88,K100,K112,K124,K136,K148),+IF(K$19=$B$170,+(EXP((LN(+'4. Customer Growth'!$W$43)/12))*$K159),IF($K$19=$B$171,+$A160*$C$176+$D$176,0)))</f>
        <v>103.673</v>
      </c>
      <c r="L160" s="744">
        <f>IF(L$19=$B$169,+AVERAGE(L40,L52,L64,L76,L88,L100,L112,L124,L136,L148),+IF(L$19=$B$170,+(EXP((LN(+'4. Customer Growth'!$W$43)/12))*$K159),IF($L$19=$B$171,+$A160*$C$177+$D$177,0)))</f>
        <v>19.294999999999998</v>
      </c>
      <c r="M160" s="744">
        <f>IF(M$19=$B$169,+AVERAGE(M40,M52,M64,M76,M88,M100,M112,M124,M136,M148),+IF(M$19=$B$170,+(EXP((LN(+'4. Customer Growth'!$W$43)/12))*$K159),IF($M$19=$B$171,+$A160*$C$178+$D$178,0)))</f>
        <v>0</v>
      </c>
      <c r="N160" s="744">
        <f>IF(N$19=$B$169,+AVERAGE(N40,N52,N64,N76,N88,N100,N112,N124,N136,N148),+IF(N$19=$B$170,+(EXP((LN(+'4. Customer Growth'!$W$43)/12))*$K159),IF($N$19=$B$171,+$A160*$C$179+$D$179,0)))</f>
        <v>0</v>
      </c>
      <c r="O160" s="744">
        <f>IF(O$19=$B$169,+AVERAGE(O40,O52,O64,O76,O88,O100,O112,O124,O136,O148),+IF(O$19=$B$170,+(EXP((LN(+'4. Customer Growth'!$W$43)/12))*$O159),IF($O$19=$B$171,+$A160*$C$180+$D$180,0)))</f>
        <v>30</v>
      </c>
      <c r="P160" s="744">
        <f>IF(P$19=$B$169,+AVERAGE(P40,P52,P64,P76,P88,P100,P112,P124,P136,P148),+IF(P$19=$B$170,+(EXP((LN(+'4. Customer Growth'!$W$43)/12))*$P159),IF($P$19=$B$171,+$A160*$C$181+$D$181,0)))</f>
        <v>0</v>
      </c>
      <c r="Q160" s="245"/>
      <c r="R160" s="558">
        <f t="shared" si="11"/>
        <v>14347612.197101168</v>
      </c>
      <c r="S160" s="265"/>
      <c r="T160" s="245"/>
      <c r="U160" s="245"/>
      <c r="V160" s="245"/>
      <c r="W160" s="245"/>
      <c r="X160" s="245"/>
      <c r="Y160" s="245"/>
      <c r="Z160" s="245"/>
      <c r="AA160" s="245"/>
      <c r="AB160" s="245"/>
      <c r="AC160" s="245"/>
      <c r="AD160" s="245"/>
      <c r="AE160" s="245"/>
      <c r="AF160" s="245"/>
      <c r="AG160" s="245"/>
      <c r="AH160" s="245"/>
      <c r="AI160" s="245"/>
      <c r="AJ160" s="245"/>
      <c r="AK160" s="245"/>
      <c r="AL160" s="245"/>
      <c r="AM160" s="245"/>
    </row>
    <row r="161" spans="1:39" x14ac:dyDescent="0.2">
      <c r="A161" s="503">
        <f t="shared" si="12"/>
        <v>142</v>
      </c>
      <c r="B161" s="262" t="str">
        <f>CONCATENATE('3. Consumption by Rate Class'!B166,"-",'3. Consumption by Rate Class'!C166)</f>
        <v>2016-October</v>
      </c>
      <c r="C161" s="715"/>
      <c r="D161" s="275"/>
      <c r="E161" s="275"/>
      <c r="F161" s="275"/>
      <c r="G161" s="275"/>
      <c r="H161" s="275"/>
      <c r="I161" s="275"/>
      <c r="J161" s="246"/>
      <c r="K161" s="744">
        <f>IF(K$19=$B$169,+AVERAGE(K41,K53,K65,K77,K89,K101,K113,K125,K137,K149),+IF(K$19=$B$170,+(EXP((LN(+'4. Customer Growth'!$W$43)/12))*$K160),IF($K$19=$B$171,+$A161*$C$176+$D$176,0)))</f>
        <v>282.911</v>
      </c>
      <c r="L161" s="744">
        <f>IF(L$19=$B$169,+AVERAGE(L41,L53,L65,L77,L89,L101,L113,L125,L137,L149),+IF(L$19=$B$170,+(EXP((LN(+'4. Customer Growth'!$W$43)/12))*$K160),IF($L$19=$B$171,+$A161*$C$177+$D$177,0)))</f>
        <v>0.84499999999999997</v>
      </c>
      <c r="M161" s="744">
        <f>IF(M$19=$B$169,+AVERAGE(M41,M53,M65,M77,M89,M101,M113,M125,M137,M149),+IF(M$19=$B$170,+(EXP((LN(+'4. Customer Growth'!$W$43)/12))*$K160),IF($M$19=$B$171,+$A161*$C$178+$D$178,0)))</f>
        <v>0</v>
      </c>
      <c r="N161" s="744">
        <f>IF(N$19=$B$169,+AVERAGE(N41,N53,N65,N77,N89,N101,N113,N125,N137,N149),+IF(N$19=$B$170,+(EXP((LN(+'4. Customer Growth'!$W$43)/12))*$K160),IF($N$19=$B$171,+$A161*$C$179+$D$179,0)))</f>
        <v>0</v>
      </c>
      <c r="O161" s="744">
        <f>IF(O$19=$B$169,+AVERAGE(O41,O53,O65,O77,O89,O101,O113,O125,O137,O149),+IF(O$19=$B$170,+(EXP((LN(+'4. Customer Growth'!$W$43)/12))*$O160),IF($O$19=$B$171,+$A161*$C$180+$D$180,0)))</f>
        <v>31</v>
      </c>
      <c r="P161" s="744">
        <f>IF(P$19=$B$169,+AVERAGE(P41,P53,P65,P77,P89,P101,P113,P125,P137,P149),+IF(P$19=$B$170,+(EXP((LN(+'4. Customer Growth'!$W$43)/12))*$P160),IF($P$19=$B$171,+$A161*$C$181+$D$181,0)))</f>
        <v>0</v>
      </c>
      <c r="Q161" s="245"/>
      <c r="R161" s="558">
        <f t="shared" si="11"/>
        <v>15119781.752507802</v>
      </c>
      <c r="S161" s="265"/>
      <c r="T161" s="245"/>
      <c r="U161" s="245"/>
      <c r="V161" s="245"/>
      <c r="W161" s="245"/>
      <c r="X161" s="245"/>
      <c r="Y161" s="245"/>
      <c r="Z161" s="245"/>
      <c r="AA161" s="245"/>
      <c r="AB161" s="245"/>
      <c r="AC161" s="245"/>
      <c r="AD161" s="245"/>
      <c r="AE161" s="245"/>
      <c r="AF161" s="245"/>
      <c r="AG161" s="245"/>
      <c r="AH161" s="245"/>
      <c r="AI161" s="245"/>
      <c r="AJ161" s="245"/>
      <c r="AK161" s="245"/>
      <c r="AL161" s="245"/>
      <c r="AM161" s="245"/>
    </row>
    <row r="162" spans="1:39" x14ac:dyDescent="0.2">
      <c r="A162" s="503">
        <f t="shared" si="12"/>
        <v>143</v>
      </c>
      <c r="B162" s="175" t="str">
        <f>CONCATENATE('3. Consumption by Rate Class'!B167,"-",'3. Consumption by Rate Class'!C167)</f>
        <v>2016-November</v>
      </c>
      <c r="C162" s="716"/>
      <c r="D162" s="60"/>
      <c r="E162" s="60"/>
      <c r="F162" s="60"/>
      <c r="G162" s="60"/>
      <c r="H162" s="60"/>
      <c r="I162" s="60"/>
      <c r="K162" s="744">
        <f>IF(K$19=$B$169,+AVERAGE(K42,K54,K66,K78,K90,K102,K114,K126,K138,K150),+IF(K$19=$B$170,+(EXP((LN(+'4. Customer Growth'!$W$43)/12))*$K161),IF($K$19=$B$171,+$A162*$C$176+$D$176,0)))</f>
        <v>483.57300000000004</v>
      </c>
      <c r="L162" s="744">
        <f>IF(L$19=$B$169,+AVERAGE(L42,L54,L66,L78,L90,L102,L114,L126,L138,L150),+IF(L$19=$B$170,+(EXP((LN(+'4. Customer Growth'!$W$43)/12))*$K161),IF($L$19=$B$171,+$A162*$C$177+$D$177,0)))</f>
        <v>0</v>
      </c>
      <c r="M162" s="744">
        <f>IF(M$19=$B$169,+AVERAGE(M42,M54,M66,M78,M90,M102,M114,M126,M138,M150),+IF(M$19=$B$170,+(EXP((LN(+'4. Customer Growth'!$W$43)/12))*$K161),IF($M$19=$B$171,+$A162*$C$178+$D$178,0)))</f>
        <v>0</v>
      </c>
      <c r="N162" s="744">
        <f>IF(N$19=$B$169,+AVERAGE(N42,N54,N66,N78,N90,N102,N114,N126,N138,N150),+IF(N$19=$B$170,+(EXP((LN(+'4. Customer Growth'!$W$43)/12))*$K161),IF($N$19=$B$171,+$A162*$C$179+$D$179,0)))</f>
        <v>0</v>
      </c>
      <c r="O162" s="744">
        <f>IF(O$19=$B$169,+AVERAGE(O42,O54,O66,O78,O90,O102,O114,O126,O138,O150),+IF(O$19=$B$170,+(EXP((LN(+'4. Customer Growth'!$W$43)/12))*$O161),IF($O$19=$B$171,+$A162*$C$180+$D$180,0)))</f>
        <v>30</v>
      </c>
      <c r="P162" s="744">
        <f>IF(P$19=$B$169,+AVERAGE(P42,P54,P66,P78,P90,P102,P114,P126,P138,P150),+IF(P$19=$B$170,+(EXP((LN(+'4. Customer Growth'!$W$43)/12))*$P161),IF($P$19=$B$171,+$A162*$C$181+$D$181,0)))</f>
        <v>0</v>
      </c>
      <c r="R162" s="558">
        <f t="shared" si="11"/>
        <v>16529373.802673778</v>
      </c>
      <c r="S162" s="221"/>
      <c r="U162" s="245"/>
      <c r="V162" s="245"/>
      <c r="W162" s="245"/>
      <c r="X162" s="245"/>
      <c r="Y162" s="245"/>
      <c r="Z162" s="245"/>
    </row>
    <row r="163" spans="1:39" x14ac:dyDescent="0.2">
      <c r="A163" s="503">
        <f t="shared" si="12"/>
        <v>144</v>
      </c>
      <c r="B163" s="175" t="str">
        <f>CONCATENATE('3. Consumption by Rate Class'!B168,"-",'3. Consumption by Rate Class'!C168)</f>
        <v>2016-December</v>
      </c>
      <c r="C163" s="716"/>
      <c r="D163" s="60"/>
      <c r="E163" s="60"/>
      <c r="F163" s="60"/>
      <c r="G163" s="60"/>
      <c r="H163" s="60"/>
      <c r="I163" s="60"/>
      <c r="K163" s="744">
        <f>IF(K$19=$B$169,+AVERAGE(K43,K55,K67,K79,K91,K103,K115,K127,K139,K151),+IF(K$19=$B$170,+(EXP((LN(+'4. Customer Growth'!$W$43)/12))*$K162),IF($K$19=$B$171,+$A163*$C$176+$D$176,0)))</f>
        <v>687.06799999999998</v>
      </c>
      <c r="L163" s="744">
        <f>IF(L$19=$B$169,+AVERAGE(L43,L55,L67,L79,L91,L103,L115,L127,L139,L151),+IF(L$19=$B$170,+(EXP((LN(+'4. Customer Growth'!$W$43)/12))*$K162),IF($L$19=$B$171,+$A163*$C$177+$D$177,0)))</f>
        <v>0</v>
      </c>
      <c r="M163" s="744">
        <f>IF(M$19=$B$169,+AVERAGE(M43,M55,M67,M79,M91,M103,M115,M127,M139,M151),+IF(M$19=$B$170,+(EXP((LN(+'4. Customer Growth'!$W$43)/12))*$K162),IF($M$19=$B$171,+$A163*$C$178+$D$178,0)))</f>
        <v>1</v>
      </c>
      <c r="N163" s="744">
        <f>IF(N$19=$B$169,+AVERAGE(N43,N55,N67,N79,N91,N103,N115,N127,N139,N151),+IF(N$19=$B$170,+(EXP((LN(+'4. Customer Growth'!$W$43)/12))*$K162),IF($N$19=$B$171,+$A163*$C$179+$D$179,0)))</f>
        <v>1</v>
      </c>
      <c r="O163" s="744">
        <f>IF(O$19=$B$169,+AVERAGE(O43,O55,O67,O79,O91,O103,O115,O127,O139,O151),+IF(O$19=$B$170,+(EXP((LN(+'4. Customer Growth'!$W$43)/12))*$O162),IF($O$19=$B$171,+$A163*$C$180+$D$180,0)))</f>
        <v>31</v>
      </c>
      <c r="P163" s="744">
        <f>IF(P$19=$B$169,+AVERAGE(P43,P55,P67,P79,P91,P103,P115,P127,P139,P151),+IF(P$19=$B$170,+(EXP((LN(+'4. Customer Growth'!$W$43)/12))*$P162),IF($P$19=$B$171,+$A163*$C$181+$D$181,0)))</f>
        <v>0</v>
      </c>
      <c r="R163" s="558">
        <f t="shared" si="11"/>
        <v>19457395.49768516</v>
      </c>
      <c r="S163" s="221">
        <f>SUM(R152:R163)</f>
        <v>199084954.49928209</v>
      </c>
    </row>
    <row r="164" spans="1:39" x14ac:dyDescent="0.2">
      <c r="B164" s="176"/>
      <c r="C164" s="716"/>
      <c r="D164" s="60"/>
      <c r="E164" s="60"/>
      <c r="F164" s="60"/>
      <c r="G164" s="60"/>
      <c r="H164" s="60"/>
      <c r="I164" s="60"/>
    </row>
    <row r="167" spans="1:39" x14ac:dyDescent="0.2">
      <c r="B167" s="301"/>
      <c r="C167" s="717"/>
      <c r="D167" s="727"/>
    </row>
    <row r="168" spans="1:39" hidden="1" x14ac:dyDescent="0.2">
      <c r="A168" s="302"/>
      <c r="B168" s="303" t="s">
        <v>171</v>
      </c>
      <c r="C168" s="718"/>
      <c r="D168" s="727"/>
      <c r="L168" s="726"/>
    </row>
    <row r="169" spans="1:39" hidden="1" x14ac:dyDescent="0.2">
      <c r="A169" s="302"/>
      <c r="B169" s="304" t="s">
        <v>169</v>
      </c>
      <c r="C169" s="719"/>
      <c r="D169" s="727"/>
    </row>
    <row r="170" spans="1:39" hidden="1" x14ac:dyDescent="0.2">
      <c r="A170" s="302"/>
      <c r="B170" s="305" t="s">
        <v>170</v>
      </c>
      <c r="C170" s="720"/>
      <c r="D170" s="727"/>
    </row>
    <row r="171" spans="1:39" hidden="1" x14ac:dyDescent="0.2">
      <c r="B171" s="500" t="s">
        <v>236</v>
      </c>
      <c r="C171" s="719"/>
      <c r="D171" s="727"/>
    </row>
    <row r="172" spans="1:39" hidden="1" x14ac:dyDescent="0.2">
      <c r="B172" s="728"/>
      <c r="C172" s="729"/>
      <c r="D172" s="730"/>
    </row>
    <row r="173" spans="1:39" hidden="1" x14ac:dyDescent="0.2">
      <c r="B173" s="728"/>
      <c r="C173" s="729"/>
      <c r="D173" s="730"/>
    </row>
    <row r="174" spans="1:39" hidden="1" x14ac:dyDescent="0.2">
      <c r="B174" s="842" t="s">
        <v>237</v>
      </c>
      <c r="C174" s="842"/>
      <c r="D174" s="842"/>
    </row>
    <row r="175" spans="1:39" hidden="1" x14ac:dyDescent="0.2">
      <c r="B175" s="504" t="s">
        <v>149</v>
      </c>
      <c r="C175" s="721" t="s">
        <v>238</v>
      </c>
      <c r="D175" s="502" t="s">
        <v>239</v>
      </c>
    </row>
    <row r="176" spans="1:39" ht="14.25" hidden="1" x14ac:dyDescent="0.2">
      <c r="B176" s="504" t="s">
        <v>1</v>
      </c>
      <c r="C176" s="722">
        <f>INDEX(LINEST($K$20:$K139,$A$20:$A$139,TRUE,FALSE),1)</f>
        <v>-0.28549968747829702</v>
      </c>
      <c r="D176" s="501">
        <f>INDEX(LINEST($K$20:$K139,$A$20:$A$139,TRUE,FALSE),2)</f>
        <v>373.34439775910357</v>
      </c>
    </row>
    <row r="177" spans="2:4" ht="14.25" hidden="1" x14ac:dyDescent="0.2">
      <c r="B177" s="504" t="s">
        <v>2</v>
      </c>
      <c r="C177" s="722">
        <f>INDEX(LINEST($L$20:$L139,$A$20:$A$139,TRUE,FALSE),1)</f>
        <v>-2.7641850128481121E-2</v>
      </c>
      <c r="D177" s="501">
        <f>INDEX(LINEST($L$20:$L139,$A$20:$A$139,TRUE,FALSE),2)</f>
        <v>24.886498599439772</v>
      </c>
    </row>
    <row r="178" spans="2:4" ht="14.25" hidden="1" x14ac:dyDescent="0.2">
      <c r="B178" s="504" t="s">
        <v>134</v>
      </c>
      <c r="C178" s="722">
        <f>INDEX(LINEST($M$20:$M139,$A$20:$A$139,TRUE,FALSE),1)</f>
        <v>-3.1252170289603441E-4</v>
      </c>
      <c r="D178" s="501">
        <f>INDEX(LINEST($M$20:$M139,$A$20:$A$139,TRUE,FALSE),2)</f>
        <v>0.26890756302521007</v>
      </c>
    </row>
    <row r="179" spans="2:4" ht="14.25" hidden="1" x14ac:dyDescent="0.2">
      <c r="B179" s="504" t="s">
        <v>157</v>
      </c>
      <c r="C179" s="722">
        <f>INDEX(LINEST($N$20:$N139,$A$20:$A$139,TRUE,FALSE),1)</f>
        <v>-2.0834780193069099E-4</v>
      </c>
      <c r="D179" s="501">
        <f>INDEX(LINEST($N$20:$N139,$A$20:$A$139,TRUE,FALSE),2)</f>
        <v>0.3459383753501401</v>
      </c>
    </row>
    <row r="180" spans="2:4" ht="14.25" hidden="1" x14ac:dyDescent="0.2">
      <c r="B180" s="504" t="s">
        <v>133</v>
      </c>
      <c r="C180" s="722">
        <f>INDEX(LINEST($O$20:$O139,$A$20:$A$139,TRUE,FALSE),1)</f>
        <v>6.8060281964024845E-4</v>
      </c>
      <c r="D180" s="501">
        <f>INDEX(LINEST($O$20:$O139,$A$20:$A$139,TRUE,FALSE),2)</f>
        <v>30.3921568627451</v>
      </c>
    </row>
    <row r="181" spans="2:4" ht="14.25" hidden="1" x14ac:dyDescent="0.2">
      <c r="B181" s="504" t="s">
        <v>165</v>
      </c>
      <c r="C181" s="722">
        <f>INDEX(LINEST($P$20:$P139,$A$20:$A$139,TRUE,FALSE),1)</f>
        <v>0</v>
      </c>
      <c r="D181" s="501">
        <f>INDEX(LINEST($P$20:$P139,$A$20:$A$139,TRUE,FALSE),2)</f>
        <v>0</v>
      </c>
    </row>
    <row r="182" spans="2:4" x14ac:dyDescent="0.2">
      <c r="B182" s="728"/>
      <c r="C182" s="729"/>
      <c r="D182" s="730"/>
    </row>
  </sheetData>
  <mergeCells count="4">
    <mergeCell ref="K17:P17"/>
    <mergeCell ref="D17:I17"/>
    <mergeCell ref="Q19:S19"/>
    <mergeCell ref="B174:D174"/>
  </mergeCells>
  <phoneticPr fontId="0" type="noConversion"/>
  <dataValidations count="2">
    <dataValidation type="list" allowBlank="1" showInputMessage="1" showErrorMessage="1" sqref="K18:P18">
      <formula1>AllVariables</formula1>
    </dataValidation>
    <dataValidation type="list" allowBlank="1" showInputMessage="1" showErrorMessage="1" sqref="K19:P19">
      <formula1>$B$169:$B$171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M38"/>
  <sheetViews>
    <sheetView showGridLines="0" topLeftCell="A7" zoomScaleNormal="100" workbookViewId="0">
      <selection activeCell="I62" sqref="I62"/>
    </sheetView>
  </sheetViews>
  <sheetFormatPr defaultRowHeight="12.75" x14ac:dyDescent="0.2"/>
  <cols>
    <col min="1" max="1" width="13.6640625" style="1" customWidth="1"/>
    <col min="2" max="2" width="9.33203125" style="1"/>
    <col min="3" max="3" width="47.33203125" style="1" bestFit="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1:39" s="536" customFormat="1" x14ac:dyDescent="0.2">
      <c r="A1" s="758" t="s">
        <v>272</v>
      </c>
    </row>
    <row r="2" spans="1:39" s="536" customFormat="1" x14ac:dyDescent="0.2"/>
    <row r="3" spans="1:39" s="536" customFormat="1" x14ac:dyDescent="0.2"/>
    <row r="4" spans="1:39" s="536" customFormat="1" x14ac:dyDescent="0.2"/>
    <row r="5" spans="1:39" s="536" customFormat="1" x14ac:dyDescent="0.2"/>
    <row r="6" spans="1:39" s="536" customFormat="1" x14ac:dyDescent="0.2"/>
    <row r="7" spans="1:39" s="536" customFormat="1" x14ac:dyDescent="0.2"/>
    <row r="8" spans="1:39" s="536" customFormat="1" x14ac:dyDescent="0.2"/>
    <row r="9" spans="1:39" s="536" customFormat="1" x14ac:dyDescent="0.2"/>
    <row r="10" spans="1:39" s="536" customFormat="1" x14ac:dyDescent="0.2"/>
    <row r="11" spans="1:39" s="536" customFormat="1" ht="23.25" x14ac:dyDescent="0.2">
      <c r="A11" s="259"/>
      <c r="B11" s="260" t="s">
        <v>255</v>
      </c>
      <c r="C11" s="246"/>
      <c r="D11" s="246"/>
      <c r="E11" s="246"/>
      <c r="F11" s="246"/>
      <c r="G11" s="246"/>
      <c r="H11" s="246"/>
      <c r="I11" s="246"/>
      <c r="J11" s="246"/>
      <c r="K11" s="246"/>
      <c r="L11" s="246"/>
      <c r="M11" s="246"/>
      <c r="N11" s="246"/>
      <c r="O11" s="246"/>
      <c r="P11" s="246"/>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s="536" customFormat="1" ht="15" x14ac:dyDescent="0.2">
      <c r="A12" s="259"/>
      <c r="B12" s="63" t="s">
        <v>64</v>
      </c>
      <c r="C12" s="246"/>
      <c r="D12" s="246"/>
      <c r="E12" s="246"/>
      <c r="F12" s="246"/>
      <c r="G12" s="246"/>
      <c r="H12" s="246"/>
      <c r="I12" s="246"/>
      <c r="J12" s="246"/>
      <c r="K12" s="246"/>
      <c r="L12" s="246"/>
      <c r="M12" s="246"/>
      <c r="N12" s="246"/>
      <c r="O12" s="245"/>
      <c r="P12" s="246"/>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s="536" customFormat="1" ht="14.25" x14ac:dyDescent="0.2">
      <c r="A13" s="259"/>
      <c r="B13" s="100" t="s">
        <v>253</v>
      </c>
      <c r="C13" s="246"/>
      <c r="D13" s="246"/>
      <c r="E13" s="246"/>
      <c r="F13" s="246"/>
      <c r="G13" s="246"/>
      <c r="H13" s="246"/>
      <c r="I13" s="246"/>
      <c r="J13" s="246"/>
      <c r="K13" s="246"/>
      <c r="L13" s="246"/>
      <c r="M13" s="246"/>
      <c r="N13" s="246"/>
      <c r="O13" s="246"/>
      <c r="P13" s="246"/>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s="536" customFormat="1" ht="14.25" x14ac:dyDescent="0.2">
      <c r="A14" s="259"/>
      <c r="B14" s="100" t="s">
        <v>254</v>
      </c>
      <c r="C14" s="246"/>
      <c r="D14" s="246"/>
      <c r="E14" s="246"/>
      <c r="F14" s="246"/>
      <c r="G14" s="246"/>
      <c r="H14" s="246"/>
      <c r="I14" s="246"/>
      <c r="J14" s="246"/>
      <c r="K14" s="246"/>
      <c r="L14" s="246"/>
      <c r="M14" s="246"/>
      <c r="N14" s="246"/>
      <c r="O14" s="246"/>
      <c r="P14" s="246"/>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7" spans="2:11" x14ac:dyDescent="0.2">
      <c r="B17" t="s">
        <v>158</v>
      </c>
      <c r="C17"/>
      <c r="D17"/>
      <c r="E17"/>
      <c r="F17"/>
      <c r="G17"/>
      <c r="H17"/>
      <c r="I17"/>
      <c r="J17"/>
      <c r="K17"/>
    </row>
    <row r="18" spans="2:11" ht="13.5" thickBot="1" x14ac:dyDescent="0.25">
      <c r="B18"/>
      <c r="C18"/>
      <c r="D18"/>
      <c r="E18"/>
      <c r="F18"/>
      <c r="G18"/>
      <c r="H18"/>
      <c r="I18"/>
      <c r="J18"/>
      <c r="K18"/>
    </row>
    <row r="19" spans="2:11" x14ac:dyDescent="0.2">
      <c r="B19" s="549" t="s">
        <v>7</v>
      </c>
      <c r="C19" s="549"/>
      <c r="D19"/>
      <c r="E19"/>
      <c r="F19"/>
      <c r="G19"/>
      <c r="H19"/>
      <c r="I19"/>
      <c r="J19"/>
      <c r="K19"/>
    </row>
    <row r="20" spans="2:11" x14ac:dyDescent="0.2">
      <c r="B20" s="546" t="s">
        <v>8</v>
      </c>
      <c r="C20" s="546">
        <v>0.92668223566941954</v>
      </c>
      <c r="D20"/>
      <c r="E20"/>
      <c r="F20"/>
      <c r="G20"/>
      <c r="H20"/>
      <c r="I20"/>
      <c r="J20"/>
      <c r="K20"/>
    </row>
    <row r="21" spans="2:11" x14ac:dyDescent="0.2">
      <c r="B21" s="546" t="s">
        <v>9</v>
      </c>
      <c r="C21" s="546">
        <v>0.85873996590527357</v>
      </c>
      <c r="D21"/>
      <c r="E21"/>
      <c r="F21"/>
      <c r="G21"/>
      <c r="H21"/>
      <c r="I21"/>
      <c r="J21"/>
      <c r="K21"/>
    </row>
    <row r="22" spans="2:11" x14ac:dyDescent="0.2">
      <c r="B22" s="546" t="s">
        <v>10</v>
      </c>
      <c r="C22" s="546">
        <v>0.85254435037480314</v>
      </c>
      <c r="D22"/>
      <c r="E22"/>
      <c r="F22"/>
      <c r="G22"/>
      <c r="H22"/>
      <c r="I22"/>
      <c r="J22"/>
      <c r="K22"/>
    </row>
    <row r="23" spans="2:11" x14ac:dyDescent="0.2">
      <c r="B23" s="546" t="s">
        <v>11</v>
      </c>
      <c r="C23" s="546">
        <v>912139.52476786438</v>
      </c>
      <c r="D23"/>
      <c r="E23"/>
      <c r="F23"/>
      <c r="G23"/>
      <c r="H23"/>
      <c r="I23"/>
      <c r="J23"/>
      <c r="K23"/>
    </row>
    <row r="24" spans="2:11" ht="13.5" thickBot="1" x14ac:dyDescent="0.25">
      <c r="B24" s="547" t="s">
        <v>12</v>
      </c>
      <c r="C24" s="547">
        <v>120</v>
      </c>
      <c r="D24"/>
      <c r="E24"/>
      <c r="F24"/>
      <c r="G24"/>
      <c r="H24"/>
      <c r="I24"/>
      <c r="J24"/>
      <c r="K24"/>
    </row>
    <row r="25" spans="2:11" x14ac:dyDescent="0.2">
      <c r="B25"/>
      <c r="C25"/>
      <c r="D25"/>
      <c r="E25"/>
      <c r="F25"/>
      <c r="G25"/>
      <c r="H25"/>
      <c r="I25"/>
      <c r="J25"/>
      <c r="K25"/>
    </row>
    <row r="26" spans="2:11" ht="13.5" thickBot="1" x14ac:dyDescent="0.25">
      <c r="B26" t="s">
        <v>13</v>
      </c>
      <c r="C26"/>
      <c r="D26"/>
      <c r="E26"/>
      <c r="F26"/>
      <c r="G26"/>
      <c r="H26"/>
      <c r="I26"/>
      <c r="J26"/>
      <c r="K26"/>
    </row>
    <row r="27" spans="2:11" x14ac:dyDescent="0.2">
      <c r="B27" s="548"/>
      <c r="C27" s="548" t="s">
        <v>18</v>
      </c>
      <c r="D27" s="548" t="s">
        <v>19</v>
      </c>
      <c r="E27" s="548" t="s">
        <v>20</v>
      </c>
      <c r="F27" s="548" t="s">
        <v>21</v>
      </c>
      <c r="G27" s="548" t="s">
        <v>22</v>
      </c>
      <c r="H27"/>
      <c r="I27"/>
      <c r="J27"/>
      <c r="K27"/>
    </row>
    <row r="28" spans="2:11" x14ac:dyDescent="0.2">
      <c r="B28" s="546" t="s">
        <v>14</v>
      </c>
      <c r="C28" s="546">
        <v>5</v>
      </c>
      <c r="D28" s="546">
        <v>576593536886782.62</v>
      </c>
      <c r="E28" s="546">
        <v>115318707377356.53</v>
      </c>
      <c r="F28" s="546">
        <v>138.60446337929332</v>
      </c>
      <c r="G28" s="546">
        <v>9.5068561616320363E-47</v>
      </c>
      <c r="H28"/>
      <c r="I28"/>
      <c r="J28"/>
      <c r="K28"/>
    </row>
    <row r="29" spans="2:11" x14ac:dyDescent="0.2">
      <c r="B29" s="546" t="s">
        <v>15</v>
      </c>
      <c r="C29" s="546">
        <v>114</v>
      </c>
      <c r="D29" s="546">
        <v>94847830441386.984</v>
      </c>
      <c r="E29" s="546">
        <v>831998512643.74548</v>
      </c>
      <c r="F29" s="546"/>
      <c r="G29" s="546"/>
      <c r="H29"/>
      <c r="I29"/>
      <c r="J29"/>
      <c r="K29"/>
    </row>
    <row r="30" spans="2:11" ht="13.5" thickBot="1" x14ac:dyDescent="0.25">
      <c r="B30" s="547" t="s">
        <v>16</v>
      </c>
      <c r="C30" s="547">
        <v>119</v>
      </c>
      <c r="D30" s="547">
        <v>671441367328169.62</v>
      </c>
      <c r="E30" s="547"/>
      <c r="F30" s="547"/>
      <c r="G30" s="547"/>
      <c r="H30"/>
      <c r="I30"/>
      <c r="J30"/>
      <c r="K30"/>
    </row>
    <row r="31" spans="2:11" ht="13.5" thickBot="1" x14ac:dyDescent="0.25">
      <c r="B31"/>
      <c r="C31"/>
      <c r="D31"/>
      <c r="E31"/>
      <c r="F31"/>
      <c r="G31"/>
      <c r="H31"/>
      <c r="I31"/>
      <c r="J31"/>
      <c r="K31"/>
    </row>
    <row r="32" spans="2:11" x14ac:dyDescent="0.2">
      <c r="B32" s="548"/>
      <c r="C32" s="548" t="s">
        <v>23</v>
      </c>
      <c r="D32" s="548" t="s">
        <v>11</v>
      </c>
      <c r="E32" s="548" t="s">
        <v>24</v>
      </c>
      <c r="F32" s="548" t="s">
        <v>25</v>
      </c>
      <c r="G32" s="548" t="s">
        <v>26</v>
      </c>
      <c r="H32" s="548" t="s">
        <v>27</v>
      </c>
      <c r="I32" s="548" t="s">
        <v>28</v>
      </c>
      <c r="J32" s="548" t="s">
        <v>29</v>
      </c>
      <c r="K32"/>
    </row>
    <row r="33" spans="2:11" x14ac:dyDescent="0.2">
      <c r="B33" s="546" t="s">
        <v>17</v>
      </c>
      <c r="C33" s="546">
        <v>8741032.4856701158</v>
      </c>
      <c r="D33" s="546">
        <v>4558814.727491878</v>
      </c>
      <c r="E33" s="546">
        <v>1.9173914730417587</v>
      </c>
      <c r="F33" s="546">
        <v>5.7690619174398487E-2</v>
      </c>
      <c r="G33" s="546">
        <v>-289944.37739021145</v>
      </c>
      <c r="H33" s="546">
        <v>17772009.348730445</v>
      </c>
      <c r="I33" s="546">
        <v>-289944.37739021145</v>
      </c>
      <c r="J33" s="546">
        <v>17772009.348730445</v>
      </c>
      <c r="K33"/>
    </row>
    <row r="34" spans="2:11" x14ac:dyDescent="0.2">
      <c r="B34" s="546" t="s">
        <v>411</v>
      </c>
      <c r="C34" s="546">
        <v>6535.9894244588641</v>
      </c>
      <c r="D34" s="546">
        <v>697.1191117335693</v>
      </c>
      <c r="E34" s="546">
        <v>9.3757140127824261</v>
      </c>
      <c r="F34" s="546">
        <v>7.9193340633128532E-16</v>
      </c>
      <c r="G34" s="546">
        <v>5155.0018333428907</v>
      </c>
      <c r="H34" s="546">
        <v>7916.9770155748374</v>
      </c>
      <c r="I34" s="546">
        <v>5155.0018333428907</v>
      </c>
      <c r="J34" s="546">
        <v>7916.9770155748374</v>
      </c>
      <c r="K34"/>
    </row>
    <row r="35" spans="2:11" x14ac:dyDescent="0.2">
      <c r="B35" s="546" t="s">
        <v>412</v>
      </c>
      <c r="C35" s="546">
        <v>23882.238363365457</v>
      </c>
      <c r="D35" s="546">
        <v>3791.0175307780228</v>
      </c>
      <c r="E35" s="546">
        <v>6.2996908269279759</v>
      </c>
      <c r="F35" s="546">
        <v>5.7778879292262121E-9</v>
      </c>
      <c r="G35" s="546">
        <v>16372.261833402732</v>
      </c>
      <c r="H35" s="546">
        <v>31392.214893328182</v>
      </c>
      <c r="I35" s="546">
        <v>16372.261833402732</v>
      </c>
      <c r="J35" s="546">
        <v>31392.214893328182</v>
      </c>
      <c r="K35"/>
    </row>
    <row r="36" spans="2:11" x14ac:dyDescent="0.2">
      <c r="B36" s="546" t="s">
        <v>413</v>
      </c>
      <c r="C36" s="546">
        <v>1602289.4249446383</v>
      </c>
      <c r="D36" s="546">
        <v>330721.58922940941</v>
      </c>
      <c r="E36" s="546">
        <v>4.8448286326816996</v>
      </c>
      <c r="F36" s="546">
        <v>4.0276505998579839E-6</v>
      </c>
      <c r="G36" s="546">
        <v>947132.5039068422</v>
      </c>
      <c r="H36" s="546">
        <v>2257446.3459824342</v>
      </c>
      <c r="I36" s="546">
        <v>947132.5039068422</v>
      </c>
      <c r="J36" s="546">
        <v>2257446.3459824342</v>
      </c>
      <c r="K36"/>
    </row>
    <row r="37" spans="2:11" x14ac:dyDescent="0.2">
      <c r="B37" s="546" t="s">
        <v>414</v>
      </c>
      <c r="C37" s="546">
        <v>349016.37110289093</v>
      </c>
      <c r="D37" s="546">
        <v>318903.24981230561</v>
      </c>
      <c r="E37" s="546">
        <v>1.0944271383509223</v>
      </c>
      <c r="F37" s="546">
        <v>0.276074686511116</v>
      </c>
      <c r="G37" s="546">
        <v>-282728.51057475794</v>
      </c>
      <c r="H37" s="546">
        <v>980761.2527805398</v>
      </c>
      <c r="I37" s="546">
        <v>-282728.51057475794</v>
      </c>
      <c r="J37" s="546">
        <v>980761.2527805398</v>
      </c>
      <c r="K37"/>
    </row>
    <row r="38" spans="2:11" ht="13.5" thickBot="1" x14ac:dyDescent="0.25">
      <c r="B38" s="547" t="s">
        <v>415</v>
      </c>
      <c r="C38" s="547">
        <v>147431.69784035117</v>
      </c>
      <c r="D38" s="547">
        <v>148056.87763293143</v>
      </c>
      <c r="E38" s="547">
        <v>0.99577743497920967</v>
      </c>
      <c r="F38" s="547">
        <v>0.3214672364638046</v>
      </c>
      <c r="G38" s="547">
        <v>-145867.83641284032</v>
      </c>
      <c r="H38" s="547">
        <v>440731.2320935427</v>
      </c>
      <c r="I38" s="547">
        <v>-145867.83641284032</v>
      </c>
      <c r="J38" s="547">
        <v>440731.2320935427</v>
      </c>
      <c r="K38"/>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6"/>
  <sheetViews>
    <sheetView showGridLines="0" topLeftCell="G1" zoomScaleNormal="100" workbookViewId="0">
      <selection activeCell="AD31" sqref="AD31"/>
    </sheetView>
  </sheetViews>
  <sheetFormatPr defaultColWidth="11.1640625" defaultRowHeight="12.75" x14ac:dyDescent="0.2"/>
  <cols>
    <col min="1" max="1" width="13.6640625" style="1" customWidth="1"/>
    <col min="2" max="2" width="15" style="58" customWidth="1"/>
    <col min="3" max="3" width="16" style="58" customWidth="1"/>
    <col min="4" max="7" width="15" style="58" customWidth="1"/>
    <col min="8" max="8" width="15" style="1" customWidth="1"/>
    <col min="9" max="9" width="3.33203125" style="64" customWidth="1"/>
    <col min="10" max="16" width="15" style="1" customWidth="1"/>
    <col min="17" max="17" width="3.1640625" style="64" customWidth="1"/>
    <col min="18" max="24" width="15" style="1" customWidth="1"/>
    <col min="25" max="25" width="3" style="1" customWidth="1"/>
    <col min="26" max="32" width="15" style="1" customWidth="1"/>
    <col min="33" max="33" width="2.83203125" style="1" customWidth="1"/>
    <col min="34" max="40" width="15" style="1" customWidth="1"/>
    <col min="41" max="41" width="3.83203125" style="1" customWidth="1"/>
    <col min="42" max="16384" width="11.1640625" style="1"/>
  </cols>
  <sheetData>
    <row r="1" spans="1:17" s="536" customFormat="1" x14ac:dyDescent="0.2">
      <c r="A1" s="758" t="s">
        <v>272</v>
      </c>
      <c r="B1" s="58"/>
      <c r="C1" s="58"/>
      <c r="D1" s="58"/>
      <c r="E1" s="58"/>
      <c r="F1" s="58"/>
      <c r="G1" s="58"/>
      <c r="I1" s="64"/>
      <c r="Q1" s="64"/>
    </row>
    <row r="2" spans="1:17" s="536" customFormat="1" x14ac:dyDescent="0.2">
      <c r="B2" s="58"/>
      <c r="C2" s="58"/>
      <c r="D2" s="58"/>
      <c r="E2" s="58"/>
      <c r="F2" s="58"/>
      <c r="G2" s="58"/>
      <c r="I2" s="64"/>
      <c r="Q2" s="64"/>
    </row>
    <row r="3" spans="1:17" s="536" customFormat="1" x14ac:dyDescent="0.2">
      <c r="B3" s="58"/>
      <c r="C3" s="58"/>
      <c r="D3" s="58"/>
      <c r="E3" s="58"/>
      <c r="F3" s="58"/>
      <c r="G3" s="58"/>
      <c r="I3" s="64"/>
      <c r="Q3" s="64"/>
    </row>
    <row r="4" spans="1:17" s="536" customFormat="1" x14ac:dyDescent="0.2">
      <c r="B4" s="58"/>
      <c r="C4" s="58"/>
      <c r="D4" s="58"/>
      <c r="E4" s="58"/>
      <c r="F4" s="58"/>
      <c r="G4" s="58"/>
      <c r="I4" s="64"/>
      <c r="Q4" s="64"/>
    </row>
    <row r="5" spans="1:17" s="536" customFormat="1" x14ac:dyDescent="0.2">
      <c r="B5" s="58"/>
      <c r="C5" s="58"/>
      <c r="D5" s="58"/>
      <c r="E5" s="58"/>
      <c r="F5" s="58"/>
      <c r="G5" s="58"/>
      <c r="I5" s="64"/>
      <c r="Q5" s="64"/>
    </row>
    <row r="6" spans="1:17" s="536" customFormat="1" x14ac:dyDescent="0.2">
      <c r="B6" s="58"/>
      <c r="C6" s="58"/>
      <c r="D6" s="58"/>
      <c r="E6" s="58"/>
      <c r="F6" s="58"/>
      <c r="G6" s="58"/>
      <c r="I6" s="64"/>
      <c r="Q6" s="64"/>
    </row>
    <row r="7" spans="1:17" s="536" customFormat="1" x14ac:dyDescent="0.2">
      <c r="B7" s="58"/>
      <c r="C7" s="58"/>
      <c r="D7" s="58"/>
      <c r="E7" s="58"/>
      <c r="F7" s="58"/>
      <c r="G7" s="58"/>
      <c r="I7" s="64"/>
      <c r="Q7" s="64"/>
    </row>
    <row r="8" spans="1:17" s="536" customFormat="1" x14ac:dyDescent="0.2">
      <c r="B8" s="58"/>
      <c r="C8" s="58"/>
      <c r="D8" s="58"/>
      <c r="E8" s="58"/>
      <c r="F8" s="58"/>
      <c r="G8" s="58"/>
      <c r="I8" s="64"/>
      <c r="Q8" s="64"/>
    </row>
    <row r="9" spans="1:17" s="536" customFormat="1" x14ac:dyDescent="0.2">
      <c r="B9" s="58"/>
      <c r="C9" s="58"/>
      <c r="D9" s="58"/>
      <c r="E9" s="58"/>
      <c r="F9" s="58"/>
      <c r="G9" s="58"/>
      <c r="I9" s="64"/>
      <c r="Q9" s="64"/>
    </row>
    <row r="10" spans="1:17" s="536" customFormat="1" x14ac:dyDescent="0.2">
      <c r="B10" s="58"/>
      <c r="C10" s="58"/>
      <c r="D10" s="58"/>
      <c r="E10" s="58"/>
      <c r="F10" s="58"/>
      <c r="G10" s="58"/>
      <c r="I10" s="64"/>
      <c r="Q10" s="64"/>
    </row>
    <row r="11" spans="1:17" s="64" customFormat="1" ht="15.75" customHeight="1" x14ac:dyDescent="0.2">
      <c r="B11" s="133" t="s">
        <v>44</v>
      </c>
      <c r="D11" s="3"/>
      <c r="E11" s="3"/>
      <c r="F11" s="3"/>
      <c r="G11" s="3"/>
      <c r="H11" s="3"/>
      <c r="I11" s="3"/>
    </row>
    <row r="12" spans="1:17" s="64" customFormat="1" ht="15.75" customHeight="1" x14ac:dyDescent="0.2">
      <c r="B12" s="63" t="s">
        <v>64</v>
      </c>
      <c r="D12" s="3"/>
      <c r="E12" s="3"/>
      <c r="F12" s="3"/>
      <c r="G12" s="3"/>
      <c r="H12" s="3"/>
      <c r="I12" s="3"/>
    </row>
    <row r="13" spans="1:17" s="64" customFormat="1" ht="15.75" customHeight="1" x14ac:dyDescent="0.2">
      <c r="B13" s="100" t="s">
        <v>256</v>
      </c>
      <c r="D13" s="3"/>
      <c r="E13" s="3"/>
      <c r="F13" s="3"/>
      <c r="G13" s="3"/>
      <c r="H13" s="3"/>
      <c r="I13" s="3"/>
    </row>
    <row r="14" spans="1:17" s="64" customFormat="1" ht="15.75" customHeight="1" x14ac:dyDescent="0.2">
      <c r="B14" s="100" t="s">
        <v>257</v>
      </c>
      <c r="D14" s="3"/>
      <c r="E14" s="3"/>
      <c r="F14" s="3"/>
      <c r="G14" s="3"/>
      <c r="H14" s="3"/>
      <c r="I14" s="3"/>
    </row>
    <row r="15" spans="1:17" ht="12.75" customHeight="1" thickBot="1" x14ac:dyDescent="0.25"/>
    <row r="16" spans="1:17" ht="15.75" thickBot="1" x14ac:dyDescent="0.3">
      <c r="B16" s="318" t="s">
        <v>180</v>
      </c>
      <c r="G16" s="566" t="s">
        <v>178</v>
      </c>
    </row>
    <row r="17" spans="2:40" ht="12.75" customHeight="1" x14ac:dyDescent="0.2"/>
    <row r="18" spans="2:40" ht="12.75" customHeight="1" thickBot="1" x14ac:dyDescent="0.25"/>
    <row r="19" spans="2:40" ht="14.25" customHeight="1" thickBot="1" x14ac:dyDescent="0.25">
      <c r="B19" s="855" t="s">
        <v>6</v>
      </c>
      <c r="C19" s="856"/>
      <c r="D19" s="856"/>
      <c r="E19" s="856"/>
      <c r="F19" s="856"/>
      <c r="G19" s="856"/>
      <c r="H19" s="857"/>
      <c r="I19" s="145"/>
      <c r="J19" s="855" t="s">
        <v>98</v>
      </c>
      <c r="K19" s="856"/>
      <c r="L19" s="856"/>
      <c r="M19" s="856"/>
      <c r="N19" s="856"/>
      <c r="O19" s="856"/>
      <c r="P19" s="857"/>
      <c r="Q19" s="145"/>
      <c r="R19" s="855" t="s">
        <v>267</v>
      </c>
      <c r="S19" s="856"/>
      <c r="T19" s="856"/>
      <c r="U19" s="856"/>
      <c r="V19" s="856"/>
      <c r="W19" s="856"/>
      <c r="X19" s="857"/>
      <c r="Z19" s="855"/>
      <c r="AA19" s="856"/>
      <c r="AB19" s="856"/>
      <c r="AC19" s="856"/>
      <c r="AD19" s="856"/>
      <c r="AE19" s="856"/>
      <c r="AF19" s="857"/>
      <c r="AH19" s="855"/>
      <c r="AI19" s="856"/>
      <c r="AJ19" s="856"/>
      <c r="AK19" s="856"/>
      <c r="AL19" s="856"/>
      <c r="AM19" s="856"/>
      <c r="AN19" s="857"/>
    </row>
    <row r="20" spans="2:40" ht="59.25" customHeight="1" thickBot="1" x14ac:dyDescent="0.25">
      <c r="B20" s="65" t="s">
        <v>33</v>
      </c>
      <c r="C20" s="219" t="s">
        <v>153</v>
      </c>
      <c r="D20" s="219" t="s">
        <v>151</v>
      </c>
      <c r="E20" s="219" t="s">
        <v>148</v>
      </c>
      <c r="F20" s="67" t="s">
        <v>152</v>
      </c>
      <c r="G20" s="66" t="s">
        <v>34</v>
      </c>
      <c r="H20" s="68" t="s">
        <v>38</v>
      </c>
      <c r="I20" s="146"/>
      <c r="J20" s="65" t="s">
        <v>33</v>
      </c>
      <c r="K20" s="219" t="s">
        <v>154</v>
      </c>
      <c r="L20" s="219" t="s">
        <v>151</v>
      </c>
      <c r="M20" s="219" t="s">
        <v>148</v>
      </c>
      <c r="N20" s="67" t="s">
        <v>152</v>
      </c>
      <c r="O20" s="66" t="s">
        <v>34</v>
      </c>
      <c r="P20" s="68" t="s">
        <v>38</v>
      </c>
      <c r="Q20" s="146"/>
      <c r="R20" s="65" t="s">
        <v>33</v>
      </c>
      <c r="S20" s="219" t="s">
        <v>155</v>
      </c>
      <c r="T20" s="219" t="s">
        <v>151</v>
      </c>
      <c r="U20" s="219" t="s">
        <v>148</v>
      </c>
      <c r="V20" s="67" t="s">
        <v>152</v>
      </c>
      <c r="W20" s="66" t="s">
        <v>34</v>
      </c>
      <c r="X20" s="68" t="s">
        <v>38</v>
      </c>
      <c r="Z20" s="65" t="s">
        <v>33</v>
      </c>
      <c r="AA20" s="219" t="s">
        <v>155</v>
      </c>
      <c r="AB20" s="219" t="s">
        <v>151</v>
      </c>
      <c r="AC20" s="219" t="s">
        <v>148</v>
      </c>
      <c r="AD20" s="67" t="s">
        <v>152</v>
      </c>
      <c r="AE20" s="66" t="s">
        <v>34</v>
      </c>
      <c r="AF20" s="68" t="s">
        <v>38</v>
      </c>
      <c r="AH20" s="65" t="s">
        <v>33</v>
      </c>
      <c r="AI20" s="219" t="s">
        <v>155</v>
      </c>
      <c r="AJ20" s="219" t="s">
        <v>151</v>
      </c>
      <c r="AK20" s="219" t="s">
        <v>148</v>
      </c>
      <c r="AL20" s="67" t="s">
        <v>152</v>
      </c>
      <c r="AM20" s="66" t="s">
        <v>34</v>
      </c>
      <c r="AN20" s="68" t="s">
        <v>38</v>
      </c>
    </row>
    <row r="21" spans="2:40" x14ac:dyDescent="0.2">
      <c r="B21" s="178">
        <f>'4. Customer Growth'!B17</f>
        <v>2005</v>
      </c>
      <c r="C21" s="70">
        <f>IF($B$19='2. Customer Classes'!$B$14,+SUM('3. Consumption by Rate Class'!$D$25:$D$36),+IF($B$19='2. Customer Classes'!$B$15,+SUM('3. Consumption by Rate Class'!$F$25:$F$36),+IF($B$19='2. Customer Classes'!$B$16,+SUM('3. Consumption by Rate Class'!$H$25:$H$36),+IF($B$19='2. Customer Classes'!$B$17,+SUM('3. Consumption by Rate Class'!$J$25:$J$36),+IF($B$19='2. Customer Classes'!$B$18,+SUM('3. Consumption by Rate Class'!$L$25:$L$36),+IF($B$19='2. Customer Classes'!$B$19,+SUM('3. Consumption by Rate Class'!$O$25:$O$36),IF($B$19='2. Customer Classes'!$B$20,+SUM('3. Consumption by Rate Class'!$R$25:$R$36),0)))))))</f>
        <v>76867401</v>
      </c>
      <c r="D21" s="70">
        <f>SUM('6. WS Regression Analysis'!J20:J31)</f>
        <v>209871328.75141218</v>
      </c>
      <c r="E21" s="70">
        <f>SUM('6. WS Regression Analysis'!R20:R31)</f>
        <v>203844303.0754298</v>
      </c>
      <c r="F21" s="71">
        <f>C21/D21</f>
        <v>0.36625965755926426</v>
      </c>
      <c r="G21" s="70">
        <f>E21*F21</f>
        <v>74659944.639813796</v>
      </c>
      <c r="H21" s="70">
        <f>IF($B$19='2. Customer Classes'!$B$14,+G21/'4. Customer Growth'!$C17,+IF($B$19='2. Customer Classes'!$B$15,+G21/'4. Customer Growth'!$E17,+IF($B$19='2. Customer Classes'!$B$16,+G21/'4. Customer Growth'!$G17,+IF($B$19='2. Customer Classes'!$B$17,+G21/'4. Customer Growth'!$I17,+IF($B$19='2. Customer Classes'!$B$18,+G21/'4. Customer Growth'!$K17,+IF($B$19='2. Customer Classes'!$B$19,+G21/'4. Customer Growth'!$M17,IF($B$19='2. Customer Classes'!$B$20,+G21/'4. Customer Growth'!$O17)))))))</f>
        <v>8656.225465485657</v>
      </c>
      <c r="I21" s="82"/>
      <c r="J21" s="178">
        <f>B21</f>
        <v>2005</v>
      </c>
      <c r="K21" s="70">
        <f>IF($J$19='2. Customer Classes'!$B$14,+SUM('3. Consumption by Rate Class'!$D$25:$D$36),+IF($J$19='2. Customer Classes'!$B$15,+SUM('3. Consumption by Rate Class'!$F$25:$F$36),+IF($J$19='2. Customer Classes'!$B$16,+SUM('3. Consumption by Rate Class'!$H$25:$H$36),+IF($J$19='2. Customer Classes'!$B$17,+SUM('3. Consumption by Rate Class'!$J$25:$J$36),+IF($J$19='2. Customer Classes'!$B$18,+SUM('3. Consumption by Rate Class'!$L$25:$L$36),+IF($J$19='2. Customer Classes'!$B$19,+SUM('3. Consumption by Rate Class'!$O$25:$O$36),IF($J$19='2. Customer Classes'!$B$20,+SUM('3. Consumption by Rate Class'!$R$25:$R$36),0)))))))</f>
        <v>43814909</v>
      </c>
      <c r="L21" s="70">
        <f>D21</f>
        <v>209871328.75141218</v>
      </c>
      <c r="M21" s="70">
        <f t="shared" ref="M21:M30" si="0">E21</f>
        <v>203844303.0754298</v>
      </c>
      <c r="N21" s="71">
        <f t="shared" ref="N21:N29" si="1">K21/L21</f>
        <v>0.20877034162154548</v>
      </c>
      <c r="O21" s="70">
        <f>M21*N21</f>
        <v>42556644.790663332</v>
      </c>
      <c r="P21" s="70">
        <f>IF($J$19='2. Customer Classes'!$B$14,+O21/'4. Customer Growth'!$C17,+IF($J$19='2. Customer Classes'!$B$15,+O21/'4. Customer Growth'!$E17,+IF($J$19='2. Customer Classes'!$B$16,+O21/'4. Customer Growth'!$G17,+IF($J$19='2. Customer Classes'!$B$17,+O21/'4. Customer Growth'!$I17,+IF($J$19='2. Customer Classes'!$B$18,+O21/'4. Customer Growth'!$K17,+IF($J$19='2. Customer Classes'!$B$19,+O21/'4. Customer Growth'!$M17,IF($J$19='2. Customer Classes'!$B$20,+O21/'4. Customer Growth'!$O17)))))))</f>
        <v>28446.955073972815</v>
      </c>
      <c r="Q21" s="82"/>
      <c r="R21" s="178">
        <f>B21</f>
        <v>2005</v>
      </c>
      <c r="S21" s="70">
        <f>IF($R$19='2. Customer Classes'!$B$14,+SUM('3. Consumption by Rate Class'!$D$25:$D$36),+IF($R$19='2. Customer Classes'!$B$15,+SUM('3. Consumption by Rate Class'!$F$25:$F$36),+IF($R$19='2. Customer Classes'!$B$16,+SUM('3. Consumption by Rate Class'!$H$25:$H$36),+IF($R$19='2. Customer Classes'!$B$17,+SUM('3. Consumption by Rate Class'!$J$25:$J$36),+IF($R$19='2. Customer Classes'!$B$18,+SUM('3. Consumption by Rate Class'!$L$25:$L$36),+IF($R$19='2. Customer Classes'!$B$19,+SUM('3. Consumption by Rate Class'!$O$25:$O$36),IF($R$19='2. Customer Classes'!$B$20,+SUM('3. Consumption by Rate Class'!$R$25:$R$36),0)))))))</f>
        <v>74429057</v>
      </c>
      <c r="T21" s="70">
        <f t="shared" ref="T21:T30" si="2">L21</f>
        <v>209871328.75141218</v>
      </c>
      <c r="U21" s="70">
        <f t="shared" ref="U21:U30" si="3">M21</f>
        <v>203844303.0754298</v>
      </c>
      <c r="V21" s="71">
        <f>S21/T21</f>
        <v>0.35464137689888803</v>
      </c>
      <c r="W21" s="70">
        <f>U21*V21</f>
        <v>72291624.315664664</v>
      </c>
      <c r="X21" s="70">
        <f>IF($R$19='2. Customer Classes'!$B$14,+W21/'4. Customer Growth'!$C17,+IF($R$19='2. Customer Classes'!$B$15,+W21/'4. Customer Growth'!$E17,+IF($R$19='2. Customer Classes'!$B$16,+W21/'4. Customer Growth'!$G17,+IF($R$19='2. Customer Classes'!$B$17,+W21/'4. Customer Growth'!$I17,+IF($R$19='2. Customer Classes'!$B$18,+W21/'4. Customer Growth'!$K17,+IF($R$19='2. Customer Classes'!$B$19,+W21/'4. Customer Growth'!$M17,IF($R$19='2. Customer Classes'!$B$20,+W21/'4. Customer Growth'!$O17)))))))</f>
        <v>539489.73369899008</v>
      </c>
      <c r="Z21" s="178">
        <f>J21</f>
        <v>2005</v>
      </c>
      <c r="AA21" s="70">
        <f>IF($Z$19='2. Customer Classes'!$B$14,+SUM('3. Consumption by Rate Class'!$D$25:$D$36),+IF($Z$19='2. Customer Classes'!$B$15,+SUM('3. Consumption by Rate Class'!$F$25:$F$36),+IF($Z$19='2. Customer Classes'!$B$16,+SUM('3. Consumption by Rate Class'!$H$25:$H$36),+IF($Z$19='2. Customer Classes'!$B$17,+SUM('3. Consumption by Rate Class'!$J$25:$J$36),+IF($Z$19='2. Customer Classes'!$B$18,+SUM('3. Consumption by Rate Class'!$L$25:$L$36),+IF($Z$19='2. Customer Classes'!$B$19,+SUM('3. Consumption by Rate Class'!$O$25:$O$36),IF($Z$19='2. Customer Classes'!$B$20,+SUM('3. Consumption by Rate Class'!$R$25:$R$36),0)))))))</f>
        <v>0</v>
      </c>
      <c r="AB21" s="70">
        <f t="shared" ref="AB21:AB30" si="4">T21</f>
        <v>209871328.75141218</v>
      </c>
      <c r="AC21" s="70">
        <f t="shared" ref="AC21:AC30" si="5">U21</f>
        <v>203844303.0754298</v>
      </c>
      <c r="AD21" s="71">
        <f t="shared" ref="AD21:AD30" si="6">AA21/AB21</f>
        <v>0</v>
      </c>
      <c r="AE21" s="70">
        <f>AC21*AD21</f>
        <v>0</v>
      </c>
      <c r="AF21" s="70" t="e">
        <f>IF($Z$19='2. Customer Classes'!$B$14,+AE21/'4. Customer Growth'!$C17,+IF($Z$19='2. Customer Classes'!$B$15,+AE21/'4. Customer Growth'!$E17,+IF($Z$19='2. Customer Classes'!$B$16,+AE21/'4. Customer Growth'!$G17,+IF($Z$19='2. Customer Classes'!$B$17,+AE21/'4. Customer Growth'!$I17,+IF($Z$19='2. Customer Classes'!$B$18,+AE21/'4. Customer Growth'!$K17,+IF($Z$19='2. Customer Classes'!$B$19,+AE21/'4. Customer Growth'!$M17,IF($Z$19='2. Customer Classes'!$B$20,+AE21/'4. Customer Growth'!$O17)))))))</f>
        <v>#DIV/0!</v>
      </c>
      <c r="AH21" s="178">
        <f>R21</f>
        <v>2005</v>
      </c>
      <c r="AI21" s="70">
        <f>IF($AH$19='2. Customer Classes'!$B$14,+SUM('3. Consumption by Rate Class'!$D$25:$D$36),+IF($AH$19='2. Customer Classes'!$B$15,+SUM('3. Consumption by Rate Class'!$F$25:$F$36),+IF($AH$19='2. Customer Classes'!$B$16,+SUM('3. Consumption by Rate Class'!$H$25:$H$36),+IF($AH$19='2. Customer Classes'!$B$17,+SUM('3. Consumption by Rate Class'!$J$25:$J$36),+IF($AH$19='2. Customer Classes'!$B$18,+SUM('3. Consumption by Rate Class'!$L$25:$L$36),+IF($AH$19='2. Customer Classes'!$B$19,+SUM('3. Consumption by Rate Class'!$O$25:$O$36),IF($AH$19='2. Customer Classes'!$B$20,+SUM('3. Consumption by Rate Class'!$R$25:$R$36),0)))))))</f>
        <v>0</v>
      </c>
      <c r="AJ21" s="70">
        <f t="shared" ref="AJ21:AJ30" si="7">AB21</f>
        <v>209871328.75141218</v>
      </c>
      <c r="AK21" s="70">
        <f t="shared" ref="AK21:AK30" si="8">AC21</f>
        <v>203844303.0754298</v>
      </c>
      <c r="AL21" s="71">
        <f t="shared" ref="AL21:AL30" si="9">AI21/AJ21</f>
        <v>0</v>
      </c>
      <c r="AM21" s="70">
        <f>AK21*AL21</f>
        <v>0</v>
      </c>
      <c r="AN21" s="70" t="e">
        <f>IF($AH$19='2. Customer Classes'!$B$14,+AM21/'4. Customer Growth'!$C17,+IF($AH$19='2. Customer Classes'!$B$15,+AM21/'4. Customer Growth'!$E17,+IF($AH$19='2. Customer Classes'!$B$16,+AM21/'4. Customer Growth'!$G17,+IF($AH$19='2. Customer Classes'!$B$17,+AM21/'4. Customer Growth'!$I17,+IF($AH$19='2. Customer Classes'!$B$18,+AM21/'4. Customer Growth'!$K17,+IF($AH$19='2. Customer Classes'!$B$19,+AM21/'4. Customer Growth'!$M17,IF($AH$19='2. Customer Classes'!$B$20,+AM21/'4. Customer Growth'!$O17)))))))</f>
        <v>#DIV/0!</v>
      </c>
    </row>
    <row r="22" spans="2:40" x14ac:dyDescent="0.2">
      <c r="B22" s="178">
        <f>'4. Customer Growth'!B18</f>
        <v>2006</v>
      </c>
      <c r="C22" s="70">
        <f>IF($B$19='2. Customer Classes'!$B$14,+SUM('3. Consumption by Rate Class'!$D$37:$D$48),+IF($B$19='2. Customer Classes'!$B$15,+SUM('3. Consumption by Rate Class'!$F$37:$F$48),+IF($B$19='2. Customer Classes'!$B$16,+SUM('3. Consumption by Rate Class'!$H$37:$H$48),+IF($B$19='2. Customer Classes'!$B$17,+SUM('3. Consumption by Rate Class'!$J$37:$J$48),+IF($B$19='2. Customer Classes'!$B$18,+SUM('3. Consumption by Rate Class'!$L$37:$L$48),+IF($B$19='2. Customer Classes'!$B$19,+SUM('3. Consumption by Rate Class'!$O$37:$O$48),IF($B$19='2. Customer Classes'!$B$20,+SUM('3. Consumption by Rate Class'!$R$37:$R$48),0)))))))</f>
        <v>80301785</v>
      </c>
      <c r="D22" s="72">
        <f>SUM('6. WS Regression Analysis'!J32:J43)</f>
        <v>203367791.46020103</v>
      </c>
      <c r="E22" s="72">
        <f>SUM('6. WS Regression Analysis'!R32:R43)</f>
        <v>197556431.56635299</v>
      </c>
      <c r="F22" s="73">
        <f t="shared" ref="F22:F29" si="10">C22/D22</f>
        <v>0.39485989607019467</v>
      </c>
      <c r="G22" s="72">
        <f t="shared" ref="G22:G32" si="11">E22*F22</f>
        <v>78007112.036288664</v>
      </c>
      <c r="H22" s="70">
        <f>IF($B$19='2. Customer Classes'!$B$14,+G22/'4. Customer Growth'!$C18,+IF($B$19='2. Customer Classes'!$B$15,+G22/'4. Customer Growth'!$E18,+IF($B$19='2. Customer Classes'!$B$16,+G22/'4. Customer Growth'!$G18,+IF($B$19='2. Customer Classes'!$B$17,+G22/'4. Customer Growth'!$I18,+IF($B$19='2. Customer Classes'!$B$18,+G22/'4. Customer Growth'!$K18,+IF($B$19='2. Customer Classes'!$B$19,+G22/'4. Customer Growth'!$M18,IF($B$19='2. Customer Classes'!$B$20,+G22/'4. Customer Growth'!$O18)))))))</f>
        <v>8970.4590658105644</v>
      </c>
      <c r="I22" s="82"/>
      <c r="J22" s="178">
        <f t="shared" ref="J22:J32" si="12">B22</f>
        <v>2006</v>
      </c>
      <c r="K22" s="70">
        <f>IF($J$19='2. Customer Classes'!$B$14,+SUM('3. Consumption by Rate Class'!$D$37:$D$48),+IF($J$19='2. Customer Classes'!$B$15,+SUM('3. Consumption by Rate Class'!$F$37:$F$48),+IF($J$19='2. Customer Classes'!$B$16,+SUM('3. Consumption by Rate Class'!$H$37:$H$48),+IF($J$19='2. Customer Classes'!$B$17,+SUM('3. Consumption by Rate Class'!$J$37:$J$48),+IF($J$19='2. Customer Classes'!$B$18,+SUM('3. Consumption by Rate Class'!$L$37:$L$48),+IF($J$19='2. Customer Classes'!$B$19,+SUM('3. Consumption by Rate Class'!$O$37:$O$48),IF($J$19='2. Customer Classes'!$B$20,+SUM('3. Consumption by Rate Class'!$R$37:$R$48),0)))))))</f>
        <v>39580098</v>
      </c>
      <c r="L22" s="72">
        <f t="shared" ref="L22:L30" si="13">D22</f>
        <v>203367791.46020103</v>
      </c>
      <c r="M22" s="72">
        <f t="shared" si="0"/>
        <v>197556431.56635299</v>
      </c>
      <c r="N22" s="73">
        <f t="shared" si="1"/>
        <v>0.19462323761206704</v>
      </c>
      <c r="O22" s="72">
        <f t="shared" ref="O22:O30" si="14">M22*N22</f>
        <v>38449072.322530381</v>
      </c>
      <c r="P22" s="70">
        <f>IF($J$19='2. Customer Classes'!$B$14,+O22/'4. Customer Growth'!$C18,+IF($J$19='2. Customer Classes'!$B$15,+O22/'4. Customer Growth'!$E18,+IF($J$19='2. Customer Classes'!$B$16,+O22/'4. Customer Growth'!$G18,+IF($J$19='2. Customer Classes'!$B$17,+O22/'4. Customer Growth'!$I18,+IF($J$19='2. Customer Classes'!$B$18,+O22/'4. Customer Growth'!$K18,+IF($J$19='2. Customer Classes'!$B$19,+O22/'4. Customer Growth'!$M18,IF($J$19='2. Customer Classes'!$B$20,+O22/'4. Customer Growth'!$O18)))))))</f>
        <v>26534.901533837394</v>
      </c>
      <c r="Q22" s="82"/>
      <c r="R22" s="178">
        <f t="shared" ref="R22:R32" si="15">B22</f>
        <v>2006</v>
      </c>
      <c r="S22" s="70">
        <f>IF($R$19='2. Customer Classes'!$B$14,+SUM('3. Consumption by Rate Class'!$D$37:$D$48),+IF($R$19='2. Customer Classes'!$B$15,+SUM('3. Consumption by Rate Class'!$F$37:$F$48),+IF($R$19='2. Customer Classes'!$B$16,+SUM('3. Consumption by Rate Class'!$H$37:$H$48),+IF($R$19='2. Customer Classes'!$B$17,+SUM('3. Consumption by Rate Class'!$J$37:$J$48),+IF($R$19='2. Customer Classes'!$B$18,+SUM('3. Consumption by Rate Class'!$L$37:$L$48),+IF($R$19='2. Customer Classes'!$B$19,+SUM('3. Consumption by Rate Class'!$O$37:$O$48),IF($R$19='2. Customer Classes'!$B$20,+SUM('3. Consumption by Rate Class'!$R$37:$R$48),0)))))))</f>
        <v>75435895</v>
      </c>
      <c r="T22" s="72">
        <f t="shared" si="2"/>
        <v>203367791.46020103</v>
      </c>
      <c r="U22" s="72">
        <f t="shared" si="3"/>
        <v>197556431.56635299</v>
      </c>
      <c r="V22" s="73">
        <f t="shared" ref="V22:V29" si="16">S22/T22</f>
        <v>0.37093334425457813</v>
      </c>
      <c r="W22" s="72">
        <f t="shared" ref="W22:W30" si="17">U22*V22</f>
        <v>73280267.839908019</v>
      </c>
      <c r="X22" s="70">
        <f>IF($R$19='2. Customer Classes'!$B$14,+W22/'4. Customer Growth'!$C18,+IF($R$19='2. Customer Classes'!$B$15,+W22/'4. Customer Growth'!$E18,+IF($R$19='2. Customer Classes'!$B$16,+W22/'4. Customer Growth'!$G18,+IF($R$19='2. Customer Classes'!$B$17,+W22/'4. Customer Growth'!$I18,+IF($R$19='2. Customer Classes'!$B$18,+W22/'4. Customer Growth'!$K18,+IF($R$19='2. Customer Classes'!$B$19,+W22/'4. Customer Growth'!$M18,IF($R$19='2. Customer Classes'!$B$20,+W22/'4. Customer Growth'!$O18)))))))</f>
        <v>538825.49882285309</v>
      </c>
      <c r="Z22" s="178">
        <f t="shared" ref="Z22:Z32" si="18">J22</f>
        <v>2006</v>
      </c>
      <c r="AA22" s="70">
        <f>IF($Z$19='2. Customer Classes'!$B$14,+SUM('3. Consumption by Rate Class'!$D$37:$D$48),+IF($Z$19='2. Customer Classes'!$B$15,+SUM('3. Consumption by Rate Class'!$F$37:$F$48),+IF($Z$19='2. Customer Classes'!$B$16,+SUM('3. Consumption by Rate Class'!$H$37:$H$48),+IF($Z$19='2. Customer Classes'!$B$17,+SUM('3. Consumption by Rate Class'!$J$37:$J$48),+IF($Z$19='2. Customer Classes'!$B$18,+SUM('3. Consumption by Rate Class'!$L$37:$L$48),+IF($Z$19='2. Customer Classes'!$B$19,+SUM('3. Consumption by Rate Class'!$O$37:$O$48),IF($Z$19='2. Customer Classes'!$B$20,+SUM('3. Consumption by Rate Class'!$R$37:$R$48),0)))))))</f>
        <v>0</v>
      </c>
      <c r="AB22" s="225">
        <f t="shared" si="4"/>
        <v>203367791.46020103</v>
      </c>
      <c r="AC22" s="225">
        <f t="shared" si="5"/>
        <v>197556431.56635299</v>
      </c>
      <c r="AD22" s="73">
        <f t="shared" si="6"/>
        <v>0</v>
      </c>
      <c r="AE22" s="225">
        <f t="shared" ref="AE22:AE30" si="19">AC22*AD22</f>
        <v>0</v>
      </c>
      <c r="AF22" s="70" t="e">
        <f>IF($Z$19='2. Customer Classes'!$B$14,+AE22/'4. Customer Growth'!$C18,+IF($Z$19='2. Customer Classes'!$B$15,+AE22/'4. Customer Growth'!$E18,+IF($Z$19='2. Customer Classes'!$B$16,+AE22/'4. Customer Growth'!$G18,+IF($Z$19='2. Customer Classes'!$B$17,+AE22/'4. Customer Growth'!$I18,+IF($Z$19='2. Customer Classes'!$B$18,+AE22/'4. Customer Growth'!$K18,+IF($Z$19='2. Customer Classes'!$B$19,+AE22/'4. Customer Growth'!$M18,IF($Z$19='2. Customer Classes'!$B$20,+AE22/'4. Customer Growth'!$O18)))))))</f>
        <v>#DIV/0!</v>
      </c>
      <c r="AH22" s="178">
        <f t="shared" ref="AH22:AH32" si="20">R22</f>
        <v>2006</v>
      </c>
      <c r="AI22" s="70">
        <f>IF($AH$19='2. Customer Classes'!$B$14,+SUM('3. Consumption by Rate Class'!$D$37:$D$48),+IF($AH$19='2. Customer Classes'!$B$15,+SUM('3. Consumption by Rate Class'!$F$37:$F$48),+IF($AH$19='2. Customer Classes'!$B$16,+SUM('3. Consumption by Rate Class'!$H$37:$H$48),+IF($AH$19='2. Customer Classes'!$B$17,+SUM('3. Consumption by Rate Class'!$J$37:$J$48),+IF($AH$19='2. Customer Classes'!$B$18,+SUM('3. Consumption by Rate Class'!$L$37:$L$48),+IF($AH$19='2. Customer Classes'!$B$19,+SUM('3. Consumption by Rate Class'!$O$37:$O$48),IF($AH$19='2. Customer Classes'!$B$20,+SUM('3. Consumption by Rate Class'!$R$37:$R$48),0)))))))</f>
        <v>0</v>
      </c>
      <c r="AJ22" s="225">
        <f t="shared" si="7"/>
        <v>203367791.46020103</v>
      </c>
      <c r="AK22" s="225">
        <f t="shared" si="8"/>
        <v>197556431.56635299</v>
      </c>
      <c r="AL22" s="73">
        <f t="shared" si="9"/>
        <v>0</v>
      </c>
      <c r="AM22" s="225">
        <f t="shared" ref="AM22:AM30" si="21">AK22*AL22</f>
        <v>0</v>
      </c>
      <c r="AN22" s="70" t="e">
        <f>IF($AH$19='2. Customer Classes'!$B$14,+AM22/'4. Customer Growth'!$C18,+IF($AH$19='2. Customer Classes'!$B$15,+AM22/'4. Customer Growth'!$E18,+IF($AH$19='2. Customer Classes'!$B$16,+AM22/'4. Customer Growth'!$G18,+IF($AH$19='2. Customer Classes'!$B$17,+AM22/'4. Customer Growth'!$I18,+IF($AH$19='2. Customer Classes'!$B$18,+AM22/'4. Customer Growth'!$K18,+IF($AH$19='2. Customer Classes'!$B$19,+AM22/'4. Customer Growth'!$M18,IF($AH$19='2. Customer Classes'!$B$20,+AM22/'4. Customer Growth'!$O18)))))))</f>
        <v>#DIV/0!</v>
      </c>
    </row>
    <row r="23" spans="2:40" x14ac:dyDescent="0.2">
      <c r="B23" s="178">
        <f>'4. Customer Growth'!B19</f>
        <v>2007</v>
      </c>
      <c r="C23" s="70">
        <f>IF($B$19='2. Customer Classes'!$B$14,+SUM('3. Consumption by Rate Class'!$D$49:$D$60),+IF($B$19='2. Customer Classes'!$B$15,+SUM('3. Consumption by Rate Class'!$F$49:$F$60),+IF($B$19='2. Customer Classes'!$B$16,+SUM('3. Consumption by Rate Class'!$H$49:$H$60),+IF($B$19='2. Customer Classes'!$B$17,+SUM('3. Consumption by Rate Class'!$J$49:$J$60),+IF($B$19='2. Customer Classes'!$B$18,+SUM('3. Consumption by Rate Class'!$L$49:$L$60),+IF($B$19='2. Customer Classes'!$B$19,+SUM('3. Consumption by Rate Class'!$O$49:$O$60),IF($B$19='2. Customer Classes'!$B$20,+SUM('3. Consumption by Rate Class'!$R$49:$R$60),0)))))))</f>
        <v>78894594</v>
      </c>
      <c r="D23" s="72">
        <f>SUM('6. WS Regression Analysis'!J44:J55)</f>
        <v>205302856.46000004</v>
      </c>
      <c r="E23" s="72">
        <f>SUM('6. WS Regression Analysis'!R44:R55)</f>
        <v>200186936.8660098</v>
      </c>
      <c r="F23" s="73">
        <f t="shared" si="10"/>
        <v>0.38428395668898713</v>
      </c>
      <c r="G23" s="72">
        <f t="shared" si="11"/>
        <v>76928628.176318705</v>
      </c>
      <c r="H23" s="70">
        <f>IF($B$19='2. Customer Classes'!$B$14,+G23/'4. Customer Growth'!$C19,+IF($B$19='2. Customer Classes'!$B$15,+G23/'4. Customer Growth'!$E19,+IF($B$19='2. Customer Classes'!$B$16,+G23/'4. Customer Growth'!$G19,+IF($B$19='2. Customer Classes'!$B$17,+G23/'4. Customer Growth'!$I19,+IF($B$19='2. Customer Classes'!$B$18,+G23/'4. Customer Growth'!$K19,+IF($B$19='2. Customer Classes'!$B$19,+G23/'4. Customer Growth'!$M19,IF($B$19='2. Customer Classes'!$B$20,+G23/'4. Customer Growth'!$O19)))))))</f>
        <v>8732.9581310385638</v>
      </c>
      <c r="I23" s="82"/>
      <c r="J23" s="178">
        <f t="shared" si="12"/>
        <v>2007</v>
      </c>
      <c r="K23" s="70">
        <f>IF($J$19='2. Customer Classes'!$B$14,+SUM('3. Consumption by Rate Class'!$D$49:$D$60),+IF($J$19='2. Customer Classes'!$B$15,+SUM('3. Consumption by Rate Class'!$F$49:$F$60),+IF($J$19='2. Customer Classes'!$B$16,+SUM('3. Consumption by Rate Class'!$H$49:$H$60),+IF($J$19='2. Customer Classes'!$B$17,+SUM('3. Consumption by Rate Class'!$J$49:$J$60),+IF($J$19='2. Customer Classes'!$B$18,+SUM('3. Consumption by Rate Class'!$L$49:$L$60),+IF($J$19='2. Customer Classes'!$B$19,+SUM('3. Consumption by Rate Class'!$O$49:$O$60),IF($J$19='2. Customer Classes'!$B$20,+SUM('3. Consumption by Rate Class'!$R$49:$R$60),0)))))))</f>
        <v>35721757</v>
      </c>
      <c r="L23" s="72">
        <f t="shared" si="13"/>
        <v>205302856.46000004</v>
      </c>
      <c r="M23" s="72">
        <f t="shared" si="0"/>
        <v>200186936.8660098</v>
      </c>
      <c r="N23" s="73">
        <f t="shared" si="1"/>
        <v>0.17399542128124171</v>
      </c>
      <c r="O23" s="72">
        <f t="shared" si="14"/>
        <v>34831610.415002711</v>
      </c>
      <c r="P23" s="70">
        <f>IF($J$19='2. Customer Classes'!$B$14,+O23/'4. Customer Growth'!$C19,+IF($J$19='2. Customer Classes'!$B$15,+O23/'4. Customer Growth'!$E19,+IF($J$19='2. Customer Classes'!$B$16,+O23/'4. Customer Growth'!$G19,+IF($J$19='2. Customer Classes'!$B$17,+O23/'4. Customer Growth'!$I19,+IF($J$19='2. Customer Classes'!$B$18,+O23/'4. Customer Growth'!$K19,+IF($J$19='2. Customer Classes'!$B$19,+O23/'4. Customer Growth'!$M19,IF($J$19='2. Customer Classes'!$B$20,+O23/'4. Customer Growth'!$O19)))))))</f>
        <v>24155.06963592421</v>
      </c>
      <c r="Q23" s="82"/>
      <c r="R23" s="178">
        <f t="shared" si="15"/>
        <v>2007</v>
      </c>
      <c r="S23" s="70">
        <f>IF($R$19='2. Customer Classes'!$B$14,+SUM('3. Consumption by Rate Class'!$D$49:$D$60),+IF($R$19='2. Customer Classes'!$B$15,+SUM('3. Consumption by Rate Class'!$F$49:$F$60),+IF($R$19='2. Customer Classes'!$B$16,+SUM('3. Consumption by Rate Class'!$H$49:$H$60),+IF($R$19='2. Customer Classes'!$B$17,+SUM('3. Consumption by Rate Class'!$J$49:$J$60),+IF($R$19='2. Customer Classes'!$B$18,+SUM('3. Consumption by Rate Class'!$L$49:$L$60),+IF($R$19='2. Customer Classes'!$B$19,+SUM('3. Consumption by Rate Class'!$O$49:$O$60),IF($R$19='2. Customer Classes'!$B$20,+SUM('3. Consumption by Rate Class'!$R$49:$R$60),0)))))))</f>
        <v>78527667</v>
      </c>
      <c r="T23" s="72">
        <f t="shared" si="2"/>
        <v>205302856.46000004</v>
      </c>
      <c r="U23" s="72">
        <f t="shared" si="3"/>
        <v>200186936.8660098</v>
      </c>
      <c r="V23" s="73">
        <f t="shared" si="16"/>
        <v>0.38249670927155294</v>
      </c>
      <c r="W23" s="72">
        <f t="shared" si="17"/>
        <v>76570844.590400875</v>
      </c>
      <c r="X23" s="70">
        <f>IF($R$19='2. Customer Classes'!$B$14,+W23/'4. Customer Growth'!$C19,+IF($R$19='2. Customer Classes'!$B$15,+W23/'4. Customer Growth'!$E19,+IF($R$19='2. Customer Classes'!$B$16,+W23/'4. Customer Growth'!$G19,+IF($R$19='2. Customer Classes'!$B$17,+W23/'4. Customer Growth'!$I19,+IF($R$19='2. Customer Classes'!$B$18,+W23/'4. Customer Growth'!$K19,+IF($R$19='2. Customer Classes'!$B$19,+W23/'4. Customer Growth'!$M19,IF($R$19='2. Customer Classes'!$B$20,+W23/'4. Customer Growth'!$O19)))))))</f>
        <v>563020.91610588878</v>
      </c>
      <c r="Z23" s="178">
        <f t="shared" si="18"/>
        <v>2007</v>
      </c>
      <c r="AA23" s="70">
        <f>IF($Z$19='2. Customer Classes'!$B$14,+SUM('3. Consumption by Rate Class'!$D$49:$D$60),+IF($Z$19='2. Customer Classes'!$B$15,+SUM('3. Consumption by Rate Class'!$F$49:$F$60),+IF($Z$19='2. Customer Classes'!$B$16,+SUM('3. Consumption by Rate Class'!$H$49:$H$60),+IF($Z$19='2. Customer Classes'!$B$17,+SUM('3. Consumption by Rate Class'!$J$49:$J$60),+IF($Z$19='2. Customer Classes'!$B$18,+SUM('3. Consumption by Rate Class'!$L$49:$L$60),+IF($Z$19='2. Customer Classes'!$B$19,+SUM('3. Consumption by Rate Class'!$O$49:$O$60),IF($Z$19='2. Customer Classes'!$B$20,+SUM('3. Consumption by Rate Class'!$R$49:$R$60),0)))))))</f>
        <v>0</v>
      </c>
      <c r="AB23" s="225">
        <f t="shared" si="4"/>
        <v>205302856.46000004</v>
      </c>
      <c r="AC23" s="225">
        <f t="shared" si="5"/>
        <v>200186936.8660098</v>
      </c>
      <c r="AD23" s="73">
        <f t="shared" si="6"/>
        <v>0</v>
      </c>
      <c r="AE23" s="225">
        <f t="shared" si="19"/>
        <v>0</v>
      </c>
      <c r="AF23" s="70" t="e">
        <f>IF($Z$19='2. Customer Classes'!$B$14,+AE23/'4. Customer Growth'!$C19,+IF($Z$19='2. Customer Classes'!$B$15,+AE23/'4. Customer Growth'!$E19,+IF($Z$19='2. Customer Classes'!$B$16,+AE23/'4. Customer Growth'!$G19,+IF($Z$19='2. Customer Classes'!$B$17,+AE23/'4. Customer Growth'!$I19,+IF($Z$19='2. Customer Classes'!$B$18,+AE23/'4. Customer Growth'!$K19,+IF($Z$19='2. Customer Classes'!$B$19,+AE23/'4. Customer Growth'!$M19,IF($Z$19='2. Customer Classes'!$B$20,+AE23/'4. Customer Growth'!$O19)))))))</f>
        <v>#DIV/0!</v>
      </c>
      <c r="AH23" s="178">
        <f t="shared" si="20"/>
        <v>2007</v>
      </c>
      <c r="AI23" s="70">
        <f>IF($AH$19='2. Customer Classes'!$B$14,+SUM('3. Consumption by Rate Class'!$D$49:$D$60),+IF($AH$19='2. Customer Classes'!$B$15,+SUM('3. Consumption by Rate Class'!$F$49:$F$60),+IF($AH$19='2. Customer Classes'!$B$16,+SUM('3. Consumption by Rate Class'!$H$49:$H$60),+IF($AH$19='2. Customer Classes'!$B$17,+SUM('3. Consumption by Rate Class'!$J$49:$J$60),+IF($AH$19='2. Customer Classes'!$B$18,+SUM('3. Consumption by Rate Class'!$L$49:$L$60),+IF($AH$19='2. Customer Classes'!$B$19,+SUM('3. Consumption by Rate Class'!$O$49:$O$60),IF($AH$19='2. Customer Classes'!$B$20,+SUM('3. Consumption by Rate Class'!$R$49:$R$60),0)))))))</f>
        <v>0</v>
      </c>
      <c r="AJ23" s="225">
        <f t="shared" si="7"/>
        <v>205302856.46000004</v>
      </c>
      <c r="AK23" s="225">
        <f t="shared" si="8"/>
        <v>200186936.8660098</v>
      </c>
      <c r="AL23" s="73">
        <f t="shared" si="9"/>
        <v>0</v>
      </c>
      <c r="AM23" s="225">
        <f t="shared" si="21"/>
        <v>0</v>
      </c>
      <c r="AN23" s="70" t="e">
        <f>IF($AH$19='2. Customer Classes'!$B$14,+AM23/'4. Customer Growth'!$C19,+IF($AH$19='2. Customer Classes'!$B$15,+AM23/'4. Customer Growth'!$E19,+IF($AH$19='2. Customer Classes'!$B$16,+AM23/'4. Customer Growth'!$G19,+IF($AH$19='2. Customer Classes'!$B$17,+AM23/'4. Customer Growth'!$I19,+IF($AH$19='2. Customer Classes'!$B$18,+AM23/'4. Customer Growth'!$K19,+IF($AH$19='2. Customer Classes'!$B$19,+AM23/'4. Customer Growth'!$M19,IF($AH$19='2. Customer Classes'!$B$20,+AM23/'4. Customer Growth'!$O19)))))))</f>
        <v>#DIV/0!</v>
      </c>
    </row>
    <row r="24" spans="2:40" x14ac:dyDescent="0.2">
      <c r="B24" s="178">
        <f>'4. Customer Growth'!B20</f>
        <v>2008</v>
      </c>
      <c r="C24" s="70">
        <f>IF($B$19='2. Customer Classes'!$B$14,+SUM('3. Consumption by Rate Class'!$D$61:$D$72),+IF($B$19='2. Customer Classes'!$B$15,+SUM('3. Consumption by Rate Class'!$F$61:$F$72),+IF($B$19='2. Customer Classes'!$B$16,+SUM('3. Consumption by Rate Class'!$H$61:$H$72),+IF($B$19='2. Customer Classes'!$B$17,+SUM('3. Consumption by Rate Class'!$J$61:$J$72),+IF($B$19='2. Customer Classes'!$B$18,+SUM('3. Consumption by Rate Class'!$L$61:$L$72),+IF($B$19='2. Customer Classes'!$B$19,+SUM('3. Consumption by Rate Class'!$O$61:$O$72),IF($B$19='2. Customer Classes'!$B$20,+SUM('3. Consumption by Rate Class'!$R$61:$R$72),0)))))))</f>
        <v>78894594</v>
      </c>
      <c r="D24" s="72">
        <f>SUM('6. WS Regression Analysis'!J56:J67)</f>
        <v>194146899.85907778</v>
      </c>
      <c r="E24" s="72">
        <f>SUM('6. WS Regression Analysis'!R56:R67)</f>
        <v>199277158.67089084</v>
      </c>
      <c r="F24" s="73">
        <f t="shared" si="10"/>
        <v>0.40636545861543977</v>
      </c>
      <c r="G24" s="72">
        <f t="shared" si="11"/>
        <v>80979353.974878311</v>
      </c>
      <c r="H24" s="70">
        <f>IF($B$19='2. Customer Classes'!$B$14,+G24/'4. Customer Growth'!$C20,+IF($B$19='2. Customer Classes'!$B$15,+G24/'4. Customer Growth'!$E20,+IF($B$19='2. Customer Classes'!$B$16,+G24/'4. Customer Growth'!$G20,+IF($B$19='2. Customer Classes'!$B$17,+G24/'4. Customer Growth'!$I20,+IF($B$19='2. Customer Classes'!$B$18,+G24/'4. Customer Growth'!$K20,+IF($B$19='2. Customer Classes'!$B$19,+G24/'4. Customer Growth'!$M20,IF($B$19='2. Customer Classes'!$B$20,+G24/'4. Customer Growth'!$O20)))))))</f>
        <v>9192.7975905185958</v>
      </c>
      <c r="I24" s="82"/>
      <c r="J24" s="178">
        <f t="shared" si="12"/>
        <v>2008</v>
      </c>
      <c r="K24" s="70">
        <f>IF($J$19='2. Customer Classes'!$B$14,+SUM('3. Consumption by Rate Class'!$D$61:$D$72),+IF($J$19='2. Customer Classes'!$B$15,+SUM('3. Consumption by Rate Class'!$F$61:$F$72),+IF($J$19='2. Customer Classes'!$B$16,+SUM('3. Consumption by Rate Class'!$H$61:$H$72),+IF($J$19='2. Customer Classes'!$B$17,+SUM('3. Consumption by Rate Class'!$J$61:$J$72),+IF($J$19='2. Customer Classes'!$B$18,+SUM('3. Consumption by Rate Class'!$L$61:$L$72),+IF($J$19='2. Customer Classes'!$B$19,+SUM('3. Consumption by Rate Class'!$O$61:$O$72),IF($J$19='2. Customer Classes'!$B$20,+SUM('3. Consumption by Rate Class'!$R$61:$R$72),0)))))))</f>
        <v>35801702</v>
      </c>
      <c r="L24" s="72">
        <f t="shared" si="13"/>
        <v>194146899.85907778</v>
      </c>
      <c r="M24" s="72">
        <f t="shared" si="0"/>
        <v>199277158.67089084</v>
      </c>
      <c r="N24" s="73">
        <f t="shared" si="1"/>
        <v>0.18440522112888125</v>
      </c>
      <c r="O24" s="72">
        <f t="shared" si="14"/>
        <v>36747748.510640778</v>
      </c>
      <c r="P24" s="70">
        <f>IF($J$19='2. Customer Classes'!$B$14,+O24/'4. Customer Growth'!$C20,+IF($J$19='2. Customer Classes'!$B$15,+O24/'4. Customer Growth'!$E20,+IF($J$19='2. Customer Classes'!$B$16,+O24/'4. Customer Growth'!$G20,+IF($J$19='2. Customer Classes'!$B$17,+O24/'4. Customer Growth'!$I20,+IF($J$19='2. Customer Classes'!$B$18,+O24/'4. Customer Growth'!$K20,+IF($J$19='2. Customer Classes'!$B$19,+O24/'4. Customer Growth'!$M20,IF($J$19='2. Customer Classes'!$B$20,+O24/'4. Customer Growth'!$O20)))))))</f>
        <v>26080.729957871383</v>
      </c>
      <c r="Q24" s="82"/>
      <c r="R24" s="178">
        <f t="shared" si="15"/>
        <v>2008</v>
      </c>
      <c r="S24" s="70">
        <f>IF($R$19='2. Customer Classes'!$B$14,+SUM('3. Consumption by Rate Class'!$D$61:$D$72),+IF($R$19='2. Customer Classes'!$B$15,+SUM('3. Consumption by Rate Class'!$F$61:$F$72),+IF($R$19='2. Customer Classes'!$B$16,+SUM('3. Consumption by Rate Class'!$H$61:$H$72),+IF($R$19='2. Customer Classes'!$B$17,+SUM('3. Consumption by Rate Class'!$J$61:$J$72),+IF($R$19='2. Customer Classes'!$B$18,+SUM('3. Consumption by Rate Class'!$L$61:$L$72),+IF($R$19='2. Customer Classes'!$B$19,+SUM('3. Consumption by Rate Class'!$O$61:$O$72),IF($R$19='2. Customer Classes'!$B$20,+SUM('3. Consumption by Rate Class'!$R$61:$R$72),0)))))))</f>
        <v>78693630</v>
      </c>
      <c r="T24" s="72">
        <f t="shared" si="2"/>
        <v>194146899.85907778</v>
      </c>
      <c r="U24" s="72">
        <f t="shared" si="3"/>
        <v>199277158.67089084</v>
      </c>
      <c r="V24" s="73">
        <f t="shared" si="16"/>
        <v>0.40533034551218716</v>
      </c>
      <c r="W24" s="72">
        <f t="shared" si="17"/>
        <v>80773079.57675913</v>
      </c>
      <c r="X24" s="70">
        <f>IF($R$19='2. Customer Classes'!$B$14,+W24/'4. Customer Growth'!$C20,+IF($R$19='2. Customer Classes'!$B$15,+W24/'4. Customer Growth'!$E20,+IF($R$19='2. Customer Classes'!$B$16,+W24/'4. Customer Growth'!$G20,+IF($R$19='2. Customer Classes'!$B$17,+W24/'4. Customer Growth'!$I20,+IF($R$19='2. Customer Classes'!$B$18,+W24/'4. Customer Growth'!$K20,+IF($R$19='2. Customer Classes'!$B$19,+W24/'4. Customer Growth'!$M20,IF($R$19='2. Customer Classes'!$B$20,+W24/'4. Customer Growth'!$O20)))))))</f>
        <v>564846.71032698697</v>
      </c>
      <c r="Z24" s="178">
        <f t="shared" si="18"/>
        <v>2008</v>
      </c>
      <c r="AA24" s="70">
        <f>IF($Z$19='2. Customer Classes'!$B$14,+SUM('3. Consumption by Rate Class'!$D$61:$D$72),+IF($Z$19='2. Customer Classes'!$B$15,+SUM('3. Consumption by Rate Class'!$F$61:$F$72),+IF($Z$19='2. Customer Classes'!$B$16,+SUM('3. Consumption by Rate Class'!$H$61:$H$72),+IF($Z$19='2. Customer Classes'!$B$17,+SUM('3. Consumption by Rate Class'!$J$61:$J$72),+IF($Z$19='2. Customer Classes'!$B$18,+SUM('3. Consumption by Rate Class'!$L$61:$L$72),+IF($Z$19='2. Customer Classes'!$B$19,+SUM('3. Consumption by Rate Class'!$O$61:$O$72),IF($Z$19='2. Customer Classes'!$B$20,+SUM('3. Consumption by Rate Class'!$R$61:$R$72),0)))))))</f>
        <v>0</v>
      </c>
      <c r="AB24" s="225">
        <f t="shared" si="4"/>
        <v>194146899.85907778</v>
      </c>
      <c r="AC24" s="225">
        <f t="shared" si="5"/>
        <v>199277158.67089084</v>
      </c>
      <c r="AD24" s="73">
        <f t="shared" si="6"/>
        <v>0</v>
      </c>
      <c r="AE24" s="225">
        <f t="shared" si="19"/>
        <v>0</v>
      </c>
      <c r="AF24" s="70" t="e">
        <f>IF($Z$19='2. Customer Classes'!$B$14,+AE24/'4. Customer Growth'!$C20,+IF($Z$19='2. Customer Classes'!$B$15,+AE24/'4. Customer Growth'!$E20,+IF($Z$19='2. Customer Classes'!$B$16,+AE24/'4. Customer Growth'!$G20,+IF($Z$19='2. Customer Classes'!$B$17,+AE24/'4. Customer Growth'!$I20,+IF($Z$19='2. Customer Classes'!$B$18,+AE24/'4. Customer Growth'!$K20,+IF($Z$19='2. Customer Classes'!$B$19,+AE24/'4. Customer Growth'!$M20,IF($Z$19='2. Customer Classes'!$B$20,+AE24/'4. Customer Growth'!$O20)))))))</f>
        <v>#DIV/0!</v>
      </c>
      <c r="AH24" s="178">
        <f t="shared" si="20"/>
        <v>2008</v>
      </c>
      <c r="AI24" s="70">
        <f>IF($AH$19='2. Customer Classes'!$B$14,+SUM('3. Consumption by Rate Class'!$D$61:$D$72),+IF($AH$19='2. Customer Classes'!$B$15,+SUM('3. Consumption by Rate Class'!$F$61:$F$72),+IF($AH$19='2. Customer Classes'!$B$16,+SUM('3. Consumption by Rate Class'!$H$61:$H$72),+IF($AH$19='2. Customer Classes'!$B$17,+SUM('3. Consumption by Rate Class'!$J$61:$J$72),+IF($AH$19='2. Customer Classes'!$B$18,+SUM('3. Consumption by Rate Class'!$L$61:$L$72),+IF($AH$19='2. Customer Classes'!$B$19,+SUM('3. Consumption by Rate Class'!$O$61:$O$72),IF($AH$19='2. Customer Classes'!$B$20,+SUM('3. Consumption by Rate Class'!$R$61:$R$72),0)))))))</f>
        <v>0</v>
      </c>
      <c r="AJ24" s="225">
        <f t="shared" si="7"/>
        <v>194146899.85907778</v>
      </c>
      <c r="AK24" s="225">
        <f t="shared" si="8"/>
        <v>199277158.67089084</v>
      </c>
      <c r="AL24" s="73">
        <f t="shared" si="9"/>
        <v>0</v>
      </c>
      <c r="AM24" s="225">
        <f t="shared" si="21"/>
        <v>0</v>
      </c>
      <c r="AN24" s="70" t="e">
        <f>IF($AH$19='2. Customer Classes'!$B$14,+AM24/'4. Customer Growth'!$C20,+IF($AH$19='2. Customer Classes'!$B$15,+AM24/'4. Customer Growth'!$E20,+IF($AH$19='2. Customer Classes'!$B$16,+AM24/'4. Customer Growth'!$G20,+IF($AH$19='2. Customer Classes'!$B$17,+AM24/'4. Customer Growth'!$I20,+IF($AH$19='2. Customer Classes'!$B$18,+AM24/'4. Customer Growth'!$K20,+IF($AH$19='2. Customer Classes'!$B$19,+AM24/'4. Customer Growth'!$M20,IF($AH$19='2. Customer Classes'!$B$20,+AM24/'4. Customer Growth'!$O20)))))))</f>
        <v>#DIV/0!</v>
      </c>
    </row>
    <row r="25" spans="2:40" x14ac:dyDescent="0.2">
      <c r="B25" s="178">
        <f>'4. Customer Growth'!B21</f>
        <v>2009</v>
      </c>
      <c r="C25" s="70">
        <f>IF($B$19='2. Customer Classes'!$B$14,+SUM('3. Consumption by Rate Class'!$D$73:$D$84),+IF($B$19='2. Customer Classes'!$B$15,+SUM('3. Consumption by Rate Class'!$F$73:$F$84),+IF($B$19='2. Customer Classes'!$B$16,+SUM('3. Consumption by Rate Class'!$H$73:$H$84),+IF($B$19='2. Customer Classes'!$B$17,+SUM('3. Consumption by Rate Class'!$J$73:$J$84),+IF($B$19='2. Customer Classes'!$B$18,+SUM('3. Consumption by Rate Class'!$L$73:$L$84),+IF($B$19='2. Customer Classes'!$B$19,+SUM('3. Consumption by Rate Class'!$O$73:$O$84),IF($B$19='2. Customer Classes'!$B$20,+SUM('3. Consumption by Rate Class'!$R$73:$R$84),0)))))))</f>
        <v>76058961.349999994</v>
      </c>
      <c r="D25" s="72">
        <f>SUM('6. WS Regression Analysis'!J68:J79)</f>
        <v>201115656.45999998</v>
      </c>
      <c r="E25" s="72">
        <f>SUM('6. WS Regression Analysis'!R68:R79)</f>
        <v>198683586.06453371</v>
      </c>
      <c r="F25" s="73">
        <f>C25/D25</f>
        <v>0.37818518303734056</v>
      </c>
      <c r="G25" s="72">
        <f t="shared" si="11"/>
        <v>75139188.362330884</v>
      </c>
      <c r="H25" s="70">
        <f>IF($B$19='2. Customer Classes'!$B$14,+G25/'4. Customer Growth'!$C21,+IF($B$19='2. Customer Classes'!$B$15,+G25/'4. Customer Growth'!$E21,+IF($B$19='2. Customer Classes'!$B$16,+G25/'4. Customer Growth'!$G21,+IF($B$19='2. Customer Classes'!$B$17,+G25/'4. Customer Growth'!$I21,+IF($B$19='2. Customer Classes'!$B$18,+G25/'4. Customer Growth'!$K21,+IF($B$19='2. Customer Classes'!$B$19,+G25/'4. Customer Growth'!$M21,IF($B$19='2. Customer Classes'!$B$20,+G25/'4. Customer Growth'!$O21)))))))</f>
        <v>8403.8908804754374</v>
      </c>
      <c r="I25" s="82"/>
      <c r="J25" s="178">
        <f t="shared" si="12"/>
        <v>2009</v>
      </c>
      <c r="K25" s="70">
        <f>IF($J$19='2. Customer Classes'!$B$14,+SUM('3. Consumption by Rate Class'!$D$73:$D$84),+IF($J$19='2. Customer Classes'!$B$15,+SUM('3. Consumption by Rate Class'!$F$73:$F$84),+IF($J$19='2. Customer Classes'!$B$16,+SUM('3. Consumption by Rate Class'!$H$73:$H$84),+IF($J$19='2. Customer Classes'!$B$17,+SUM('3. Consumption by Rate Class'!$J$73:$J$84),+IF($J$19='2. Customer Classes'!$B$18,+SUM('3. Consumption by Rate Class'!$L$73:$L$84),+IF($J$19='2. Customer Classes'!$B$19,+SUM('3. Consumption by Rate Class'!$O$73:$O$84),IF($J$19='2. Customer Classes'!$B$20,+SUM('3. Consumption by Rate Class'!$R$73:$R$84),0)))))))</f>
        <v>34198078.359999999</v>
      </c>
      <c r="L25" s="72">
        <f t="shared" si="13"/>
        <v>201115656.45999998</v>
      </c>
      <c r="M25" s="72">
        <f t="shared" si="0"/>
        <v>198683586.06453371</v>
      </c>
      <c r="N25" s="73">
        <f t="shared" si="1"/>
        <v>0.17004185035590044</v>
      </c>
      <c r="O25" s="72">
        <f t="shared" si="14"/>
        <v>33784524.609759107</v>
      </c>
      <c r="P25" s="70">
        <f>IF($J$19='2. Customer Classes'!$B$14,+O25/'4. Customer Growth'!$C21,+IF($J$19='2. Customer Classes'!$B$15,+O25/'4. Customer Growth'!$E21,+IF($J$19='2. Customer Classes'!$B$16,+O25/'4. Customer Growth'!$G21,+IF($J$19='2. Customer Classes'!$B$17,+O25/'4. Customer Growth'!$I21,+IF($J$19='2. Customer Classes'!$B$18,+O25/'4. Customer Growth'!$K21,+IF($J$19='2. Customer Classes'!$B$19,+O25/'4. Customer Growth'!$M21,IF($J$19='2. Customer Classes'!$B$20,+O25/'4. Customer Growth'!$O21)))))))</f>
        <v>24235.670451764065</v>
      </c>
      <c r="Q25" s="82"/>
      <c r="R25" s="178">
        <f t="shared" si="15"/>
        <v>2009</v>
      </c>
      <c r="S25" s="70">
        <f>IF($R$19='2. Customer Classes'!$B$14,+SUM('3. Consumption by Rate Class'!$D$73:$D$84),+IF($R$19='2. Customer Classes'!$B$15,+SUM('3. Consumption by Rate Class'!$F$73:$F$84),+IF($R$19='2. Customer Classes'!$B$16,+SUM('3. Consumption by Rate Class'!$H$73:$H$84),+IF($R$19='2. Customer Classes'!$B$17,+SUM('3. Consumption by Rate Class'!$J$73:$J$84),+IF($R$19='2. Customer Classes'!$B$18,+SUM('3. Consumption by Rate Class'!$L$73:$L$84),+IF($R$19='2. Customer Classes'!$B$19,+SUM('3. Consumption by Rate Class'!$O$73:$O$84),IF($R$19='2. Customer Classes'!$B$20,+SUM('3. Consumption by Rate Class'!$R$73:$R$84),0)))))))</f>
        <v>78622635.780000001</v>
      </c>
      <c r="T25" s="72">
        <f t="shared" si="2"/>
        <v>201115656.45999998</v>
      </c>
      <c r="U25" s="72">
        <f t="shared" si="3"/>
        <v>198683586.06453371</v>
      </c>
      <c r="V25" s="73">
        <f t="shared" si="16"/>
        <v>0.39093244734846044</v>
      </c>
      <c r="W25" s="72">
        <f t="shared" si="17"/>
        <v>77671860.548176631</v>
      </c>
      <c r="X25" s="70">
        <f>IF($R$19='2. Customer Classes'!$B$14,+W25/'4. Customer Growth'!$C21,+IF($R$19='2. Customer Classes'!$B$15,+W25/'4. Customer Growth'!$E21,+IF($R$19='2. Customer Classes'!$B$16,+W25/'4. Customer Growth'!$G21,+IF($R$19='2. Customer Classes'!$B$17,+W25/'4. Customer Growth'!$I21,+IF($R$19='2. Customer Classes'!$B$18,+W25/'4. Customer Growth'!$K21,+IF($R$19='2. Customer Classes'!$B$19,+W25/'4. Customer Growth'!$M21,IF($R$19='2. Customer Classes'!$B$20,+W25/'4. Customer Growth'!$O21)))))))</f>
        <v>539387.92047344882</v>
      </c>
      <c r="Z25" s="178">
        <f t="shared" si="18"/>
        <v>2009</v>
      </c>
      <c r="AA25" s="70">
        <f>IF($Z$19='2. Customer Classes'!$B$14,+SUM('3. Consumption by Rate Class'!$D$73:$D$84),+IF($Z$19='2. Customer Classes'!$B$15,+SUM('3. Consumption by Rate Class'!$F$73:$F$84),+IF($Z$19='2. Customer Classes'!$B$16,+SUM('3. Consumption by Rate Class'!$H$73:$H$84),+IF($Z$19='2. Customer Classes'!$B$17,+SUM('3. Consumption by Rate Class'!$J$73:$J$84),+IF($Z$19='2. Customer Classes'!$B$18,+SUM('3. Consumption by Rate Class'!$L$73:$L$84),+IF($Z$19='2. Customer Classes'!$B$19,+SUM('3. Consumption by Rate Class'!$O$73:$O$84),IF($Z$19='2. Customer Classes'!$B$20,+SUM('3. Consumption by Rate Class'!$R$73:$R$84),0)))))))</f>
        <v>0</v>
      </c>
      <c r="AB25" s="225">
        <f t="shared" si="4"/>
        <v>201115656.45999998</v>
      </c>
      <c r="AC25" s="225">
        <f t="shared" si="5"/>
        <v>198683586.06453371</v>
      </c>
      <c r="AD25" s="73">
        <f t="shared" si="6"/>
        <v>0</v>
      </c>
      <c r="AE25" s="225">
        <f t="shared" si="19"/>
        <v>0</v>
      </c>
      <c r="AF25" s="70" t="e">
        <f>IF($Z$19='2. Customer Classes'!$B$14,+AE25/'4. Customer Growth'!$C21,+IF($Z$19='2. Customer Classes'!$B$15,+AE25/'4. Customer Growth'!$E21,+IF($Z$19='2. Customer Classes'!$B$16,+AE25/'4. Customer Growth'!$G21,+IF($Z$19='2. Customer Classes'!$B$17,+AE25/'4. Customer Growth'!$I21,+IF($Z$19='2. Customer Classes'!$B$18,+AE25/'4. Customer Growth'!$K21,+IF($Z$19='2. Customer Classes'!$B$19,+AE25/'4. Customer Growth'!$M21,IF($Z$19='2. Customer Classes'!$B$20,+AE25/'4. Customer Growth'!$O21)))))))</f>
        <v>#DIV/0!</v>
      </c>
      <c r="AH25" s="178">
        <f t="shared" si="20"/>
        <v>2009</v>
      </c>
      <c r="AI25" s="70">
        <f>IF($AH$19='2. Customer Classes'!$B$14,+SUM('3. Consumption by Rate Class'!$D$73:$D$84),+IF($AH$19='2. Customer Classes'!$B$15,+SUM('3. Consumption by Rate Class'!$F$73:$F$84),+IF($AH$19='2. Customer Classes'!$B$16,+SUM('3. Consumption by Rate Class'!$H$73:$H$84),+IF($AH$19='2. Customer Classes'!$B$17,+SUM('3. Consumption by Rate Class'!$J$73:$J$84),+IF($AH$19='2. Customer Classes'!$B$18,+SUM('3. Consumption by Rate Class'!$L$73:$L$84),+IF($AH$19='2. Customer Classes'!$B$19,+SUM('3. Consumption by Rate Class'!$O$73:$O$84),IF($AH$19='2. Customer Classes'!$B$20,+SUM('3. Consumption by Rate Class'!$R$73:$R$84),0)))))))</f>
        <v>0</v>
      </c>
      <c r="AJ25" s="225">
        <f t="shared" si="7"/>
        <v>201115656.45999998</v>
      </c>
      <c r="AK25" s="225">
        <f t="shared" si="8"/>
        <v>198683586.06453371</v>
      </c>
      <c r="AL25" s="73">
        <f t="shared" si="9"/>
        <v>0</v>
      </c>
      <c r="AM25" s="225">
        <f t="shared" si="21"/>
        <v>0</v>
      </c>
      <c r="AN25" s="70" t="e">
        <f>IF($AH$19='2. Customer Classes'!$B$14,+AM25/'4. Customer Growth'!$C21,+IF($AH$19='2. Customer Classes'!$B$15,+AM25/'4. Customer Growth'!$E21,+IF($AH$19='2. Customer Classes'!$B$16,+AM25/'4. Customer Growth'!$G21,+IF($AH$19='2. Customer Classes'!$B$17,+AM25/'4. Customer Growth'!$I21,+IF($AH$19='2. Customer Classes'!$B$18,+AM25/'4. Customer Growth'!$K21,+IF($AH$19='2. Customer Classes'!$B$19,+AM25/'4. Customer Growth'!$M21,IF($AH$19='2. Customer Classes'!$B$20,+AM25/'4. Customer Growth'!$O21)))))))</f>
        <v>#DIV/0!</v>
      </c>
    </row>
    <row r="26" spans="2:40" x14ac:dyDescent="0.2">
      <c r="B26" s="178">
        <f>'4. Customer Growth'!B22</f>
        <v>2010</v>
      </c>
      <c r="C26" s="70">
        <f>IF($B$19='2. Customer Classes'!$B$14,+SUM('3. Consumption by Rate Class'!$D$85:$D$96),+IF($B$19='2. Customer Classes'!$B$15,+SUM('3. Consumption by Rate Class'!$F$85:$F$96),+IF($B$19='2. Customer Classes'!$B$16,+SUM('3. Consumption by Rate Class'!$H$85:$H$96),+IF($B$19='2. Customer Classes'!$B$17,+SUM('3. Consumption by Rate Class'!$J$85:$J$96),+IF($B$19='2. Customer Classes'!$B$18,+SUM('3. Consumption by Rate Class'!$L$85:$L$96),+IF($B$19='2. Customer Classes'!$B$19,+SUM('3. Consumption by Rate Class'!$O$85:$O$96),IF($B$19='2. Customer Classes'!$B$20,+SUM('3. Consumption by Rate Class'!$R$85:$R$96),0)))))))</f>
        <v>75301012.150000006</v>
      </c>
      <c r="D26" s="72">
        <f>SUM('6. WS Regression Analysis'!J80:J91)</f>
        <v>197081317.46300003</v>
      </c>
      <c r="E26" s="72">
        <f>SUM('6. WS Regression Analysis'!R80:R91)</f>
        <v>199197021.01412955</v>
      </c>
      <c r="F26" s="73">
        <f t="shared" si="10"/>
        <v>0.38208092537303534</v>
      </c>
      <c r="G26" s="72">
        <f t="shared" si="11"/>
        <v>76109382.120630592</v>
      </c>
      <c r="H26" s="70">
        <f>IF($B$19='2. Customer Classes'!$B$14,+G26/'4. Customer Growth'!$C22,+IF($B$19='2. Customer Classes'!$B$15,+G26/'4. Customer Growth'!$E22,+IF($B$19='2. Customer Classes'!$B$16,+G26/'4. Customer Growth'!$G22,+IF($B$19='2. Customer Classes'!$B$17,+G26/'4. Customer Growth'!$I22,+IF($B$19='2. Customer Classes'!$B$18,+G26/'4. Customer Growth'!$K22,+IF($B$19='2. Customer Classes'!$B$19,+G26/'4. Customer Growth'!$M22,IF($B$19='2. Customer Classes'!$B$20,+G26/'4. Customer Growth'!$O22)))))))</f>
        <v>8499.0934808074362</v>
      </c>
      <c r="I26" s="82"/>
      <c r="J26" s="178">
        <f t="shared" si="12"/>
        <v>2010</v>
      </c>
      <c r="K26" s="70">
        <f>IF($J$19='2. Customer Classes'!$B$14,+SUM('3. Consumption by Rate Class'!$D$85:$D$96),+IF($J$19='2. Customer Classes'!$B$15,+SUM('3. Consumption by Rate Class'!$F$85:$F$96),+IF($J$19='2. Customer Classes'!$B$16,+SUM('3. Consumption by Rate Class'!$H$85:$H$96),+IF($J$19='2. Customer Classes'!$B$17,+SUM('3. Consumption by Rate Class'!$J$85:$J$96),+IF($J$19='2. Customer Classes'!$B$18,+SUM('3. Consumption by Rate Class'!$L$85:$L$96),+IF($J$19='2. Customer Classes'!$B$19,+SUM('3. Consumption by Rate Class'!$O$85:$O$96),IF($J$19='2. Customer Classes'!$B$20,+SUM('3. Consumption by Rate Class'!$R$85:$R$96),0)))))))</f>
        <v>33358216.629999999</v>
      </c>
      <c r="L26" s="72">
        <f t="shared" si="13"/>
        <v>197081317.46300003</v>
      </c>
      <c r="M26" s="72">
        <f t="shared" si="0"/>
        <v>199197021.01412955</v>
      </c>
      <c r="N26" s="73">
        <f t="shared" si="1"/>
        <v>0.16926118142204249</v>
      </c>
      <c r="O26" s="72">
        <f t="shared" si="14"/>
        <v>33716323.112602994</v>
      </c>
      <c r="P26" s="70">
        <f>IF($J$19='2. Customer Classes'!$B$14,+O26/'4. Customer Growth'!$C22,+IF($J$19='2. Customer Classes'!$B$15,+O26/'4. Customer Growth'!$E22,+IF($J$19='2. Customer Classes'!$B$16,+O26/'4. Customer Growth'!$G22,+IF($J$19='2. Customer Classes'!$B$17,+O26/'4. Customer Growth'!$I22,+IF($J$19='2. Customer Classes'!$B$18,+O26/'4. Customer Growth'!$K22,+IF($J$19='2. Customer Classes'!$B$19,+O26/'4. Customer Growth'!$M22,IF($J$19='2. Customer Classes'!$B$20,+O26/'4. Customer Growth'!$O22)))))))</f>
        <v>24574.579528136292</v>
      </c>
      <c r="Q26" s="82"/>
      <c r="R26" s="178">
        <f t="shared" si="15"/>
        <v>2010</v>
      </c>
      <c r="S26" s="70">
        <f>IF($R$19='2. Customer Classes'!$B$14,+SUM('3. Consumption by Rate Class'!$D$85:$D$96),+IF($R$19='2. Customer Classes'!$B$15,+SUM('3. Consumption by Rate Class'!$F$85:$F$96),+IF($R$19='2. Customer Classes'!$B$16,+SUM('3. Consumption by Rate Class'!$H$85:$H$96),+IF($R$19='2. Customer Classes'!$B$17,+SUM('3. Consumption by Rate Class'!$J$85:$J$96),+IF($R$19='2. Customer Classes'!$B$18,+SUM('3. Consumption by Rate Class'!$L$85:$L$96),+IF($R$19='2. Customer Classes'!$B$19,+SUM('3. Consumption by Rate Class'!$O$85:$O$96),IF($R$19='2. Customer Classes'!$B$20,+SUM('3. Consumption by Rate Class'!$R$85:$R$96),0)))))))</f>
        <v>76510234.719999999</v>
      </c>
      <c r="T26" s="72">
        <f t="shared" si="2"/>
        <v>197081317.46300003</v>
      </c>
      <c r="U26" s="72">
        <f t="shared" si="3"/>
        <v>199197021.01412955</v>
      </c>
      <c r="V26" s="73">
        <f t="shared" si="16"/>
        <v>0.38821657833885753</v>
      </c>
      <c r="W26" s="72">
        <f t="shared" si="17"/>
        <v>77331585.913398877</v>
      </c>
      <c r="X26" s="70">
        <f>IF($R$19='2. Customer Classes'!$B$14,+W26/'4. Customer Growth'!$C22,+IF($R$19='2. Customer Classes'!$B$15,+W26/'4. Customer Growth'!$E22,+IF($R$19='2. Customer Classes'!$B$16,+W26/'4. Customer Growth'!$G22,+IF($R$19='2. Customer Classes'!$B$17,+W26/'4. Customer Growth'!$I22,+IF($R$19='2. Customer Classes'!$B$18,+W26/'4. Customer Growth'!$K22,+IF($R$19='2. Customer Classes'!$B$19,+W26/'4. Customer Growth'!$M22,IF($R$19='2. Customer Classes'!$B$20,+W26/'4. Customer Growth'!$O22)))))))</f>
        <v>522510.71563107352</v>
      </c>
      <c r="Z26" s="178">
        <f t="shared" si="18"/>
        <v>2010</v>
      </c>
      <c r="AA26" s="70">
        <f>IF($Z$19='2. Customer Classes'!$B$14,+SUM('3. Consumption by Rate Class'!$D$85:$D$96),+IF($Z$19='2. Customer Classes'!$B$15,+SUM('3. Consumption by Rate Class'!$F$85:$F$96),+IF($Z$19='2. Customer Classes'!$B$16,+SUM('3. Consumption by Rate Class'!$H$85:$H$96),+IF($Z$19='2. Customer Classes'!$B$17,+SUM('3. Consumption by Rate Class'!$J$85:$J$96),+IF($Z$19='2. Customer Classes'!$B$18,+SUM('3. Consumption by Rate Class'!$L$85:$L$96),+IF($Z$19='2. Customer Classes'!$B$19,+SUM('3. Consumption by Rate Class'!$O$85:$O$96),IF($Z$19='2. Customer Classes'!$B$20,+SUM('3. Consumption by Rate Class'!$R$85:$R$96),0)))))))</f>
        <v>0</v>
      </c>
      <c r="AB26" s="225">
        <f t="shared" si="4"/>
        <v>197081317.46300003</v>
      </c>
      <c r="AC26" s="225">
        <f t="shared" si="5"/>
        <v>199197021.01412955</v>
      </c>
      <c r="AD26" s="73">
        <f t="shared" si="6"/>
        <v>0</v>
      </c>
      <c r="AE26" s="225">
        <f t="shared" si="19"/>
        <v>0</v>
      </c>
      <c r="AF26" s="70" t="e">
        <f>IF($Z$19='2. Customer Classes'!$B$14,+AE26/'4. Customer Growth'!$C22,+IF($Z$19='2. Customer Classes'!$B$15,+AE26/'4. Customer Growth'!$E22,+IF($Z$19='2. Customer Classes'!$B$16,+AE26/'4. Customer Growth'!$G22,+IF($Z$19='2. Customer Classes'!$B$17,+AE26/'4. Customer Growth'!$I22,+IF($Z$19='2. Customer Classes'!$B$18,+AE26/'4. Customer Growth'!$K22,+IF($Z$19='2. Customer Classes'!$B$19,+AE26/'4. Customer Growth'!$M22,IF($Z$19='2. Customer Classes'!$B$20,+AE26/'4. Customer Growth'!$O22)))))))</f>
        <v>#DIV/0!</v>
      </c>
      <c r="AH26" s="178">
        <f t="shared" si="20"/>
        <v>2010</v>
      </c>
      <c r="AI26" s="70">
        <f>IF($AH$19='2. Customer Classes'!$B$14,+SUM('3. Consumption by Rate Class'!$D$85:$D$96),+IF($AH$19='2. Customer Classes'!$B$15,+SUM('3. Consumption by Rate Class'!$F$85:$F$96),+IF($AH$19='2. Customer Classes'!$B$16,+SUM('3. Consumption by Rate Class'!$H$85:$H$96),+IF($AH$19='2. Customer Classes'!$B$17,+SUM('3. Consumption by Rate Class'!$J$85:$J$96),+IF($AH$19='2. Customer Classes'!$B$18,+SUM('3. Consumption by Rate Class'!$L$85:$L$96),+IF($AH$19='2. Customer Classes'!$B$19,+SUM('3. Consumption by Rate Class'!$O$85:$O$96),IF($AH$19='2. Customer Classes'!$B$20,+SUM('3. Consumption by Rate Class'!$R$85:$R$96),0)))))))</f>
        <v>0</v>
      </c>
      <c r="AJ26" s="225">
        <f t="shared" si="7"/>
        <v>197081317.46300003</v>
      </c>
      <c r="AK26" s="225">
        <f t="shared" si="8"/>
        <v>199197021.01412955</v>
      </c>
      <c r="AL26" s="73">
        <f t="shared" si="9"/>
        <v>0</v>
      </c>
      <c r="AM26" s="225">
        <f t="shared" si="21"/>
        <v>0</v>
      </c>
      <c r="AN26" s="70" t="e">
        <f>IF($AH$19='2. Customer Classes'!$B$14,+AM26/'4. Customer Growth'!$C22,+IF($AH$19='2. Customer Classes'!$B$15,+AM26/'4. Customer Growth'!$E22,+IF($AH$19='2. Customer Classes'!$B$16,+AM26/'4. Customer Growth'!$G22,+IF($AH$19='2. Customer Classes'!$B$17,+AM26/'4. Customer Growth'!$I22,+IF($AH$19='2. Customer Classes'!$B$18,+AM26/'4. Customer Growth'!$K22,+IF($AH$19='2. Customer Classes'!$B$19,+AM26/'4. Customer Growth'!$M22,IF($AH$19='2. Customer Classes'!$B$20,+AM26/'4. Customer Growth'!$O22)))))))</f>
        <v>#DIV/0!</v>
      </c>
    </row>
    <row r="27" spans="2:40" x14ac:dyDescent="0.2">
      <c r="B27" s="178">
        <f>'4. Customer Growth'!B23</f>
        <v>2011</v>
      </c>
      <c r="C27" s="70">
        <f>IF($B$19='2. Customer Classes'!$B$14,+SUM('3. Consumption by Rate Class'!$D$97:$D$108),+IF($B$19='2. Customer Classes'!$B$15,+SUM('3. Consumption by Rate Class'!$F$97:$F$108),+IF($B$19='2. Customer Classes'!$B$16,+SUM('3. Consumption by Rate Class'!$H$97:$H$108),+IF($B$19='2. Customer Classes'!$B$17,+SUM('3. Consumption by Rate Class'!$J$97:$J$108),+IF($B$19='2. Customer Classes'!$B$18,+SUM('3. Consumption by Rate Class'!$L$97:$L$108),+IF($B$19='2. Customer Classes'!$B$19,+SUM('3. Consumption by Rate Class'!$O$97:$O$108),IF($B$19='2. Customer Classes'!$B$20,+SUM('3. Consumption by Rate Class'!$R$97:$R$108),0)))))))</f>
        <v>79270519.859999999</v>
      </c>
      <c r="D27" s="72">
        <f>SUM('6. WS Regression Analysis'!J92:J103)</f>
        <v>199623009.43799999</v>
      </c>
      <c r="E27" s="72">
        <f>SUM('6. WS Regression Analysis'!R92:R103)</f>
        <v>197051606.59096599</v>
      </c>
      <c r="F27" s="73">
        <f t="shared" si="10"/>
        <v>0.39710111616476895</v>
      </c>
      <c r="G27" s="72">
        <f t="shared" si="11"/>
        <v>78249412.919333532</v>
      </c>
      <c r="H27" s="70">
        <f>IF($B$19='2. Customer Classes'!$B$14,+G27/'4. Customer Growth'!$C23,+IF($B$19='2. Customer Classes'!$B$15,+G27/'4. Customer Growth'!$E23,+IF($B$19='2. Customer Classes'!$B$16,+G27/'4. Customer Growth'!$G23,+IF($B$19='2. Customer Classes'!$B$17,+G27/'4. Customer Growth'!$I23,+IF($B$19='2. Customer Classes'!$B$18,+G27/'4. Customer Growth'!$K23,+IF($B$19='2. Customer Classes'!$B$19,+G27/'4. Customer Growth'!$M23,IF($B$19='2. Customer Classes'!$B$20,+G27/'4. Customer Growth'!$O23)))))))</f>
        <v>8665.4942324843341</v>
      </c>
      <c r="I27" s="82"/>
      <c r="J27" s="178">
        <f t="shared" si="12"/>
        <v>2011</v>
      </c>
      <c r="K27" s="70">
        <f>IF($J$19='2. Customer Classes'!$B$14,+SUM('3. Consumption by Rate Class'!$D$97:$D$108),+IF($J$19='2. Customer Classes'!$B$15,+SUM('3. Consumption by Rate Class'!$F$97:$F$108),+IF($J$19='2. Customer Classes'!$B$16,+SUM('3. Consumption by Rate Class'!$H$97:$H$108),+IF($J$19='2. Customer Classes'!$B$17,+SUM('3. Consumption by Rate Class'!$J$97:$J$108),+IF($J$19='2. Customer Classes'!$B$18,+SUM('3. Consumption by Rate Class'!$L$97:$L$108),+IF($J$19='2. Customer Classes'!$B$19,+SUM('3. Consumption by Rate Class'!$O$97:$O$108),IF($J$19='2. Customer Classes'!$B$20,+SUM('3. Consumption by Rate Class'!$R$97:$R$108),0)))))))</f>
        <v>32279016.170000002</v>
      </c>
      <c r="L27" s="72">
        <f t="shared" si="13"/>
        <v>199623009.43799999</v>
      </c>
      <c r="M27" s="72">
        <f t="shared" si="0"/>
        <v>197051606.59096599</v>
      </c>
      <c r="N27" s="73">
        <f t="shared" si="1"/>
        <v>0.16169987748844852</v>
      </c>
      <c r="O27" s="72">
        <f t="shared" si="14"/>
        <v>31863220.644661155</v>
      </c>
      <c r="P27" s="70">
        <f>IF($J$19='2. Customer Classes'!$B$14,+O27/'4. Customer Growth'!$C23,+IF($J$19='2. Customer Classes'!$B$15,+O27/'4. Customer Growth'!$E23,+IF($J$19='2. Customer Classes'!$B$16,+O27/'4. Customer Growth'!$G23,+IF($J$19='2. Customer Classes'!$B$17,+O27/'4. Customer Growth'!$I23,+IF($J$19='2. Customer Classes'!$B$18,+O27/'4. Customer Growth'!$K23,+IF($J$19='2. Customer Classes'!$B$19,+O27/'4. Customer Growth'!$M23,IF($J$19='2. Customer Classes'!$B$20,+O27/'4. Customer Growth'!$O23)))))))</f>
        <v>23257.825288073836</v>
      </c>
      <c r="Q27" s="82"/>
      <c r="R27" s="178">
        <f t="shared" si="15"/>
        <v>2011</v>
      </c>
      <c r="S27" s="70">
        <f>IF($R$19='2. Customer Classes'!$B$14,+SUM('3. Consumption by Rate Class'!$D$97:$D$108),+IF($R$19='2. Customer Classes'!$B$15,+SUM('3. Consumption by Rate Class'!$F$97:$F$108),+IF($R$19='2. Customer Classes'!$B$16,+SUM('3. Consumption by Rate Class'!$H$97:$H$108),+IF($R$19='2. Customer Classes'!$B$17,+SUM('3. Consumption by Rate Class'!$J$97:$J$108),+IF($R$19='2. Customer Classes'!$B$18,+SUM('3. Consumption by Rate Class'!$L$97:$L$108),+IF($R$19='2. Customer Classes'!$B$19,+SUM('3. Consumption by Rate Class'!$O$97:$O$108),IF($R$19='2. Customer Classes'!$B$20,+SUM('3. Consumption by Rate Class'!$R$97:$R$108),0)))))))</f>
        <v>74853997.430000007</v>
      </c>
      <c r="T27" s="72">
        <f t="shared" si="2"/>
        <v>199623009.43799999</v>
      </c>
      <c r="U27" s="72">
        <f t="shared" si="3"/>
        <v>197051606.59096599</v>
      </c>
      <c r="V27" s="73">
        <f t="shared" si="16"/>
        <v>0.37497680072420997</v>
      </c>
      <c r="W27" s="72">
        <f t="shared" si="17"/>
        <v>73889781.017046079</v>
      </c>
      <c r="X27" s="70">
        <f>IF($R$19='2. Customer Classes'!$B$14,+W27/'4. Customer Growth'!$C23,+IF($R$19='2. Customer Classes'!$B$15,+W27/'4. Customer Growth'!$E23,+IF($R$19='2. Customer Classes'!$B$16,+W27/'4. Customer Growth'!$G23,+IF($R$19='2. Customer Classes'!$B$17,+W27/'4. Customer Growth'!$I23,+IF($R$19='2. Customer Classes'!$B$18,+W27/'4. Customer Growth'!$K23,+IF($R$19='2. Customer Classes'!$B$19,+W27/'4. Customer Growth'!$M23,IF($R$19='2. Customer Classes'!$B$20,+W27/'4. Customer Growth'!$O23)))))))</f>
        <v>509584.69666928332</v>
      </c>
      <c r="Z27" s="178">
        <f t="shared" si="18"/>
        <v>2011</v>
      </c>
      <c r="AA27" s="70">
        <f>IF($Z$19='2. Customer Classes'!$B$14,+SUM('3. Consumption by Rate Class'!$D$97:$D$108),+IF($Z$19='2. Customer Classes'!$B$15,+SUM('3. Consumption by Rate Class'!$F$97:$F$108),+IF($Z$19='2. Customer Classes'!$B$16,+SUM('3. Consumption by Rate Class'!$H$97:$H$108),+IF($Z$19='2. Customer Classes'!$B$17,+SUM('3. Consumption by Rate Class'!$J$97:$J$108),+IF($Z$19='2. Customer Classes'!$B$18,+SUM('3. Consumption by Rate Class'!$L$97:$L$108),+IF($Z$19='2. Customer Classes'!$B$19,+SUM('3. Consumption by Rate Class'!$O$97:$O$108),IF($Z$19='2. Customer Classes'!$B$20,+SUM('3. Consumption by Rate Class'!$R$97:$R$108),0)))))))</f>
        <v>0</v>
      </c>
      <c r="AB27" s="225">
        <f t="shared" si="4"/>
        <v>199623009.43799999</v>
      </c>
      <c r="AC27" s="225">
        <f t="shared" si="5"/>
        <v>197051606.59096599</v>
      </c>
      <c r="AD27" s="73">
        <f t="shared" si="6"/>
        <v>0</v>
      </c>
      <c r="AE27" s="225">
        <f t="shared" si="19"/>
        <v>0</v>
      </c>
      <c r="AF27" s="70" t="e">
        <f>IF($Z$19='2. Customer Classes'!$B$14,+AE27/'4. Customer Growth'!$C23,+IF($Z$19='2. Customer Classes'!$B$15,+AE27/'4. Customer Growth'!$E23,+IF($Z$19='2. Customer Classes'!$B$16,+AE27/'4. Customer Growth'!$G23,+IF($Z$19='2. Customer Classes'!$B$17,+AE27/'4. Customer Growth'!$I23,+IF($Z$19='2. Customer Classes'!$B$18,+AE27/'4. Customer Growth'!$K23,+IF($Z$19='2. Customer Classes'!$B$19,+AE27/'4. Customer Growth'!$M23,IF($Z$19='2. Customer Classes'!$B$20,+AE27/'4. Customer Growth'!$O23)))))))</f>
        <v>#DIV/0!</v>
      </c>
      <c r="AH27" s="178">
        <f t="shared" si="20"/>
        <v>2011</v>
      </c>
      <c r="AI27" s="70">
        <f>IF($AH$19='2. Customer Classes'!$B$14,+SUM('3. Consumption by Rate Class'!$D$97:$D$108),+IF($AH$19='2. Customer Classes'!$B$15,+SUM('3. Consumption by Rate Class'!$F$97:$F$108),+IF($AH$19='2. Customer Classes'!$B$16,+SUM('3. Consumption by Rate Class'!$H$97:$H$108),+IF($AH$19='2. Customer Classes'!$B$17,+SUM('3. Consumption by Rate Class'!$J$97:$J$108),+IF($AH$19='2. Customer Classes'!$B$18,+SUM('3. Consumption by Rate Class'!$L$97:$L$108),+IF($AH$19='2. Customer Classes'!$B$19,+SUM('3. Consumption by Rate Class'!$O$97:$O$108),IF($AH$19='2. Customer Classes'!$B$20,+SUM('3. Consumption by Rate Class'!$R$97:$R$108),0)))))))</f>
        <v>0</v>
      </c>
      <c r="AJ27" s="225">
        <f t="shared" si="7"/>
        <v>199623009.43799999</v>
      </c>
      <c r="AK27" s="225">
        <f t="shared" si="8"/>
        <v>197051606.59096599</v>
      </c>
      <c r="AL27" s="73">
        <f t="shared" si="9"/>
        <v>0</v>
      </c>
      <c r="AM27" s="225">
        <f t="shared" si="21"/>
        <v>0</v>
      </c>
      <c r="AN27" s="70" t="e">
        <f>IF($AH$19='2. Customer Classes'!$B$14,+AM27/'4. Customer Growth'!$C23,+IF($AH$19='2. Customer Classes'!$B$15,+AM27/'4. Customer Growth'!$E23,+IF($AH$19='2. Customer Classes'!$B$16,+AM27/'4. Customer Growth'!$G23,+IF($AH$19='2. Customer Classes'!$B$17,+AM27/'4. Customer Growth'!$I23,+IF($AH$19='2. Customer Classes'!$B$18,+AM27/'4. Customer Growth'!$K23,+IF($AH$19='2. Customer Classes'!$B$19,+AM27/'4. Customer Growth'!$M23,IF($AH$19='2. Customer Classes'!$B$20,+AM27/'4. Customer Growth'!$O23)))))))</f>
        <v>#DIV/0!</v>
      </c>
    </row>
    <row r="28" spans="2:40" x14ac:dyDescent="0.2">
      <c r="B28" s="178">
        <f>'4. Customer Growth'!B24</f>
        <v>2012</v>
      </c>
      <c r="C28" s="70">
        <f>IF($B$19='2. Customer Classes'!$B$14,+SUM('3. Consumption by Rate Class'!$D$109:$D$120),+IF($B$19='2. Customer Classes'!$B$15,+SUM('3. Consumption by Rate Class'!$F$109:$F$120),+IF($B$19='2. Customer Classes'!$B$16,+SUM('3. Consumption by Rate Class'!$H$109:$H$120),+IF($B$19='2. Customer Classes'!$B$17,+SUM('3. Consumption by Rate Class'!$J$109:$J$120),+IF($B$19='2. Customer Classes'!$B$18,+SUM('3. Consumption by Rate Class'!$L$109:$L$120),+IF($B$19='2. Customer Classes'!$B$19,+SUM('3. Consumption by Rate Class'!$O$109:$O$120),IF($B$19='2. Customer Classes'!$B$20,+SUM('3. Consumption by Rate Class'!$R$109:$R$120),0)))))))</f>
        <v>78553743.920000002</v>
      </c>
      <c r="D28" s="72">
        <f>SUM('6. WS Regression Analysis'!J104:J115)</f>
        <v>194771161.25000003</v>
      </c>
      <c r="E28" s="72">
        <f>SUM('6. WS Regression Analysis'!R104:R115)</f>
        <v>200061553.77745542</v>
      </c>
      <c r="F28" s="73">
        <f t="shared" si="10"/>
        <v>0.40331301315789631</v>
      </c>
      <c r="G28" s="72">
        <f t="shared" si="11"/>
        <v>80687428.071036056</v>
      </c>
      <c r="H28" s="70">
        <f>IF($B$19='2. Customer Classes'!$B$14,+G28/'4. Customer Growth'!$C24,+IF($B$19='2. Customer Classes'!$B$15,+G28/'4. Customer Growth'!$E24,+IF($B$19='2. Customer Classes'!$B$16,+G28/'4. Customer Growth'!$G24,+IF($B$19='2. Customer Classes'!$B$17,+G28/'4. Customer Growth'!$I24,+IF($B$19='2. Customer Classes'!$B$18,+G28/'4. Customer Growth'!$K24,+IF($B$19='2. Customer Classes'!$B$19,+G28/'4. Customer Growth'!$M24,IF($B$19='2. Customer Classes'!$B$20,+G28/'4. Customer Growth'!$O24)))))))</f>
        <v>8879.9238508816434</v>
      </c>
      <c r="I28" s="82"/>
      <c r="J28" s="178">
        <f t="shared" si="12"/>
        <v>2012</v>
      </c>
      <c r="K28" s="70">
        <f>IF($J$19='2. Customer Classes'!$B$14,+SUM('3. Consumption by Rate Class'!$D$109:$D$120),+IF($J$19='2. Customer Classes'!$B$15,+SUM('3. Consumption by Rate Class'!$F$109:$F$120),+IF($J$19='2. Customer Classes'!$B$16,+SUM('3. Consumption by Rate Class'!$H$109:$H$120),+IF($J$19='2. Customer Classes'!$B$17,+SUM('3. Consumption by Rate Class'!$J$109:$J$120),+IF($J$19='2. Customer Classes'!$B$18,+SUM('3. Consumption by Rate Class'!$L$109:$L$120),+IF($J$19='2. Customer Classes'!$B$19,+SUM('3. Consumption by Rate Class'!$O$109:$O$120),IF($J$19='2. Customer Classes'!$B$20,+SUM('3. Consumption by Rate Class'!$R$109:$R$120),0)))))))</f>
        <v>31948521.120000001</v>
      </c>
      <c r="L28" s="72">
        <f t="shared" si="13"/>
        <v>194771161.25000003</v>
      </c>
      <c r="M28" s="72">
        <f t="shared" si="0"/>
        <v>200061553.77745542</v>
      </c>
      <c r="N28" s="73">
        <f t="shared" si="1"/>
        <v>0.16403106555899324</v>
      </c>
      <c r="O28" s="72">
        <f t="shared" si="14"/>
        <v>32816309.843503844</v>
      </c>
      <c r="P28" s="70">
        <f>IF($J$19='2. Customer Classes'!$B$14,+O28/'4. Customer Growth'!$C24,+IF($J$19='2. Customer Classes'!$B$15,+O28/'4. Customer Growth'!$E24,+IF($J$19='2. Customer Classes'!$B$16,+O28/'4. Customer Growth'!$G24,+IF($J$19='2. Customer Classes'!$B$17,+O28/'4. Customer Growth'!$I24,+IF($J$19='2. Customer Classes'!$B$18,+O28/'4. Customer Growth'!$K24,+IF($J$19='2. Customer Classes'!$B$19,+O28/'4. Customer Growth'!$M24,IF($J$19='2. Customer Classes'!$B$20,+O28/'4. Customer Growth'!$O24)))))))</f>
        <v>24103.055338599959</v>
      </c>
      <c r="Q28" s="82"/>
      <c r="R28" s="178">
        <f t="shared" si="15"/>
        <v>2012</v>
      </c>
      <c r="S28" s="70">
        <f>IF($R$19='2. Customer Classes'!$B$14,+SUM('3. Consumption by Rate Class'!$D$109:$D$120),+IF($R$19='2. Customer Classes'!$B$15,+SUM('3. Consumption by Rate Class'!$F$109:$F$120),+IF($R$19='2. Customer Classes'!$B$16,+SUM('3. Consumption by Rate Class'!$H$109:$H$120),+IF($R$19='2. Customer Classes'!$B$17,+SUM('3. Consumption by Rate Class'!$J$109:$J$120),+IF($R$19='2. Customer Classes'!$B$18,+SUM('3. Consumption by Rate Class'!$L$109:$L$120),+IF($R$19='2. Customer Classes'!$B$19,+SUM('3. Consumption by Rate Class'!$O$109:$O$120),IF($R$19='2. Customer Classes'!$B$20,+SUM('3. Consumption by Rate Class'!$R$109:$R$120),0)))))))</f>
        <v>74516293.329999998</v>
      </c>
      <c r="T28" s="72">
        <f t="shared" si="2"/>
        <v>194771161.25000003</v>
      </c>
      <c r="U28" s="72">
        <f t="shared" si="3"/>
        <v>200061553.77745542</v>
      </c>
      <c r="V28" s="73">
        <f t="shared" si="16"/>
        <v>0.38258381195537483</v>
      </c>
      <c r="W28" s="72">
        <f t="shared" si="17"/>
        <v>76540311.869894117</v>
      </c>
      <c r="X28" s="70">
        <f>IF($R$19='2. Customer Classes'!$B$14,+W28/'4. Customer Growth'!$C24,+IF($R$19='2. Customer Classes'!$B$15,+W28/'4. Customer Growth'!$E24,+IF($R$19='2. Customer Classes'!$B$16,+W28/'4. Customer Growth'!$G24,+IF($R$19='2. Customer Classes'!$B$17,+W28/'4. Customer Growth'!$I24,+IF($R$19='2. Customer Classes'!$B$18,+W28/'4. Customer Growth'!$K24,+IF($R$19='2. Customer Classes'!$B$19,+W28/'4. Customer Growth'!$M24,IF($R$19='2. Customer Classes'!$B$20,+W28/'4. Customer Growth'!$O24)))))))</f>
        <v>527864.21979237325</v>
      </c>
      <c r="Z28" s="178">
        <f t="shared" si="18"/>
        <v>2012</v>
      </c>
      <c r="AA28" s="70">
        <f>IF($Z$19='2. Customer Classes'!$B$14,+SUM('3. Consumption by Rate Class'!$D$109:$D$120),+IF($Z$19='2. Customer Classes'!$B$15,+SUM('3. Consumption by Rate Class'!$F$109:$F$120),+IF($Z$19='2. Customer Classes'!$B$16,+SUM('3. Consumption by Rate Class'!$H$109:$H$120),+IF($Z$19='2. Customer Classes'!$B$17,+SUM('3. Consumption by Rate Class'!$J$109:$J$120),+IF($Z$19='2. Customer Classes'!$B$18,+SUM('3. Consumption by Rate Class'!$L$109:$L$120),+IF($Z$19='2. Customer Classes'!$B$19,+SUM('3. Consumption by Rate Class'!$O$109:$O$120),IF($Z$19='2. Customer Classes'!$B$20,+SUM('3. Consumption by Rate Class'!$R$109:$R$120),0)))))))</f>
        <v>0</v>
      </c>
      <c r="AB28" s="225">
        <f t="shared" si="4"/>
        <v>194771161.25000003</v>
      </c>
      <c r="AC28" s="225">
        <f t="shared" si="5"/>
        <v>200061553.77745542</v>
      </c>
      <c r="AD28" s="73">
        <f t="shared" si="6"/>
        <v>0</v>
      </c>
      <c r="AE28" s="225">
        <f t="shared" si="19"/>
        <v>0</v>
      </c>
      <c r="AF28" s="70" t="e">
        <f>IF($Z$19='2. Customer Classes'!$B$14,+AE28/'4. Customer Growth'!$C24,+IF($Z$19='2. Customer Classes'!$B$15,+AE28/'4. Customer Growth'!$E24,+IF($Z$19='2. Customer Classes'!$B$16,+AE28/'4. Customer Growth'!$G24,+IF($Z$19='2. Customer Classes'!$B$17,+AE28/'4. Customer Growth'!$I24,+IF($Z$19='2. Customer Classes'!$B$18,+AE28/'4. Customer Growth'!$K24,+IF($Z$19='2. Customer Classes'!$B$19,+AE28/'4. Customer Growth'!$M24,IF($Z$19='2. Customer Classes'!$B$20,+AE28/'4. Customer Growth'!$O24)))))))</f>
        <v>#DIV/0!</v>
      </c>
      <c r="AH28" s="178">
        <f t="shared" si="20"/>
        <v>2012</v>
      </c>
      <c r="AI28" s="70">
        <f>IF($AH$19='2. Customer Classes'!$B$14,+SUM('3. Consumption by Rate Class'!$D$109:$D$120),+IF($AH$19='2. Customer Classes'!$B$15,+SUM('3. Consumption by Rate Class'!$F$109:$F$120),+IF($AH$19='2. Customer Classes'!$B$16,+SUM('3. Consumption by Rate Class'!$H$109:$H$120),+IF($AH$19='2. Customer Classes'!$B$17,+SUM('3. Consumption by Rate Class'!$J$109:$J$120),+IF($AH$19='2. Customer Classes'!$B$18,+SUM('3. Consumption by Rate Class'!$L$109:$L$120),+IF($AH$19='2. Customer Classes'!$B$19,+SUM('3. Consumption by Rate Class'!$O$109:$O$120),IF($AH$19='2. Customer Classes'!$B$20,+SUM('3. Consumption by Rate Class'!$R$109:$R$120),0)))))))</f>
        <v>0</v>
      </c>
      <c r="AJ28" s="225">
        <f t="shared" si="7"/>
        <v>194771161.25000003</v>
      </c>
      <c r="AK28" s="225">
        <f t="shared" si="8"/>
        <v>200061553.77745542</v>
      </c>
      <c r="AL28" s="73">
        <f t="shared" si="9"/>
        <v>0</v>
      </c>
      <c r="AM28" s="225">
        <f t="shared" si="21"/>
        <v>0</v>
      </c>
      <c r="AN28" s="70" t="e">
        <f>IF($AH$19='2. Customer Classes'!$B$14,+AM28/'4. Customer Growth'!$C24,+IF($AH$19='2. Customer Classes'!$B$15,+AM28/'4. Customer Growth'!$E24,+IF($AH$19='2. Customer Classes'!$B$16,+AM28/'4. Customer Growth'!$G24,+IF($AH$19='2. Customer Classes'!$B$17,+AM28/'4. Customer Growth'!$I24,+IF($AH$19='2. Customer Classes'!$B$18,+AM28/'4. Customer Growth'!$K24,+IF($AH$19='2. Customer Classes'!$B$19,+AM28/'4. Customer Growth'!$M24,IF($AH$19='2. Customer Classes'!$B$20,+AM28/'4. Customer Growth'!$O24)))))))</f>
        <v>#DIV/0!</v>
      </c>
    </row>
    <row r="29" spans="2:40" x14ac:dyDescent="0.2">
      <c r="B29" s="178">
        <f>'4. Customer Growth'!B25</f>
        <v>2013</v>
      </c>
      <c r="C29" s="70">
        <f>IF($B$19='2. Customer Classes'!$B$14,+SUM('3. Consumption by Rate Class'!$D$121:$D$132),+IF($B$19='2. Customer Classes'!$B$15,+SUM('3. Consumption by Rate Class'!$F$121:$F$132),+IF($B$19='2. Customer Classes'!$B$16,+SUM('3. Consumption by Rate Class'!$H$121:$H$132),+IF($B$19='2. Customer Classes'!$B$17,+SUM('3. Consumption by Rate Class'!$J$121:$J$132),+IF($B$19='2. Customer Classes'!$B$18,+SUM('3. Consumption by Rate Class'!$L$121:$L$132),+IF($B$19='2. Customer Classes'!$B$19,+SUM('3. Consumption by Rate Class'!$O$121:$O$132),IF($B$19='2. Customer Classes'!$B$20,+SUM('3. Consumption by Rate Class'!$R$121:$R$132),0)))))))</f>
        <v>80138213.859999999</v>
      </c>
      <c r="D29" s="72">
        <f>SUM('6. WS Regression Analysis'!J116:J127)</f>
        <v>198259056.0149</v>
      </c>
      <c r="E29" s="72">
        <f>SUM('6. WS Regression Analysis'!R116:R127)</f>
        <v>199210663.16643396</v>
      </c>
      <c r="F29" s="73">
        <f t="shared" si="10"/>
        <v>0.4042096006649869</v>
      </c>
      <c r="G29" s="72">
        <f t="shared" si="11"/>
        <v>80522862.606711492</v>
      </c>
      <c r="H29" s="70">
        <f>IF($B$19='2. Customer Classes'!$B$14,+G29/'4. Customer Growth'!$C25,+IF($B$19='2. Customer Classes'!$B$15,+G29/'4. Customer Growth'!$E25,+IF($B$19='2. Customer Classes'!$B$16,+G29/'4. Customer Growth'!$G25,+IF($B$19='2. Customer Classes'!$B$17,+G29/'4. Customer Growth'!$I25,+IF($B$19='2. Customer Classes'!$B$18,+G29/'4. Customer Growth'!$K25,+IF($B$19='2. Customer Classes'!$B$19,+G29/'4. Customer Growth'!$M25,IF($B$19='2. Customer Classes'!$B$20,+G29/'4. Customer Growth'!$O25)))))))</f>
        <v>8757.2444379240333</v>
      </c>
      <c r="I29" s="82"/>
      <c r="J29" s="178">
        <f t="shared" si="12"/>
        <v>2013</v>
      </c>
      <c r="K29" s="70">
        <f>IF($J$19='2. Customer Classes'!$B$14,+SUM('3. Consumption by Rate Class'!$D$121:$D$132),+IF($J$19='2. Customer Classes'!$B$15,+SUM('3. Consumption by Rate Class'!$F$121:$F$132),+IF($J$19='2. Customer Classes'!$B$16,+SUM('3. Consumption by Rate Class'!$H$121:$H$132),+IF($J$19='2. Customer Classes'!$B$17,+SUM('3. Consumption by Rate Class'!$J$121:$J$132),+IF($J$19='2. Customer Classes'!$B$18,+SUM('3. Consumption by Rate Class'!$L$121:$L$132),+IF($J$19='2. Customer Classes'!$B$19,+SUM('3. Consumption by Rate Class'!$O$121:$O$132),IF($J$19='2. Customer Classes'!$B$20,+SUM('3. Consumption by Rate Class'!$R$121:$R$132),0)))))))</f>
        <v>31708039.23</v>
      </c>
      <c r="L29" s="72">
        <f t="shared" si="13"/>
        <v>198259056.0149</v>
      </c>
      <c r="M29" s="72">
        <f t="shared" si="0"/>
        <v>199210663.16643396</v>
      </c>
      <c r="N29" s="73">
        <f t="shared" si="1"/>
        <v>0.15993236257322344</v>
      </c>
      <c r="O29" s="72">
        <f t="shared" si="14"/>
        <v>31860232.009986404</v>
      </c>
      <c r="P29" s="70">
        <f>IF($J$19='2. Customer Classes'!$B$14,+O29/'4. Customer Growth'!$C25,+IF($J$19='2. Customer Classes'!$B$15,+O29/'4. Customer Growth'!$E25,+IF($J$19='2. Customer Classes'!$B$16,+O29/'4. Customer Growth'!$G25,+IF($J$19='2. Customer Classes'!$B$17,+O29/'4. Customer Growth'!$I25,+IF($J$19='2. Customer Classes'!$B$18,+O29/'4. Customer Growth'!$K25,+IF($J$19='2. Customer Classes'!$B$19,+O29/'4. Customer Growth'!$M25,IF($J$19='2. Customer Classes'!$B$20,+O29/'4. Customer Growth'!$O25)))))))</f>
        <v>23910.117831134263</v>
      </c>
      <c r="Q29" s="82"/>
      <c r="R29" s="178">
        <f t="shared" si="15"/>
        <v>2013</v>
      </c>
      <c r="S29" s="70">
        <f>IF($R$19='2. Customer Classes'!$B$14,+SUM('3. Consumption by Rate Class'!$D$121:$D$132),+IF($R$19='2. Customer Classes'!$B$15,+SUM('3. Consumption by Rate Class'!$F$121:$F$132),+IF($R$19='2. Customer Classes'!$B$16,+SUM('3. Consumption by Rate Class'!$H$121:$H$132),+IF($R$19='2. Customer Classes'!$B$17,+SUM('3. Consumption by Rate Class'!$J$121:$J$132),+IF($R$19='2. Customer Classes'!$B$18,+SUM('3. Consumption by Rate Class'!$L$121:$L$132),+IF($R$19='2. Customer Classes'!$B$19,+SUM('3. Consumption by Rate Class'!$O$121:$O$132),IF($R$19='2. Customer Classes'!$B$20,+SUM('3. Consumption by Rate Class'!$R$121:$R$132),0)))))))</f>
        <v>73596923.409999996</v>
      </c>
      <c r="T29" s="72">
        <f t="shared" si="2"/>
        <v>198259056.0149</v>
      </c>
      <c r="U29" s="72">
        <f t="shared" si="3"/>
        <v>199210663.16643396</v>
      </c>
      <c r="V29" s="73">
        <f t="shared" si="16"/>
        <v>0.37121594790842177</v>
      </c>
      <c r="W29" s="72">
        <f t="shared" si="17"/>
        <v>73950175.160793111</v>
      </c>
      <c r="X29" s="70">
        <f>IF($R$19='2. Customer Classes'!$B$14,+W29/'4. Customer Growth'!$C25,+IF($R$19='2. Customer Classes'!$B$15,+W29/'4. Customer Growth'!$E25,+IF($R$19='2. Customer Classes'!$B$16,+W29/'4. Customer Growth'!$G25,+IF($R$19='2. Customer Classes'!$B$17,+W29/'4. Customer Growth'!$I25,+IF($R$19='2. Customer Classes'!$B$18,+W29/'4. Customer Growth'!$K25,+IF($R$19='2. Customer Classes'!$B$19,+W29/'4. Customer Growth'!$M25,IF($R$19='2. Customer Classes'!$B$20,+W29/'4. Customer Growth'!$O25)))))))</f>
        <v>508248.62653466058</v>
      </c>
      <c r="Z29" s="178">
        <f t="shared" si="18"/>
        <v>2013</v>
      </c>
      <c r="AA29" s="70">
        <f>IF($Z$19='2. Customer Classes'!$B$14,+SUM('3. Consumption by Rate Class'!$D$121:$D$132),+IF($Z$19='2. Customer Classes'!$B$15,+SUM('3. Consumption by Rate Class'!$F$121:$F$132),+IF($Z$19='2. Customer Classes'!$B$16,+SUM('3. Consumption by Rate Class'!$H$121:$H$132),+IF($Z$19='2. Customer Classes'!$B$17,+SUM('3. Consumption by Rate Class'!$J$121:$J$132),+IF($Z$19='2. Customer Classes'!$B$18,+SUM('3. Consumption by Rate Class'!$L$121:$L$132),+IF($Z$19='2. Customer Classes'!$B$19,+SUM('3. Consumption by Rate Class'!$O$121:$O$132),IF($Z$19='2. Customer Classes'!$B$20,+SUM('3. Consumption by Rate Class'!$R$121:$R$132),0)))))))</f>
        <v>0</v>
      </c>
      <c r="AB29" s="225">
        <f t="shared" si="4"/>
        <v>198259056.0149</v>
      </c>
      <c r="AC29" s="225">
        <f t="shared" si="5"/>
        <v>199210663.16643396</v>
      </c>
      <c r="AD29" s="73">
        <f t="shared" si="6"/>
        <v>0</v>
      </c>
      <c r="AE29" s="225">
        <f t="shared" si="19"/>
        <v>0</v>
      </c>
      <c r="AF29" s="70" t="e">
        <f>IF($Z$19='2. Customer Classes'!$B$14,+AE29/'4. Customer Growth'!$C25,+IF($Z$19='2. Customer Classes'!$B$15,+AE29/'4. Customer Growth'!$E25,+IF($Z$19='2. Customer Classes'!$B$16,+AE29/'4. Customer Growth'!$G25,+IF($Z$19='2. Customer Classes'!$B$17,+AE29/'4. Customer Growth'!$I25,+IF($Z$19='2. Customer Classes'!$B$18,+AE29/'4. Customer Growth'!$K25,+IF($Z$19='2. Customer Classes'!$B$19,+AE29/'4. Customer Growth'!$M25,IF($Z$19='2. Customer Classes'!$B$20,+AE29/'4. Customer Growth'!$O25)))))))</f>
        <v>#DIV/0!</v>
      </c>
      <c r="AH29" s="178">
        <f t="shared" si="20"/>
        <v>2013</v>
      </c>
      <c r="AI29" s="70">
        <f>IF($AH$19='2. Customer Classes'!$B$14,+SUM('3. Consumption by Rate Class'!$D$121:$D$132),+IF($AH$19='2. Customer Classes'!$B$15,+SUM('3. Consumption by Rate Class'!$F$121:$F$132),+IF($AH$19='2. Customer Classes'!$B$16,+SUM('3. Consumption by Rate Class'!$H$121:$H$132),+IF($AH$19='2. Customer Classes'!$B$17,+SUM('3. Consumption by Rate Class'!$J$121:$J$132),+IF($AH$19='2. Customer Classes'!$B$18,+SUM('3. Consumption by Rate Class'!$L$121:$L$132),+IF($AH$19='2. Customer Classes'!$B$19,+SUM('3. Consumption by Rate Class'!$O$121:$O$132),IF($AH$19='2. Customer Classes'!$B$20,+SUM('3. Consumption by Rate Class'!$R$121:$R$132),0)))))))</f>
        <v>0</v>
      </c>
      <c r="AJ29" s="225">
        <f t="shared" si="7"/>
        <v>198259056.0149</v>
      </c>
      <c r="AK29" s="225">
        <f t="shared" si="8"/>
        <v>199210663.16643396</v>
      </c>
      <c r="AL29" s="73">
        <f t="shared" si="9"/>
        <v>0</v>
      </c>
      <c r="AM29" s="225">
        <f t="shared" si="21"/>
        <v>0</v>
      </c>
      <c r="AN29" s="70" t="e">
        <f>IF($AH$19='2. Customer Classes'!$B$14,+AM29/'4. Customer Growth'!$C25,+IF($AH$19='2. Customer Classes'!$B$15,+AM29/'4. Customer Growth'!$E25,+IF($AH$19='2. Customer Classes'!$B$16,+AM29/'4. Customer Growth'!$G25,+IF($AH$19='2. Customer Classes'!$B$17,+AM29/'4. Customer Growth'!$I25,+IF($AH$19='2. Customer Classes'!$B$18,+AM29/'4. Customer Growth'!$K25,+IF($AH$19='2. Customer Classes'!$B$19,+AM29/'4. Customer Growth'!$M25,IF($AH$19='2. Customer Classes'!$B$20,+AM29/'4. Customer Growth'!$O25)))))))</f>
        <v>#DIV/0!</v>
      </c>
    </row>
    <row r="30" spans="2:40" x14ac:dyDescent="0.2">
      <c r="B30" s="178">
        <f>'4. Customer Growth'!B26</f>
        <v>2014</v>
      </c>
      <c r="C30" s="70">
        <f>IF($B$19='2. Customer Classes'!$B$14,+SUM('3. Consumption by Rate Class'!$D$133:$D$144),+IF($B$19='2. Customer Classes'!$B$15,+SUM('3. Consumption by Rate Class'!$F$133:$F$144),+IF($B$19='2. Customer Classes'!$B$16,+SUM('3. Consumption by Rate Class'!$H$133:$H$144),+IF($B$19='2. Customer Classes'!$B$17,+SUM('3. Consumption by Rate Class'!$J$133:$J$144),+IF($B$19='2. Customer Classes'!$B$18,+SUM('3. Consumption by Rate Class'!$L$133:$L$144),+IF($B$19='2. Customer Classes'!$B$19,+SUM('3. Consumption by Rate Class'!$O$133:$O$144),IF($B$19='2. Customer Classes'!$B$20,+SUM('3. Consumption by Rate Class'!$R$133:$R$144),0)))))))</f>
        <v>79483998.230000004</v>
      </c>
      <c r="D30" s="72">
        <f>SUM('6. WS Regression Analysis'!J128:J139)</f>
        <v>191637148.35999998</v>
      </c>
      <c r="E30" s="72">
        <f>SUM('6. WS Regression Analysis'!R128:R139)</f>
        <v>200106964.7243894</v>
      </c>
      <c r="F30" s="73">
        <f>C30/D30</f>
        <v>0.41476299825065926</v>
      </c>
      <c r="G30" s="72">
        <f>E30*F30</f>
        <v>82996964.659926653</v>
      </c>
      <c r="H30" s="70">
        <f>IF($B$19='2. Customer Classes'!$B$14,+G30/'4. Customer Growth'!$C26,+IF($B$19='2. Customer Classes'!$B$15,+G30/'4. Customer Growth'!$E26,+IF($B$19='2. Customer Classes'!$B$16,+G30/'4. Customer Growth'!$G26,+IF($B$19='2. Customer Classes'!$B$17,+G30/'4. Customer Growth'!$I26,+IF($B$19='2. Customer Classes'!$B$18,+G30/'4. Customer Growth'!$K26,+IF($B$19='2. Customer Classes'!$B$19,+G30/'4. Customer Growth'!$M26,IF($B$19='2. Customer Classes'!$B$20,+G30/'4. Customer Growth'!$O26)))))))</f>
        <v>8919.609313264551</v>
      </c>
      <c r="I30" s="82"/>
      <c r="J30" s="178">
        <f t="shared" si="12"/>
        <v>2014</v>
      </c>
      <c r="K30" s="70">
        <f>IF($J$19='2. Customer Classes'!$B$14,+SUM('3. Consumption by Rate Class'!$D$133:$D$144),+IF($J$19='2. Customer Classes'!$B$15,+SUM('3. Consumption by Rate Class'!$F$133:$F$144),+IF($J$19='2. Customer Classes'!$B$16,+SUM('3. Consumption by Rate Class'!$H$133:$H$144),+IF($J$19='2. Customer Classes'!$B$17,+SUM('3. Consumption by Rate Class'!$J$133:$J$144),+IF($J$19='2. Customer Classes'!$B$18,+SUM('3. Consumption by Rate Class'!$L$133:$L$144),+IF($J$19='2. Customer Classes'!$B$19,+SUM('3. Consumption by Rate Class'!$O$133:$O$144),IF($J$19='2. Customer Classes'!$B$20,+SUM('3. Consumption by Rate Class'!$R$133:$R$144),0)))))))</f>
        <v>31649726.120000001</v>
      </c>
      <c r="L30" s="72">
        <f t="shared" si="13"/>
        <v>191637148.35999998</v>
      </c>
      <c r="M30" s="72">
        <f t="shared" si="0"/>
        <v>200106964.7243894</v>
      </c>
      <c r="N30" s="73">
        <f>K30/L30</f>
        <v>0.16515444104054608</v>
      </c>
      <c r="O30" s="72">
        <f t="shared" si="14"/>
        <v>33048553.907376803</v>
      </c>
      <c r="P30" s="70">
        <f>IF($J$19='2. Customer Classes'!$B$14,+O30/'4. Customer Growth'!$C26,+IF($J$19='2. Customer Classes'!$B$15,+O30/'4. Customer Growth'!$E26,+IF($J$19='2. Customer Classes'!$B$16,+O30/'4. Customer Growth'!$G26,+IF($J$19='2. Customer Classes'!$B$17,+O30/'4. Customer Growth'!$I26,+IF($J$19='2. Customer Classes'!$B$18,+O30/'4. Customer Growth'!$K26,+IF($J$19='2. Customer Classes'!$B$19,+O30/'4. Customer Growth'!$M26,IF($J$19='2. Customer Classes'!$B$20,+O30/'4. Customer Growth'!$O26)))))))</f>
        <v>25074.775347023373</v>
      </c>
      <c r="Q30" s="82"/>
      <c r="R30" s="178">
        <f t="shared" si="15"/>
        <v>2014</v>
      </c>
      <c r="S30" s="70">
        <f>IF($R$19='2. Customer Classes'!$B$14,+SUM('3. Consumption by Rate Class'!$D$133:$D$144),+IF($R$19='2. Customer Classes'!$B$15,+SUM('3. Consumption by Rate Class'!$F$133:$F$144),+IF($R$19='2. Customer Classes'!$B$16,+SUM('3. Consumption by Rate Class'!$H$133:$H$144),+IF($R$19='2. Customer Classes'!$B$17,+SUM('3. Consumption by Rate Class'!$J$133:$J$144),+IF($R$19='2. Customer Classes'!$B$18,+SUM('3. Consumption by Rate Class'!$L$133:$L$144),+IF($R$19='2. Customer Classes'!$B$19,+SUM('3. Consumption by Rate Class'!$O$133:$O$144),IF($R$19='2. Customer Classes'!$B$20,+SUM('3. Consumption by Rate Class'!$R$133:$R$144),0)))))))</f>
        <v>72512848.979999989</v>
      </c>
      <c r="T30" s="72">
        <f t="shared" si="2"/>
        <v>191637148.35999998</v>
      </c>
      <c r="U30" s="72">
        <f t="shared" si="3"/>
        <v>200106964.7243894</v>
      </c>
      <c r="V30" s="73">
        <f>S30/T30</f>
        <v>0.37838618243150313</v>
      </c>
      <c r="W30" s="72">
        <f t="shared" si="17"/>
        <v>75717710.460017174</v>
      </c>
      <c r="X30" s="70">
        <f>IF($R$19='2. Customer Classes'!$B$14,+W30/'4. Customer Growth'!$C26,+IF($R$19='2. Customer Classes'!$B$15,+W30/'4. Customer Growth'!$E26,+IF($R$19='2. Customer Classes'!$B$16,+W30/'4. Customer Growth'!$G26,+IF($R$19='2. Customer Classes'!$B$17,+W30/'4. Customer Growth'!$I26,+IF($R$19='2. Customer Classes'!$B$18,+W30/'4. Customer Growth'!$K26,+IF($R$19='2. Customer Classes'!$B$19,+W30/'4. Customer Growth'!$M26,IF($R$19='2. Customer Classes'!$B$20,+W30/'4. Customer Growth'!$O26)))))))</f>
        <v>516844.44000011723</v>
      </c>
      <c r="Z30" s="178">
        <f t="shared" si="18"/>
        <v>2014</v>
      </c>
      <c r="AA30" s="70">
        <f>IF($Z$19='2. Customer Classes'!$B$14,+SUM('3. Consumption by Rate Class'!$D$133:$D$144),+IF($Z$19='2. Customer Classes'!$B$15,+SUM('3. Consumption by Rate Class'!$F$133:$F$144),+IF($Z$19='2. Customer Classes'!$B$16,+SUM('3. Consumption by Rate Class'!$H$133:$H$144),+IF($Z$19='2. Customer Classes'!$B$17,+SUM('3. Consumption by Rate Class'!$J$133:$J$144),+IF($Z$19='2. Customer Classes'!$B$18,+SUM('3. Consumption by Rate Class'!$L$133:$L$144),+IF($Z$19='2. Customer Classes'!$B$19,+SUM('3. Consumption by Rate Class'!$O$133:$O$144),IF($Z$19='2. Customer Classes'!$B$20,+SUM('3. Consumption by Rate Class'!$R$133:$R$144),0)))))))</f>
        <v>0</v>
      </c>
      <c r="AB30" s="225">
        <f t="shared" si="4"/>
        <v>191637148.35999998</v>
      </c>
      <c r="AC30" s="225">
        <f t="shared" si="5"/>
        <v>200106964.7243894</v>
      </c>
      <c r="AD30" s="73">
        <f t="shared" si="6"/>
        <v>0</v>
      </c>
      <c r="AE30" s="225">
        <f t="shared" si="19"/>
        <v>0</v>
      </c>
      <c r="AF30" s="70" t="e">
        <f>IF($Z$19='2. Customer Classes'!$B$14,+AE30/'4. Customer Growth'!$C26,+IF($Z$19='2. Customer Classes'!$B$15,+AE30/'4. Customer Growth'!$E26,+IF($Z$19='2. Customer Classes'!$B$16,+AE30/'4. Customer Growth'!$G26,+IF($Z$19='2. Customer Classes'!$B$17,+AE30/'4. Customer Growth'!$I26,+IF($Z$19='2. Customer Classes'!$B$18,+AE30/'4. Customer Growth'!$K26,+IF($Z$19='2. Customer Classes'!$B$19,+AE30/'4. Customer Growth'!$M26,IF($Z$19='2. Customer Classes'!$B$20,+AE30/'4. Customer Growth'!$O26)))))))</f>
        <v>#DIV/0!</v>
      </c>
      <c r="AH30" s="178">
        <f t="shared" si="20"/>
        <v>2014</v>
      </c>
      <c r="AI30" s="70">
        <f>IF($AH$19='2. Customer Classes'!$B$14,+SUM('3. Consumption by Rate Class'!$D$133:$D$144),+IF($AH$19='2. Customer Classes'!$B$15,+SUM('3. Consumption by Rate Class'!$F$133:$F$144),+IF($AH$19='2. Customer Classes'!$B$16,+SUM('3. Consumption by Rate Class'!$H$133:$H$144),+IF($AH$19='2. Customer Classes'!$B$17,+SUM('3. Consumption by Rate Class'!$J$133:$J$144),+IF($AH$19='2. Customer Classes'!$B$18,+SUM('3. Consumption by Rate Class'!$L$133:$L$144),+IF($AH$19='2. Customer Classes'!$B$19,+SUM('3. Consumption by Rate Class'!$O$133:$O$144),IF($AH$19='2. Customer Classes'!$B$20,+SUM('3. Consumption by Rate Class'!$R$133:$R$144),0)))))))</f>
        <v>0</v>
      </c>
      <c r="AJ30" s="225">
        <f t="shared" si="7"/>
        <v>191637148.35999998</v>
      </c>
      <c r="AK30" s="225">
        <f t="shared" si="8"/>
        <v>200106964.7243894</v>
      </c>
      <c r="AL30" s="73">
        <f t="shared" si="9"/>
        <v>0</v>
      </c>
      <c r="AM30" s="225">
        <f t="shared" si="21"/>
        <v>0</v>
      </c>
      <c r="AN30" s="70" t="e">
        <f>IF($AH$19='2. Customer Classes'!$B$14,+AM30/'4. Customer Growth'!$C26,+IF($AH$19='2. Customer Classes'!$B$15,+AM30/'4. Customer Growth'!$E26,+IF($AH$19='2. Customer Classes'!$B$16,+AM30/'4. Customer Growth'!$G26,+IF($AH$19='2. Customer Classes'!$B$17,+AM30/'4. Customer Growth'!$I26,+IF($AH$19='2. Customer Classes'!$B$18,+AM30/'4. Customer Growth'!$K26,+IF($AH$19='2. Customer Classes'!$B$19,+AM30/'4. Customer Growth'!$M26,IF($AH$19='2. Customer Classes'!$B$20,+AM30/'4. Customer Growth'!$O26)))))))</f>
        <v>#DIV/0!</v>
      </c>
    </row>
    <row r="31" spans="2:40" ht="14.25" customHeight="1" x14ac:dyDescent="0.2">
      <c r="B31" s="179" t="str">
        <f>'4. Customer Growth'!B30</f>
        <v>2015</v>
      </c>
      <c r="C31" s="75"/>
      <c r="D31" s="75"/>
      <c r="E31" s="163">
        <f>SUM('6. WS Regression Analysis'!R140:R151)</f>
        <v>199517622.55165914</v>
      </c>
      <c r="F31" s="76">
        <f>AVERAGE(F21:F30)</f>
        <v>0.39314218055825734</v>
      </c>
      <c r="G31" s="163">
        <f>E31*F31</f>
        <v>78438793.189758614</v>
      </c>
      <c r="H31" s="70">
        <f>IF($B$19='2. Customer Classes'!$B$14,+G31/'4. Customer Growth'!$C26,+IF($B$19='2. Customer Classes'!$B$15,+G31/'4. Customer Growth'!$E26,+IF($B$19='2. Customer Classes'!$B$16,+G31/'4. Customer Growth'!$G26,+IF($B$19='2. Customer Classes'!$B$17,+G31/'4. Customer Growth'!$I26,+IF($B$19='2. Customer Classes'!$B$18,+G31/'4. Customer Growth'!$K26,+IF($B$19='2. Customer Classes'!$B$19,+G31/'4. Customer Growth'!$M26,IF($B$19='2. Customer Classes'!$B$20,+G31/'4. Customer Growth'!$O26)))))))</f>
        <v>8429.7467157182818</v>
      </c>
      <c r="I31" s="82"/>
      <c r="J31" s="179" t="str">
        <f t="shared" si="12"/>
        <v>2015</v>
      </c>
      <c r="K31" s="75"/>
      <c r="L31" s="75"/>
      <c r="M31" s="163">
        <f>E31</f>
        <v>199517622.55165914</v>
      </c>
      <c r="N31" s="76">
        <f>AVERAGE(N21:N30)</f>
        <v>0.17519150000828898</v>
      </c>
      <c r="O31" s="163">
        <f>M31*N31</f>
        <v>34953791.57291279</v>
      </c>
      <c r="P31" s="70">
        <f>IF($J$19='2. Customer Classes'!$B$14,+O31/'4. Customer Growth'!$C26,+IF($J$19='2. Customer Classes'!$B$15,+O31/'4. Customer Growth'!$E26,+IF($J$19='2. Customer Classes'!$B$16,+O31/'4. Customer Growth'!$G26,+IF($J$19='2. Customer Classes'!$B$17,+O31/'4. Customer Growth'!$I26,+IF($J$19='2. Customer Classes'!$B$18,+O31/'4. Customer Growth'!$K26,+IF($J$19='2. Customer Classes'!$B$19,+O31/'4. Customer Growth'!$M26,IF($J$19='2. Customer Classes'!$B$20,+O31/'4. Customer Growth'!$O26)))))))</f>
        <v>26520.327445305607</v>
      </c>
      <c r="Q31" s="82"/>
      <c r="R31" s="179" t="str">
        <f t="shared" si="15"/>
        <v>2015</v>
      </c>
      <c r="S31" s="75"/>
      <c r="T31" s="75"/>
      <c r="U31" s="131">
        <f>M31</f>
        <v>199517622.55165914</v>
      </c>
      <c r="V31" s="76">
        <f>AVERAGE(V21:V30)</f>
        <v>0.37997135446440339</v>
      </c>
      <c r="W31" s="131">
        <f>U31*V31</f>
        <v>75810981.280471519</v>
      </c>
      <c r="X31" s="70">
        <f>IF($R$19='2. Customer Classes'!$B$14,+W31/'4. Customer Growth'!$C26,+IF($R$19='2. Customer Classes'!$B$15,+W31/'4. Customer Growth'!$E26,+IF($R$19='2. Customer Classes'!$B$16,+W31/'4. Customer Growth'!$G26,+IF($R$19='2. Customer Classes'!$B$17,+W31/'4. Customer Growth'!$I26,+IF($R$19='2. Customer Classes'!$B$18,+W31/'4. Customer Growth'!$K26,+IF($R$19='2. Customer Classes'!$B$19,+W31/'4. Customer Growth'!$M26,IF($R$19='2. Customer Classes'!$B$20,+W31/'4. Customer Growth'!$O26)))))))</f>
        <v>517481.10089059058</v>
      </c>
      <c r="Z31" s="179" t="str">
        <f t="shared" si="18"/>
        <v>2015</v>
      </c>
      <c r="AA31" s="75"/>
      <c r="AB31" s="75"/>
      <c r="AC31" s="280">
        <f>U31</f>
        <v>199517622.55165914</v>
      </c>
      <c r="AD31" s="76">
        <f>AVERAGE(AD21:AD30)</f>
        <v>0</v>
      </c>
      <c r="AE31" s="280">
        <f>AC31*AD31</f>
        <v>0</v>
      </c>
      <c r="AF31" s="70" t="e">
        <f>IF($Z$19='2. Customer Classes'!$B$14,+AE31/'4. Customer Growth'!$C26,+IF($Z$19='2. Customer Classes'!$B$15,+AE31/'4. Customer Growth'!$E26,+IF($Z$19='2. Customer Classes'!$B$16,+AE31/'4. Customer Growth'!$G26,+IF($Z$19='2. Customer Classes'!$B$17,+AE31/'4. Customer Growth'!$I26,+IF($Z$19='2. Customer Classes'!$B$18,+AE31/'4. Customer Growth'!$K26,+IF($Z$19='2. Customer Classes'!$B$19,+AE31/'4. Customer Growth'!$M26,IF($Z$19='2. Customer Classes'!$B$20,+AE31/'4. Customer Growth'!$O26)))))))</f>
        <v>#DIV/0!</v>
      </c>
      <c r="AH31" s="179" t="str">
        <f t="shared" si="20"/>
        <v>2015</v>
      </c>
      <c r="AI31" s="75"/>
      <c r="AJ31" s="75"/>
      <c r="AK31" s="280">
        <f>AC31</f>
        <v>199517622.55165914</v>
      </c>
      <c r="AL31" s="76">
        <f>AL30</f>
        <v>0</v>
      </c>
      <c r="AM31" s="280">
        <f>AK31*AL31</f>
        <v>0</v>
      </c>
      <c r="AN31" s="70" t="e">
        <f>IF($AH$19='2. Customer Classes'!$B$14,+AM31/'4. Customer Growth'!$C26,+IF($AH$19='2. Customer Classes'!$B$15,+AM31/'4. Customer Growth'!$E26,+IF($AH$19='2. Customer Classes'!$B$16,+AM31/'4. Customer Growth'!$G26,+IF($AH$19='2. Customer Classes'!$B$17,+AM31/'4. Customer Growth'!$I26,+IF($AH$19='2. Customer Classes'!$B$18,+AM31/'4. Customer Growth'!$K26,+IF($AH$19='2. Customer Classes'!$B$19,+AM31/'4. Customer Growth'!$M26,IF($AH$19='2. Customer Classes'!$B$20,+AM31/'4. Customer Growth'!$O26)))))))</f>
        <v>#DIV/0!</v>
      </c>
    </row>
    <row r="32" spans="2:40" ht="14.25" customHeight="1" thickBot="1" x14ac:dyDescent="0.25">
      <c r="B32" s="180" t="str">
        <f>'4. Customer Growth'!B31</f>
        <v>2016</v>
      </c>
      <c r="C32" s="77"/>
      <c r="D32" s="77"/>
      <c r="E32" s="164">
        <f>SUM('6. WS Regression Analysis'!R152:R163)</f>
        <v>199084954.49928209</v>
      </c>
      <c r="F32" s="78">
        <f>F31</f>
        <v>0.39314218055825734</v>
      </c>
      <c r="G32" s="164">
        <f t="shared" si="11"/>
        <v>78268693.128189206</v>
      </c>
      <c r="H32" s="70">
        <f>IF($B$19='2. Customer Classes'!$B$14,+G32/'4. Customer Growth'!$C26,+IF($B$19='2. Customer Classes'!$B$15,+G32/'4. Customer Growth'!$E26,+IF($B$19='2. Customer Classes'!$B$16,+G32/'4. Customer Growth'!$G26,+IF($B$19='2. Customer Classes'!$B$17,+G32/'4. Customer Growth'!$I26,+IF($B$19='2. Customer Classes'!$B$18,+G32/'4. Customer Growth'!$K26,+IF($B$19='2. Customer Classes'!$B$19,+G32/'4. Customer Growth'!$M26,IF($B$19='2. Customer Classes'!$B$20,+G32/'4. Customer Growth'!$O26)))))))</f>
        <v>8411.4662147436011</v>
      </c>
      <c r="I32" s="82"/>
      <c r="J32" s="180" t="str">
        <f t="shared" si="12"/>
        <v>2016</v>
      </c>
      <c r="K32" s="77"/>
      <c r="L32" s="77"/>
      <c r="M32" s="164">
        <f>E32</f>
        <v>199084954.49928209</v>
      </c>
      <c r="N32" s="78">
        <f>N31</f>
        <v>0.17519150000828898</v>
      </c>
      <c r="O32" s="164">
        <f>M32*N32</f>
        <v>34877991.807811193</v>
      </c>
      <c r="P32" s="70">
        <f>IF($J$19='2. Customer Classes'!$B$14,+O32/'4. Customer Growth'!$C26,+IF($J$19='2. Customer Classes'!$B$15,+O32/'4. Customer Growth'!$E26,+IF($J$19='2. Customer Classes'!$B$16,+O32/'4. Customer Growth'!$G26,+IF($J$19='2. Customer Classes'!$B$17,+O32/'4. Customer Growth'!$I26,+IF($J$19='2. Customer Classes'!$B$18,+O32/'4. Customer Growth'!$K26,+IF($J$19='2. Customer Classes'!$B$19,+O32/'4. Customer Growth'!$M26,IF($J$19='2. Customer Classes'!$B$20,+O32/'4. Customer Growth'!$O26)))))))</f>
        <v>26462.816242648856</v>
      </c>
      <c r="Q32" s="82"/>
      <c r="R32" s="179" t="str">
        <f t="shared" si="15"/>
        <v>2016</v>
      </c>
      <c r="S32" s="77"/>
      <c r="T32" s="77"/>
      <c r="U32" s="132">
        <f>M32</f>
        <v>199084954.49928209</v>
      </c>
      <c r="V32" s="78">
        <f>V31</f>
        <v>0.37997135446440339</v>
      </c>
      <c r="W32" s="132">
        <f>U32*V32</f>
        <v>75646579.814576343</v>
      </c>
      <c r="X32" s="70">
        <f>IF($R$19='2. Customer Classes'!$B$14,+W32/'4. Customer Growth'!$C26,+IF($R$19='2. Customer Classes'!$B$15,+W32/'4. Customer Growth'!$E26,+IF($R$19='2. Customer Classes'!$B$16,+W32/'4. Customer Growth'!$G26,+IF($R$19='2. Customer Classes'!$B$17,+W32/'4. Customer Growth'!$I26,+IF($R$19='2. Customer Classes'!$B$18,+W32/'4. Customer Growth'!$K26,+IF($R$19='2. Customer Classes'!$B$19,+W32/'4. Customer Growth'!$M26,IF($R$19='2. Customer Classes'!$B$20,+W32/'4. Customer Growth'!$O26)))))))</f>
        <v>516358.90658413887</v>
      </c>
      <c r="Z32" s="179" t="str">
        <f t="shared" si="18"/>
        <v>2016</v>
      </c>
      <c r="AA32" s="77"/>
      <c r="AB32" s="77"/>
      <c r="AC32" s="279">
        <f>U32</f>
        <v>199084954.49928209</v>
      </c>
      <c r="AD32" s="78">
        <f>AD31</f>
        <v>0</v>
      </c>
      <c r="AE32" s="279">
        <f>AC32*AD32</f>
        <v>0</v>
      </c>
      <c r="AF32" s="70" t="e">
        <f>IF($Z$19='2. Customer Classes'!$B$14,+AE32/'4. Customer Growth'!$C26,+IF($Z$19='2. Customer Classes'!$B$15,+AE32/'4. Customer Growth'!$E26,+IF($Z$19='2. Customer Classes'!$B$16,+AE32/'4. Customer Growth'!$G26,+IF($Z$19='2. Customer Classes'!$B$17,+AE32/'4. Customer Growth'!$I26,+IF($Z$19='2. Customer Classes'!$B$18,+AE32/'4. Customer Growth'!$K26,+IF($Z$19='2. Customer Classes'!$B$19,+AE32/'4. Customer Growth'!$M26,IF($Z$19='2. Customer Classes'!$B$20,+AE32/'4. Customer Growth'!$O26)))))))</f>
        <v>#DIV/0!</v>
      </c>
      <c r="AH32" s="179" t="str">
        <f t="shared" si="20"/>
        <v>2016</v>
      </c>
      <c r="AI32" s="77"/>
      <c r="AJ32" s="77"/>
      <c r="AK32" s="279">
        <f>AC32</f>
        <v>199084954.49928209</v>
      </c>
      <c r="AL32" s="78">
        <f>AL31</f>
        <v>0</v>
      </c>
      <c r="AM32" s="279">
        <f>AK32*AL32</f>
        <v>0</v>
      </c>
      <c r="AN32" s="70" t="e">
        <f>IF($AH$19='2. Customer Classes'!$B$14,+AM32/'4. Customer Growth'!$C26,+IF($AH$19='2. Customer Classes'!$B$15,+AM32/'4. Customer Growth'!$E26,+IF($AH$19='2. Customer Classes'!$B$16,+AM32/'4. Customer Growth'!$G26,+IF($AH$19='2. Customer Classes'!$B$17,+AM32/'4. Customer Growth'!$I26,+IF($AH$19='2. Customer Classes'!$B$18,+AM32/'4. Customer Growth'!$K26,+IF($AH$19='2. Customer Classes'!$B$19,+AM32/'4. Customer Growth'!$M26,IF($AH$19='2. Customer Classes'!$B$20,+AM32/'4. Customer Growth'!$O26)))))))</f>
        <v>#DIV/0!</v>
      </c>
    </row>
    <row r="33" spans="2:40" ht="13.5" customHeight="1" x14ac:dyDescent="0.2">
      <c r="B33" s="862" t="s">
        <v>156</v>
      </c>
      <c r="C33" s="862"/>
      <c r="D33" s="862"/>
      <c r="E33" s="862"/>
      <c r="F33" s="862"/>
      <c r="G33" s="862"/>
      <c r="H33" s="862"/>
      <c r="I33" s="30"/>
      <c r="J33" s="862" t="s">
        <v>156</v>
      </c>
      <c r="K33" s="862"/>
      <c r="L33" s="862"/>
      <c r="M33" s="862"/>
      <c r="N33" s="862"/>
      <c r="O33" s="862"/>
      <c r="P33" s="862"/>
      <c r="R33" s="862" t="s">
        <v>156</v>
      </c>
      <c r="S33" s="862"/>
      <c r="T33" s="862"/>
      <c r="U33" s="862"/>
      <c r="V33" s="862"/>
      <c r="W33" s="862"/>
      <c r="X33" s="862"/>
      <c r="Z33" s="862" t="s">
        <v>156</v>
      </c>
      <c r="AA33" s="862"/>
      <c r="AB33" s="862"/>
      <c r="AC33" s="862"/>
      <c r="AD33" s="862"/>
      <c r="AE33" s="862"/>
      <c r="AF33" s="862"/>
      <c r="AH33" s="862" t="s">
        <v>156</v>
      </c>
      <c r="AI33" s="862"/>
      <c r="AJ33" s="862"/>
      <c r="AK33" s="862"/>
      <c r="AL33" s="862"/>
      <c r="AM33" s="862"/>
      <c r="AN33" s="862"/>
    </row>
    <row r="34" spans="2:40" x14ac:dyDescent="0.2">
      <c r="B34" s="148"/>
      <c r="C34" s="148"/>
      <c r="D34" s="148"/>
      <c r="E34" s="149"/>
      <c r="F34" s="150"/>
      <c r="G34" s="151"/>
      <c r="H34" s="153"/>
      <c r="I34" s="30"/>
      <c r="J34" s="152"/>
      <c r="K34" s="152"/>
      <c r="L34" s="152"/>
      <c r="M34" s="152"/>
      <c r="N34" s="152"/>
      <c r="O34" s="151"/>
      <c r="P34" s="152"/>
      <c r="R34" s="152"/>
      <c r="S34" s="152"/>
      <c r="T34" s="152"/>
      <c r="U34" s="152"/>
      <c r="V34" s="152"/>
      <c r="W34" s="151"/>
      <c r="X34" s="152"/>
      <c r="Z34" s="152"/>
      <c r="AA34" s="152"/>
      <c r="AB34" s="152"/>
      <c r="AC34" s="152"/>
      <c r="AD34" s="152"/>
      <c r="AE34" s="151"/>
      <c r="AF34" s="152"/>
      <c r="AH34" s="152"/>
      <c r="AI34" s="152"/>
      <c r="AJ34" s="152"/>
      <c r="AK34" s="152"/>
      <c r="AL34" s="152"/>
      <c r="AM34" s="151"/>
      <c r="AN34" s="152"/>
    </row>
    <row r="35" spans="2:40" x14ac:dyDescent="0.2">
      <c r="B35" s="148"/>
      <c r="C35" s="148"/>
      <c r="D35" s="148"/>
      <c r="E35" s="149"/>
      <c r="F35" s="150"/>
      <c r="G35" s="151"/>
      <c r="H35" s="153"/>
      <c r="I35" s="30"/>
      <c r="J35" s="152"/>
      <c r="K35" s="152"/>
      <c r="L35" s="152"/>
      <c r="M35" s="152"/>
      <c r="N35" s="152"/>
      <c r="O35" s="151"/>
      <c r="P35" s="152"/>
      <c r="R35" s="152"/>
      <c r="S35" s="152"/>
      <c r="T35" s="152"/>
      <c r="U35" s="152"/>
      <c r="V35" s="152"/>
      <c r="W35" s="151"/>
      <c r="X35" s="152"/>
      <c r="Z35" s="152"/>
      <c r="AA35" s="152"/>
      <c r="AB35" s="152"/>
      <c r="AC35" s="152"/>
      <c r="AD35" s="152"/>
      <c r="AE35" s="151"/>
      <c r="AF35" s="152"/>
      <c r="AH35" s="152"/>
      <c r="AI35" s="152"/>
      <c r="AJ35" s="152"/>
      <c r="AK35" s="152"/>
      <c r="AL35" s="152"/>
      <c r="AM35" s="151"/>
      <c r="AN35" s="152"/>
    </row>
    <row r="36" spans="2:40" x14ac:dyDescent="0.2">
      <c r="B36" s="148"/>
      <c r="C36" s="148"/>
      <c r="D36" s="148"/>
      <c r="E36" s="149"/>
      <c r="F36" s="150"/>
      <c r="G36" s="151"/>
      <c r="H36" s="153"/>
      <c r="I36" s="30"/>
      <c r="J36" s="152"/>
      <c r="K36" s="152"/>
      <c r="L36" s="152"/>
      <c r="M36" s="152"/>
      <c r="N36" s="152"/>
      <c r="O36" s="151"/>
      <c r="P36" s="152"/>
      <c r="R36" s="152"/>
      <c r="S36" s="152"/>
      <c r="T36" s="152"/>
      <c r="U36" s="152"/>
      <c r="V36" s="152"/>
      <c r="W36" s="151"/>
      <c r="X36" s="152"/>
      <c r="Z36" s="152"/>
      <c r="AA36" s="152"/>
      <c r="AB36" s="152"/>
      <c r="AC36" s="152"/>
      <c r="AD36" s="152"/>
      <c r="AE36" s="151"/>
      <c r="AF36" s="152"/>
      <c r="AH36" s="152"/>
      <c r="AI36" s="152"/>
      <c r="AJ36" s="152"/>
      <c r="AK36" s="152"/>
      <c r="AL36" s="152"/>
      <c r="AM36" s="151"/>
      <c r="AN36" s="152"/>
    </row>
    <row r="37" spans="2:40" x14ac:dyDescent="0.2">
      <c r="B37" s="148"/>
      <c r="C37" s="148"/>
      <c r="D37" s="148"/>
      <c r="E37" s="149"/>
      <c r="F37" s="150"/>
      <c r="G37" s="151"/>
      <c r="H37" s="153"/>
      <c r="I37" s="30"/>
      <c r="J37" s="152"/>
      <c r="K37" s="152"/>
      <c r="L37" s="152"/>
      <c r="M37" s="152"/>
      <c r="N37" s="152"/>
      <c r="O37" s="151"/>
      <c r="P37" s="152"/>
      <c r="R37" s="152"/>
      <c r="S37" s="152"/>
      <c r="T37" s="152"/>
      <c r="U37" s="152"/>
      <c r="V37" s="152"/>
      <c r="W37" s="151"/>
      <c r="X37" s="152"/>
      <c r="Z37" s="152"/>
      <c r="AA37" s="152"/>
      <c r="AB37" s="152"/>
      <c r="AC37" s="152"/>
      <c r="AD37" s="152"/>
      <c r="AE37" s="151"/>
      <c r="AF37" s="152"/>
      <c r="AH37" s="152"/>
      <c r="AI37" s="152"/>
      <c r="AJ37" s="152"/>
      <c r="AK37" s="152"/>
      <c r="AL37" s="152"/>
      <c r="AM37" s="151"/>
      <c r="AN37" s="152"/>
    </row>
    <row r="38" spans="2:40" ht="15" x14ac:dyDescent="0.2">
      <c r="B38" s="861" t="s">
        <v>176</v>
      </c>
      <c r="C38" s="861"/>
      <c r="D38" s="861"/>
      <c r="E38" s="861"/>
      <c r="F38" s="861"/>
      <c r="G38" s="861"/>
      <c r="H38" s="861"/>
      <c r="I38" s="82"/>
      <c r="J38" s="861" t="s">
        <v>176</v>
      </c>
      <c r="K38" s="861"/>
      <c r="L38" s="861"/>
      <c r="M38" s="861"/>
      <c r="N38" s="861"/>
      <c r="O38" s="861"/>
      <c r="P38" s="861"/>
      <c r="Q38" s="82"/>
      <c r="R38" s="861" t="s">
        <v>176</v>
      </c>
      <c r="S38" s="861"/>
      <c r="T38" s="861"/>
      <c r="U38" s="861"/>
      <c r="V38" s="861"/>
      <c r="W38" s="861"/>
      <c r="X38" s="861"/>
      <c r="Z38" s="861" t="s">
        <v>176</v>
      </c>
      <c r="AA38" s="861"/>
      <c r="AB38" s="861"/>
      <c r="AC38" s="861"/>
      <c r="AD38" s="861"/>
      <c r="AE38" s="861"/>
      <c r="AF38" s="861"/>
      <c r="AH38" s="861" t="s">
        <v>176</v>
      </c>
      <c r="AI38" s="861"/>
      <c r="AJ38" s="861"/>
      <c r="AK38" s="861"/>
      <c r="AL38" s="861"/>
      <c r="AM38" s="861"/>
      <c r="AN38" s="861"/>
    </row>
    <row r="39" spans="2:40" ht="13.5" thickBot="1" x14ac:dyDescent="0.25">
      <c r="B39" s="79"/>
      <c r="C39" s="80"/>
      <c r="D39" s="80"/>
      <c r="E39" s="80"/>
      <c r="F39" s="80"/>
      <c r="G39" s="80"/>
      <c r="H39" s="82"/>
      <c r="I39" s="82"/>
      <c r="J39" s="79"/>
      <c r="K39" s="80"/>
      <c r="L39" s="80"/>
      <c r="M39" s="80"/>
      <c r="N39" s="80"/>
      <c r="O39" s="80"/>
      <c r="P39" s="82"/>
      <c r="Q39" s="82"/>
      <c r="R39" s="79"/>
      <c r="S39" s="80"/>
      <c r="T39" s="80"/>
      <c r="U39" s="80"/>
      <c r="V39" s="80"/>
      <c r="W39" s="80"/>
      <c r="X39" s="82"/>
      <c r="Z39" s="79"/>
      <c r="AA39" s="80"/>
      <c r="AB39" s="80"/>
      <c r="AC39" s="80"/>
      <c r="AD39" s="80"/>
      <c r="AE39" s="80"/>
      <c r="AF39" s="82"/>
      <c r="AH39" s="79"/>
      <c r="AI39" s="80"/>
      <c r="AJ39" s="80"/>
      <c r="AK39" s="80"/>
      <c r="AL39" s="80"/>
      <c r="AM39" s="80"/>
      <c r="AN39" s="82"/>
    </row>
    <row r="40" spans="2:40" ht="14.25" customHeight="1" thickBot="1" x14ac:dyDescent="0.25">
      <c r="B40" s="858" t="str">
        <f>B19</f>
        <v>Residential</v>
      </c>
      <c r="C40" s="859"/>
      <c r="D40" s="859"/>
      <c r="E40" s="859"/>
      <c r="F40" s="859"/>
      <c r="G40" s="859"/>
      <c r="H40" s="860"/>
      <c r="I40" s="145"/>
      <c r="J40" s="858" t="str">
        <f>J19</f>
        <v>General Service &lt; 50 kW</v>
      </c>
      <c r="K40" s="859"/>
      <c r="L40" s="859"/>
      <c r="M40" s="859"/>
      <c r="N40" s="859"/>
      <c r="O40" s="859"/>
      <c r="P40" s="860"/>
      <c r="Q40" s="145"/>
      <c r="R40" s="858" t="str">
        <f>R19</f>
        <v>General Service &gt; 50 kW - 4999 kW</v>
      </c>
      <c r="S40" s="859"/>
      <c r="T40" s="859"/>
      <c r="U40" s="859"/>
      <c r="V40" s="859"/>
      <c r="W40" s="859"/>
      <c r="X40" s="860"/>
      <c r="Z40" s="858">
        <f>Z19</f>
        <v>0</v>
      </c>
      <c r="AA40" s="859"/>
      <c r="AB40" s="859"/>
      <c r="AC40" s="859"/>
      <c r="AD40" s="859"/>
      <c r="AE40" s="859"/>
      <c r="AF40" s="860"/>
      <c r="AH40" s="858">
        <f>AH19</f>
        <v>0</v>
      </c>
      <c r="AI40" s="859"/>
      <c r="AJ40" s="859"/>
      <c r="AK40" s="859"/>
      <c r="AL40" s="859"/>
      <c r="AM40" s="859"/>
      <c r="AN40" s="860"/>
    </row>
    <row r="41" spans="2:40" ht="42" customHeight="1" x14ac:dyDescent="0.2">
      <c r="B41" s="69" t="s">
        <v>33</v>
      </c>
      <c r="C41" s="282" t="s">
        <v>40</v>
      </c>
      <c r="D41" s="851" t="s">
        <v>160</v>
      </c>
      <c r="E41" s="851"/>
      <c r="F41" s="853" t="s">
        <v>39</v>
      </c>
      <c r="G41" s="854"/>
      <c r="H41" s="81" t="s">
        <v>16</v>
      </c>
      <c r="I41" s="146"/>
      <c r="J41" s="69" t="s">
        <v>33</v>
      </c>
      <c r="K41" s="282" t="s">
        <v>40</v>
      </c>
      <c r="L41" s="851" t="s">
        <v>160</v>
      </c>
      <c r="M41" s="851"/>
      <c r="N41" s="847" t="s">
        <v>39</v>
      </c>
      <c r="O41" s="848"/>
      <c r="P41" s="81" t="s">
        <v>16</v>
      </c>
      <c r="Q41" s="146"/>
      <c r="R41" s="69" t="s">
        <v>33</v>
      </c>
      <c r="S41" s="282" t="s">
        <v>40</v>
      </c>
      <c r="T41" s="851" t="s">
        <v>160</v>
      </c>
      <c r="U41" s="851"/>
      <c r="V41" s="847" t="s">
        <v>39</v>
      </c>
      <c r="W41" s="848"/>
      <c r="X41" s="81" t="s">
        <v>16</v>
      </c>
      <c r="Z41" s="69" t="s">
        <v>33</v>
      </c>
      <c r="AA41" s="282" t="s">
        <v>40</v>
      </c>
      <c r="AB41" s="851" t="s">
        <v>160</v>
      </c>
      <c r="AC41" s="851"/>
      <c r="AD41" s="847" t="s">
        <v>39</v>
      </c>
      <c r="AE41" s="848"/>
      <c r="AF41" s="81" t="s">
        <v>16</v>
      </c>
      <c r="AH41" s="358" t="s">
        <v>33</v>
      </c>
      <c r="AI41" s="359" t="s">
        <v>40</v>
      </c>
      <c r="AJ41" s="863" t="s">
        <v>160</v>
      </c>
      <c r="AK41" s="863"/>
      <c r="AL41" s="864" t="s">
        <v>39</v>
      </c>
      <c r="AM41" s="865"/>
      <c r="AN41" s="338" t="s">
        <v>16</v>
      </c>
    </row>
    <row r="42" spans="2:40" x14ac:dyDescent="0.2">
      <c r="B42" s="181" t="str">
        <f>B31</f>
        <v>2015</v>
      </c>
      <c r="C42" s="70">
        <v>0</v>
      </c>
      <c r="D42" s="852">
        <f>IF(F30&gt;0,+H31,0)</f>
        <v>8429.7467157182818</v>
      </c>
      <c r="E42" s="852"/>
      <c r="F42" s="849">
        <f>IF(+$G$16="yes",+C42*D42,0)</f>
        <v>0</v>
      </c>
      <c r="G42" s="850"/>
      <c r="H42" s="83">
        <f>G31+F42</f>
        <v>78438793.189758614</v>
      </c>
      <c r="I42" s="147"/>
      <c r="J42" s="181" t="str">
        <f>B42</f>
        <v>2015</v>
      </c>
      <c r="K42" s="70">
        <v>0</v>
      </c>
      <c r="L42" s="852">
        <f>IF(N30&gt;0,+P31,0)</f>
        <v>26520.327445305607</v>
      </c>
      <c r="M42" s="852"/>
      <c r="N42" s="849">
        <f>IF(+$G$16="yes",+K42*L42,0)</f>
        <v>0</v>
      </c>
      <c r="O42" s="850"/>
      <c r="P42" s="83">
        <f>O31+N42</f>
        <v>34953791.57291279</v>
      </c>
      <c r="Q42" s="147"/>
      <c r="R42" s="181" t="str">
        <f>B42</f>
        <v>2015</v>
      </c>
      <c r="S42" s="70">
        <v>0</v>
      </c>
      <c r="T42" s="852">
        <f>IF(V30&gt;0,+X31,0)</f>
        <v>517481.10089059058</v>
      </c>
      <c r="U42" s="852"/>
      <c r="V42" s="849">
        <f>IF(+$G$16="yes",+S42*T42,0)</f>
        <v>0</v>
      </c>
      <c r="W42" s="850"/>
      <c r="X42" s="83">
        <f>W31+V42</f>
        <v>75810981.280471519</v>
      </c>
      <c r="Z42" s="181" t="str">
        <f>J42</f>
        <v>2015</v>
      </c>
      <c r="AA42" s="70">
        <f>IF($Z$19='2. Customer Classes'!$B$14,+('4. Customer Growth'!$C$42-'4. Customer Growth'!$C$26),+IF($Z$19='2. Customer Classes'!$B$15,+('4. Customer Growth'!$E$42-'4. Customer Growth'!$E$26),+IF($Z$19='2. Customer Classes'!$B$16,+('4. Customer Growth'!$G$42-'4. Customer Growth'!$G$26),+IF($Z$19='2. Customer Classes'!$B$17,+('4. Customer Growth'!$I$42-'4. Customer Growth'!$I$26),+IF($Z$19='2. Customer Classes'!$B$18,+('4. Customer Growth'!$K$42-'4. Customer Growth'!$K$26),+IF($Z$19='2. Customer Classes'!$B$19,+('4. Customer Growth'!$M$42-'4. Customer Growth'!$M$26),IF($Z$19='2. Customer Classes'!$B$20,+('4. Customer Growth'!$O$42-'4. Customer Growth'!$O$26),0)))))))</f>
        <v>0</v>
      </c>
      <c r="AB42" s="852">
        <f>IF(AD30&gt;0,+AF31,0)</f>
        <v>0</v>
      </c>
      <c r="AC42" s="852"/>
      <c r="AD42" s="849">
        <f>IF(+$G$16="yes",+AA42*AB42,0)</f>
        <v>0</v>
      </c>
      <c r="AE42" s="850"/>
      <c r="AF42" s="83">
        <f>AE31+AD42</f>
        <v>0</v>
      </c>
      <c r="AH42" s="181" t="str">
        <f>R42</f>
        <v>2015</v>
      </c>
      <c r="AI42" s="70">
        <f>IF($AH$19='2. Customer Classes'!$B$14,+('4. Customer Growth'!$C$42-'4. Customer Growth'!$C$26),+IF($AH$19='2. Customer Classes'!$B$15,+('4. Customer Growth'!$E$42-'4. Customer Growth'!$E$26),+IF($AH$19='2. Customer Classes'!$B$16,+('4. Customer Growth'!$G$42-'4. Customer Growth'!$G$26),+IF($AH$19='2. Customer Classes'!$B$17,+('4. Customer Growth'!$I$42-'4. Customer Growth'!$I$26),+IF($AH$19='2. Customer Classes'!$B$18,+('4. Customer Growth'!$K$42-'4. Customer Growth'!$K$26),+IF($AH$19='2. Customer Classes'!$B$19,+('4. Customer Growth'!$M$42-'4. Customer Growth'!$M$26),IF($AH$19='2. Customer Classes'!$B$20,+('4. Customer Growth'!$O$42-'4. Customer Growth'!$O$26),0)))))))</f>
        <v>0</v>
      </c>
      <c r="AJ42" s="852">
        <f>IF(AL30&gt;0,+AN31,0)</f>
        <v>0</v>
      </c>
      <c r="AK42" s="852"/>
      <c r="AL42" s="849">
        <f>IF(+$G$16="yes",+AI42*AJ42,0)</f>
        <v>0</v>
      </c>
      <c r="AM42" s="850"/>
      <c r="AN42" s="83">
        <f>AM31+AL42</f>
        <v>0</v>
      </c>
    </row>
    <row r="43" spans="2:40" ht="13.5" thickBot="1" x14ac:dyDescent="0.25">
      <c r="B43" s="308" t="str">
        <f>B32</f>
        <v>2016</v>
      </c>
      <c r="C43" s="309">
        <v>0</v>
      </c>
      <c r="D43" s="844">
        <f>IF(F30&gt;0,+H32,0)</f>
        <v>8411.4662147436011</v>
      </c>
      <c r="E43" s="844"/>
      <c r="F43" s="845">
        <f>IF(+$G$16="yes",+C43*D43,0)</f>
        <v>0</v>
      </c>
      <c r="G43" s="846"/>
      <c r="H43" s="84">
        <f>G32+F43</f>
        <v>78268693.128189206</v>
      </c>
      <c r="I43" s="147"/>
      <c r="J43" s="308" t="str">
        <f>B43</f>
        <v>2016</v>
      </c>
      <c r="K43" s="309">
        <v>0</v>
      </c>
      <c r="L43" s="844">
        <f>IF(N30&gt;0,+P32,0)</f>
        <v>26462.816242648856</v>
      </c>
      <c r="M43" s="844"/>
      <c r="N43" s="845">
        <f>IF(+$G$16="yes",+K43*L43,0)</f>
        <v>0</v>
      </c>
      <c r="O43" s="846"/>
      <c r="P43" s="84">
        <f>O32+N43</f>
        <v>34877991.807811193</v>
      </c>
      <c r="Q43" s="147"/>
      <c r="R43" s="308" t="str">
        <f>B43</f>
        <v>2016</v>
      </c>
      <c r="S43" s="309">
        <v>0</v>
      </c>
      <c r="T43" s="844">
        <f>IF(V30&gt;0,+X32,0)</f>
        <v>516358.90658413887</v>
      </c>
      <c r="U43" s="844"/>
      <c r="V43" s="845">
        <f>IF(+$G$16="yes",+S43*T43,0)</f>
        <v>0</v>
      </c>
      <c r="W43" s="846"/>
      <c r="X43" s="84">
        <f>W32+V43</f>
        <v>75646579.814576343</v>
      </c>
      <c r="Z43" s="308" t="str">
        <f>J43</f>
        <v>2016</v>
      </c>
      <c r="AA43" s="309">
        <f>IF($Z$19='2. Customer Classes'!$B$14,+('4. Customer Growth'!$C$43-'4. Customer Growth'!$C$26),+IF($Z$19='2. Customer Classes'!$B$15,+('4. Customer Growth'!$E$43-'4. Customer Growth'!$E$26),+IF($Z$19='2. Customer Classes'!$B$16,+('4. Customer Growth'!$G$43-'4. Customer Growth'!$G$26),+IF($Z$19='2. Customer Classes'!$B$17,+('4. Customer Growth'!$I$43-'4. Customer Growth'!$I$26),+IF($Z$19='2. Customer Classes'!$B$18,+('4. Customer Growth'!$K$43-'4. Customer Growth'!$K$26),+IF($Z$19='2. Customer Classes'!$B$19,+('4. Customer Growth'!$M$43-'4. Customer Growth'!$M$26),IF($Z$19='2. Customer Classes'!$B$20,+('4. Customer Growth'!$O$43-'4. Customer Growth'!$O$26),0)))))))</f>
        <v>0</v>
      </c>
      <c r="AB43" s="844">
        <f>IF(AD30&gt;0,+AF32,0)</f>
        <v>0</v>
      </c>
      <c r="AC43" s="844"/>
      <c r="AD43" s="845">
        <f>IF(+$G$16="yes",+AA43*AB43,0)</f>
        <v>0</v>
      </c>
      <c r="AE43" s="846"/>
      <c r="AF43" s="84">
        <f>AE32+AD43</f>
        <v>0</v>
      </c>
      <c r="AG43" s="310"/>
      <c r="AH43" s="308" t="str">
        <f>R43</f>
        <v>2016</v>
      </c>
      <c r="AI43" s="309">
        <f>IF($AH$19='2. Customer Classes'!$B$14,+('4. Customer Growth'!$C$43-'4. Customer Growth'!$C$26),+IF($AH$19='2. Customer Classes'!$B$15,+('4. Customer Growth'!$E$43-'4. Customer Growth'!$E$26),+IF($AH$19='2. Customer Classes'!$B$16,+('4. Customer Growth'!$G$43-'4. Customer Growth'!$G$26),+IF($AH$19='2. Customer Classes'!$B$17,+('4. Customer Growth'!$I$43-'4. Customer Growth'!$I$26),+IF($AH$19='2. Customer Classes'!$B$18,+('4. Customer Growth'!$K$43-'4. Customer Growth'!$K$26),+IF($AH$19='2. Customer Classes'!$B$19,+('4. Customer Growth'!$M$43-'4. Customer Growth'!$M$26),IF($AH$19='2. Customer Classes'!$B$20,+('4. Customer Growth'!$O$43-'4. Customer Growth'!$O$26),0)))))))</f>
        <v>0</v>
      </c>
      <c r="AJ43" s="844">
        <f>IF(AL30&gt;0,+AN32,0)</f>
        <v>0</v>
      </c>
      <c r="AK43" s="844"/>
      <c r="AL43" s="845">
        <f>IF(+$G$16="yes",+AI43*AJ43,0)</f>
        <v>0</v>
      </c>
      <c r="AM43" s="846"/>
      <c r="AN43" s="84">
        <f>AM32+AL43</f>
        <v>0</v>
      </c>
    </row>
    <row r="44" spans="2:40" x14ac:dyDescent="0.2">
      <c r="B44" s="1"/>
      <c r="C44" s="1"/>
      <c r="D44" s="1"/>
      <c r="E44" s="1"/>
      <c r="F44" s="1"/>
      <c r="G44" s="1"/>
    </row>
    <row r="46" spans="2:40" x14ac:dyDescent="0.2">
      <c r="X46" s="277"/>
    </row>
    <row r="47" spans="2:40" x14ac:dyDescent="0.2">
      <c r="G47" s="238"/>
    </row>
    <row r="54" spans="2:3" x14ac:dyDescent="0.2">
      <c r="B54" s="843" t="s">
        <v>177</v>
      </c>
      <c r="C54" s="843"/>
    </row>
    <row r="55" spans="2:3" x14ac:dyDescent="0.2">
      <c r="B55" s="567" t="s">
        <v>178</v>
      </c>
      <c r="C55" s="568"/>
    </row>
    <row r="56" spans="2:3" x14ac:dyDescent="0.2">
      <c r="B56" s="567" t="s">
        <v>179</v>
      </c>
      <c r="C56" s="568"/>
    </row>
  </sheetData>
  <mergeCells count="51">
    <mergeCell ref="AH19:AN19"/>
    <mergeCell ref="AH33:AN33"/>
    <mergeCell ref="AH38:AN38"/>
    <mergeCell ref="AH40:AN40"/>
    <mergeCell ref="AJ41:AK41"/>
    <mergeCell ref="AL41:AM41"/>
    <mergeCell ref="AB42:AC42"/>
    <mergeCell ref="AD42:AE42"/>
    <mergeCell ref="AJ42:AK42"/>
    <mergeCell ref="AL42:AM42"/>
    <mergeCell ref="AB43:AC43"/>
    <mergeCell ref="AD43:AE43"/>
    <mergeCell ref="AJ43:AK43"/>
    <mergeCell ref="AL43:AM43"/>
    <mergeCell ref="Z19:AF19"/>
    <mergeCell ref="Z33:AF33"/>
    <mergeCell ref="Z38:AF38"/>
    <mergeCell ref="Z40:AF40"/>
    <mergeCell ref="AB41:AC41"/>
    <mergeCell ref="AD41:AE41"/>
    <mergeCell ref="F42:G42"/>
    <mergeCell ref="D41:E41"/>
    <mergeCell ref="D42:E42"/>
    <mergeCell ref="J19:P19"/>
    <mergeCell ref="R19:X19"/>
    <mergeCell ref="B19:H19"/>
    <mergeCell ref="B40:H40"/>
    <mergeCell ref="J40:P40"/>
    <mergeCell ref="R40:X40"/>
    <mergeCell ref="B38:H38"/>
    <mergeCell ref="J38:P38"/>
    <mergeCell ref="R38:X38"/>
    <mergeCell ref="B33:H33"/>
    <mergeCell ref="J33:P33"/>
    <mergeCell ref="R33:X33"/>
    <mergeCell ref="B54:C54"/>
    <mergeCell ref="T43:U43"/>
    <mergeCell ref="V43:W43"/>
    <mergeCell ref="F43:G43"/>
    <mergeCell ref="N41:O41"/>
    <mergeCell ref="N42:O42"/>
    <mergeCell ref="N43:O43"/>
    <mergeCell ref="T41:U41"/>
    <mergeCell ref="V41:W41"/>
    <mergeCell ref="T42:U42"/>
    <mergeCell ref="V42:W42"/>
    <mergeCell ref="D43:E43"/>
    <mergeCell ref="L41:M41"/>
    <mergeCell ref="L42:M42"/>
    <mergeCell ref="L43:M43"/>
    <mergeCell ref="F41:G41"/>
  </mergeCell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 Customer Classes'!$B$14:$B$21</xm:f>
          </x14:formula1>
          <xm:sqref>B19:H19 J19:P19 R19:X19 Z19:AF19 AH19:AN19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
  <sheetViews>
    <sheetView showGridLines="0" tabSelected="1" topLeftCell="A10" workbookViewId="0">
      <selection activeCell="G32" sqref="G32"/>
    </sheetView>
  </sheetViews>
  <sheetFormatPr defaultColWidth="11.1640625" defaultRowHeight="12.75" x14ac:dyDescent="0.2"/>
  <cols>
    <col min="1" max="1" width="13.6640625" style="1" customWidth="1"/>
    <col min="2" max="6" width="15.1640625" style="58" customWidth="1"/>
    <col min="7" max="7" width="17" style="58" customWidth="1"/>
    <col min="8" max="8" width="16.6640625" style="58" customWidth="1"/>
    <col min="9" max="9" width="17.83203125" style="58" customWidth="1"/>
    <col min="10" max="10" width="16.1640625" style="58" customWidth="1"/>
    <col min="11" max="12" width="4.33203125" style="58" customWidth="1"/>
    <col min="13" max="15" width="15.1640625" style="145" customWidth="1"/>
    <col min="16" max="16" width="15.1640625" style="58" customWidth="1"/>
    <col min="17" max="21" width="15.1640625" style="1" customWidth="1"/>
    <col min="22" max="22" width="4.33203125" style="1" customWidth="1"/>
    <col min="23" max="29" width="15.1640625" style="1" customWidth="1"/>
    <col min="30" max="30" width="13.83203125" style="64" customWidth="1"/>
    <col min="31" max="31" width="13.83203125" style="1" customWidth="1"/>
    <col min="32" max="32" width="2.33203125" style="1" customWidth="1"/>
    <col min="33" max="40" width="15.1640625" style="1" customWidth="1"/>
    <col min="41" max="41" width="20.33203125" style="1" customWidth="1"/>
    <col min="42" max="42" width="3.33203125" style="1" customWidth="1"/>
    <col min="43" max="51" width="15.1640625" style="1" customWidth="1"/>
    <col min="52" max="16384" width="11.1640625" style="1"/>
  </cols>
  <sheetData>
    <row r="1" spans="1:30" s="536" customFormat="1" x14ac:dyDescent="0.2">
      <c r="A1" s="758" t="s">
        <v>272</v>
      </c>
      <c r="B1" s="58"/>
      <c r="C1" s="58"/>
      <c r="D1" s="58"/>
      <c r="E1" s="58"/>
      <c r="F1" s="58"/>
      <c r="G1" s="58"/>
      <c r="H1" s="58"/>
      <c r="I1" s="58"/>
      <c r="J1" s="58"/>
      <c r="K1" s="58"/>
      <c r="L1" s="58"/>
      <c r="M1" s="145"/>
      <c r="N1" s="145"/>
      <c r="O1" s="145"/>
      <c r="P1" s="58"/>
      <c r="AD1" s="64"/>
    </row>
    <row r="2" spans="1:30" s="536" customFormat="1" x14ac:dyDescent="0.2">
      <c r="B2" s="58"/>
      <c r="C2" s="58"/>
      <c r="D2" s="58"/>
      <c r="E2" s="58"/>
      <c r="F2" s="58"/>
      <c r="G2" s="58"/>
      <c r="H2" s="58"/>
      <c r="I2" s="58"/>
      <c r="J2" s="58"/>
      <c r="K2" s="58"/>
      <c r="L2" s="58"/>
      <c r="M2" s="145"/>
      <c r="N2" s="145"/>
      <c r="O2" s="145"/>
      <c r="P2" s="58"/>
      <c r="AD2" s="64"/>
    </row>
    <row r="3" spans="1:30" s="536" customFormat="1" x14ac:dyDescent="0.2">
      <c r="B3" s="58"/>
      <c r="C3" s="58"/>
      <c r="D3" s="58"/>
      <c r="E3" s="58"/>
      <c r="F3" s="58"/>
      <c r="G3" s="58"/>
      <c r="H3" s="58"/>
      <c r="I3" s="58"/>
      <c r="J3" s="58"/>
      <c r="K3" s="58"/>
      <c r="L3" s="58"/>
      <c r="M3" s="145"/>
      <c r="N3" s="145"/>
      <c r="O3" s="145"/>
      <c r="P3" s="58"/>
      <c r="AD3" s="64"/>
    </row>
    <row r="4" spans="1:30" s="536" customFormat="1" x14ac:dyDescent="0.2">
      <c r="B4" s="58"/>
      <c r="C4" s="58"/>
      <c r="D4" s="58"/>
      <c r="E4" s="58"/>
      <c r="F4" s="58"/>
      <c r="G4" s="58"/>
      <c r="H4" s="58"/>
      <c r="I4" s="58"/>
      <c r="J4" s="58"/>
      <c r="K4" s="58"/>
      <c r="L4" s="58"/>
      <c r="M4" s="145"/>
      <c r="N4" s="145"/>
      <c r="O4" s="145"/>
      <c r="P4" s="58"/>
      <c r="AD4" s="64"/>
    </row>
    <row r="5" spans="1:30" s="536" customFormat="1" x14ac:dyDescent="0.2">
      <c r="B5" s="58"/>
      <c r="C5" s="58"/>
      <c r="D5" s="58"/>
      <c r="E5" s="58"/>
      <c r="F5" s="58"/>
      <c r="G5" s="58"/>
      <c r="H5" s="58"/>
      <c r="I5" s="58"/>
      <c r="J5" s="58"/>
      <c r="K5" s="58"/>
      <c r="L5" s="58"/>
      <c r="M5" s="145"/>
      <c r="N5" s="145"/>
      <c r="O5" s="145"/>
      <c r="P5" s="58"/>
      <c r="AD5" s="64"/>
    </row>
    <row r="6" spans="1:30" s="536" customFormat="1" x14ac:dyDescent="0.2">
      <c r="B6" s="58"/>
      <c r="C6" s="58"/>
      <c r="D6" s="58"/>
      <c r="E6" s="58"/>
      <c r="F6" s="58"/>
      <c r="G6" s="58"/>
      <c r="H6" s="58"/>
      <c r="I6" s="58"/>
      <c r="J6" s="58"/>
      <c r="K6" s="58"/>
      <c r="L6" s="58"/>
      <c r="M6" s="145"/>
      <c r="N6" s="145"/>
      <c r="O6" s="145"/>
      <c r="P6" s="58"/>
      <c r="AD6" s="64"/>
    </row>
    <row r="7" spans="1:30" s="536" customFormat="1" x14ac:dyDescent="0.2">
      <c r="B7" s="58"/>
      <c r="C7" s="58"/>
      <c r="D7" s="58"/>
      <c r="E7" s="58"/>
      <c r="F7" s="58"/>
      <c r="G7" s="58"/>
      <c r="H7" s="58"/>
      <c r="I7" s="58"/>
      <c r="J7" s="58"/>
      <c r="K7" s="58"/>
      <c r="L7" s="58"/>
      <c r="M7" s="145"/>
      <c r="N7" s="145"/>
      <c r="O7" s="145"/>
      <c r="P7" s="58"/>
      <c r="AD7" s="64"/>
    </row>
    <row r="8" spans="1:30" s="536" customFormat="1" x14ac:dyDescent="0.2">
      <c r="B8" s="58"/>
      <c r="C8" s="58"/>
      <c r="D8" s="58"/>
      <c r="E8" s="58"/>
      <c r="F8" s="58"/>
      <c r="G8" s="58"/>
      <c r="H8" s="58"/>
      <c r="I8" s="58"/>
      <c r="J8" s="58"/>
      <c r="K8" s="58"/>
      <c r="L8" s="58"/>
      <c r="M8" s="145"/>
      <c r="N8" s="145"/>
      <c r="O8" s="145"/>
      <c r="P8" s="58"/>
      <c r="AD8" s="64"/>
    </row>
    <row r="9" spans="1:30" s="536" customFormat="1" x14ac:dyDescent="0.2">
      <c r="B9" s="58"/>
      <c r="C9" s="58"/>
      <c r="D9" s="58"/>
      <c r="E9" s="58"/>
      <c r="F9" s="58"/>
      <c r="G9" s="58"/>
      <c r="H9" s="58"/>
      <c r="I9" s="58"/>
      <c r="J9" s="58"/>
      <c r="K9" s="58"/>
      <c r="L9" s="58"/>
      <c r="M9" s="145"/>
      <c r="N9" s="145"/>
      <c r="O9" s="145"/>
      <c r="P9" s="58"/>
      <c r="AD9" s="64"/>
    </row>
    <row r="11" spans="1:30" ht="23.25" x14ac:dyDescent="0.2">
      <c r="B11" s="133" t="s">
        <v>100</v>
      </c>
      <c r="C11" s="133"/>
      <c r="D11" s="133"/>
      <c r="Z11" s="64"/>
      <c r="AD11" s="1"/>
    </row>
    <row r="12" spans="1:30" ht="15" customHeight="1" x14ac:dyDescent="0.2">
      <c r="B12" s="63" t="s">
        <v>64</v>
      </c>
      <c r="C12" s="133"/>
      <c r="D12" s="133"/>
    </row>
    <row r="13" spans="1:30" ht="15" customHeight="1" x14ac:dyDescent="0.2">
      <c r="B13" s="100" t="s">
        <v>258</v>
      </c>
      <c r="C13" s="133"/>
      <c r="D13" s="133"/>
    </row>
    <row r="14" spans="1:30" ht="15" customHeight="1" x14ac:dyDescent="0.2">
      <c r="B14" s="100" t="s">
        <v>259</v>
      </c>
      <c r="C14" s="133"/>
      <c r="D14" s="133"/>
    </row>
    <row r="15" spans="1:30" ht="15" customHeight="1" x14ac:dyDescent="0.2">
      <c r="B15" s="100" t="s">
        <v>260</v>
      </c>
      <c r="C15" s="133"/>
      <c r="D15" s="133"/>
    </row>
    <row r="16" spans="1:30" ht="14.25" x14ac:dyDescent="0.2">
      <c r="B16" s="100" t="s">
        <v>261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0"/>
      <c r="AD16" s="30"/>
    </row>
    <row r="17" spans="2:51" s="536" customFormat="1" ht="15" thickBot="1" x14ac:dyDescent="0.25">
      <c r="B17" s="100"/>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30"/>
      <c r="AD17" s="30"/>
    </row>
    <row r="18" spans="2:51" ht="12.75" customHeight="1" thickBot="1" x14ac:dyDescent="0.25">
      <c r="B18" s="855" t="s">
        <v>267</v>
      </c>
      <c r="C18" s="856"/>
      <c r="D18" s="856"/>
      <c r="E18" s="856"/>
      <c r="F18" s="856"/>
      <c r="G18" s="856"/>
      <c r="H18" s="856"/>
      <c r="I18" s="856"/>
      <c r="J18" s="857"/>
      <c r="K18" s="185"/>
      <c r="L18" s="185"/>
      <c r="M18" s="855" t="s">
        <v>104</v>
      </c>
      <c r="N18" s="856"/>
      <c r="O18" s="856"/>
      <c r="P18" s="856"/>
      <c r="Q18" s="856"/>
      <c r="R18" s="856"/>
      <c r="S18" s="856"/>
      <c r="T18" s="856"/>
      <c r="U18" s="857"/>
      <c r="V18" s="185"/>
      <c r="W18" s="855" t="s">
        <v>87</v>
      </c>
      <c r="X18" s="856"/>
      <c r="Y18" s="856"/>
      <c r="Z18" s="856"/>
      <c r="AA18" s="856"/>
      <c r="AB18" s="856"/>
      <c r="AC18" s="856"/>
      <c r="AD18" s="856"/>
      <c r="AE18" s="857"/>
      <c r="AG18" s="855" t="s">
        <v>105</v>
      </c>
      <c r="AH18" s="856"/>
      <c r="AI18" s="856"/>
      <c r="AJ18" s="856"/>
      <c r="AK18" s="856"/>
      <c r="AL18" s="856"/>
      <c r="AM18" s="856"/>
      <c r="AN18" s="856"/>
      <c r="AO18" s="857"/>
      <c r="AQ18" s="855"/>
      <c r="AR18" s="856"/>
      <c r="AS18" s="856"/>
      <c r="AT18" s="856"/>
      <c r="AU18" s="856"/>
      <c r="AV18" s="856"/>
      <c r="AW18" s="856"/>
      <c r="AX18" s="856"/>
      <c r="AY18" s="857"/>
    </row>
    <row r="19" spans="2:51" ht="46.5" customHeight="1" x14ac:dyDescent="0.2">
      <c r="B19" s="404" t="s">
        <v>33</v>
      </c>
      <c r="C19" s="490" t="s">
        <v>36</v>
      </c>
      <c r="D19" s="490" t="s">
        <v>235</v>
      </c>
      <c r="E19" s="402" t="s">
        <v>36</v>
      </c>
      <c r="F19" s="402" t="s">
        <v>37</v>
      </c>
      <c r="G19" s="402" t="s">
        <v>183</v>
      </c>
      <c r="H19" s="402" t="s">
        <v>181</v>
      </c>
      <c r="I19" s="402" t="s">
        <v>182</v>
      </c>
      <c r="J19" s="403" t="s">
        <v>41</v>
      </c>
      <c r="K19" s="186"/>
      <c r="L19" s="186"/>
      <c r="M19" s="404" t="s">
        <v>33</v>
      </c>
      <c r="N19" s="490" t="s">
        <v>36</v>
      </c>
      <c r="O19" s="490" t="s">
        <v>235</v>
      </c>
      <c r="P19" s="402" t="s">
        <v>36</v>
      </c>
      <c r="Q19" s="402" t="s">
        <v>37</v>
      </c>
      <c r="R19" s="402" t="s">
        <v>183</v>
      </c>
      <c r="S19" s="402" t="s">
        <v>181</v>
      </c>
      <c r="T19" s="402" t="s">
        <v>182</v>
      </c>
      <c r="U19" s="403" t="s">
        <v>41</v>
      </c>
      <c r="V19" s="64"/>
      <c r="W19" s="380" t="s">
        <v>33</v>
      </c>
      <c r="X19" s="490" t="s">
        <v>36</v>
      </c>
      <c r="Y19" s="490" t="s">
        <v>235</v>
      </c>
      <c r="Z19" s="375" t="s">
        <v>36</v>
      </c>
      <c r="AA19" s="375" t="s">
        <v>37</v>
      </c>
      <c r="AB19" s="375" t="s">
        <v>183</v>
      </c>
      <c r="AC19" s="375" t="s">
        <v>181</v>
      </c>
      <c r="AD19" s="375" t="s">
        <v>182</v>
      </c>
      <c r="AE19" s="336" t="s">
        <v>41</v>
      </c>
      <c r="AG19" s="404" t="s">
        <v>33</v>
      </c>
      <c r="AH19" s="490" t="s">
        <v>36</v>
      </c>
      <c r="AI19" s="490" t="s">
        <v>235</v>
      </c>
      <c r="AJ19" s="375" t="s">
        <v>36</v>
      </c>
      <c r="AK19" s="402" t="s">
        <v>37</v>
      </c>
      <c r="AL19" s="402" t="s">
        <v>183</v>
      </c>
      <c r="AM19" s="402" t="s">
        <v>181</v>
      </c>
      <c r="AN19" s="402" t="s">
        <v>182</v>
      </c>
      <c r="AO19" s="403" t="s">
        <v>41</v>
      </c>
      <c r="AQ19" s="404" t="s">
        <v>33</v>
      </c>
      <c r="AR19" s="490" t="s">
        <v>36</v>
      </c>
      <c r="AS19" s="490" t="s">
        <v>235</v>
      </c>
      <c r="AT19" s="375" t="s">
        <v>36</v>
      </c>
      <c r="AU19" s="402" t="s">
        <v>37</v>
      </c>
      <c r="AV19" s="402" t="s">
        <v>183</v>
      </c>
      <c r="AW19" s="402" t="s">
        <v>181</v>
      </c>
      <c r="AX19" s="402" t="s">
        <v>182</v>
      </c>
      <c r="AY19" s="403" t="s">
        <v>41</v>
      </c>
    </row>
    <row r="20" spans="2:51" x14ac:dyDescent="0.2">
      <c r="B20" s="92" t="s">
        <v>30</v>
      </c>
      <c r="C20" s="491"/>
      <c r="D20" s="491"/>
      <c r="E20" s="93"/>
      <c r="F20" s="93"/>
      <c r="G20" s="330"/>
      <c r="H20" s="330"/>
      <c r="I20" s="225"/>
      <c r="J20" s="377"/>
      <c r="K20" s="146"/>
      <c r="L20" s="146"/>
      <c r="M20" s="92" t="s">
        <v>30</v>
      </c>
      <c r="N20" s="491"/>
      <c r="O20" s="491"/>
      <c r="P20" s="93"/>
      <c r="Q20" s="93"/>
      <c r="R20" s="93"/>
      <c r="S20" s="93"/>
      <c r="T20" s="93"/>
      <c r="U20" s="94"/>
      <c r="V20" s="64"/>
      <c r="W20" s="92" t="s">
        <v>30</v>
      </c>
      <c r="X20" s="491"/>
      <c r="Y20" s="491"/>
      <c r="Z20" s="93"/>
      <c r="AA20" s="93"/>
      <c r="AB20" s="93"/>
      <c r="AC20" s="93"/>
      <c r="AD20" s="93"/>
      <c r="AE20" s="242"/>
      <c r="AG20" s="92" t="s">
        <v>30</v>
      </c>
      <c r="AH20" s="491"/>
      <c r="AI20" s="491"/>
      <c r="AJ20" s="93"/>
      <c r="AK20" s="93"/>
      <c r="AL20" s="93"/>
      <c r="AM20" s="93"/>
      <c r="AN20" s="93"/>
      <c r="AO20" s="242"/>
      <c r="AQ20" s="92" t="s">
        <v>30</v>
      </c>
      <c r="AR20" s="491"/>
      <c r="AS20" s="491"/>
      <c r="AT20" s="93"/>
      <c r="AU20" s="93"/>
      <c r="AV20" s="93"/>
      <c r="AW20" s="93"/>
      <c r="AX20" s="93"/>
      <c r="AY20" s="242"/>
    </row>
    <row r="21" spans="2:51" ht="12.75" customHeight="1" x14ac:dyDescent="0.2">
      <c r="B21" s="190">
        <f>'4. Customer Growth'!B17</f>
        <v>2005</v>
      </c>
      <c r="C21" s="70">
        <f>IF($B$18='2. Customer Classes'!$B$14,+SUM('3. Consumption by Rate Class'!$D$25:$D$36),+IF($B$18='2. Customer Classes'!$B$15,+SUM('3. Consumption by Rate Class'!$F$25:$F$36),+IF($B$18='2. Customer Classes'!$B$16,+SUM('3. Consumption by Rate Class'!$H$25:$H$36),+IF($B$18='2. Customer Classes'!$B$17,+SUM('3. Consumption by Rate Class'!$J$25:$J$36),+IF($B$18='2. Customer Classes'!$B$18,+SUM('3. Consumption by Rate Class'!$L$25:$L$36),+IF($B$18='2. Customer Classes'!$B$19,+SUM('3. Consumption by Rate Class'!$O$25:$O$36),IF($B$18='2. Customer Classes'!$B$20,+SUM('3. Consumption by Rate Class'!$R$25:$R$36),0)))))))</f>
        <v>74429057</v>
      </c>
      <c r="D21" s="458"/>
      <c r="E21" s="70">
        <f>+D21+C21</f>
        <v>74429057</v>
      </c>
      <c r="F21" s="70">
        <f>+IF($B$18='2. Customer Classes'!$B$18,+SUM('3. Consumption by Rate Class'!$M$25:$M$36),+IF($B$18='2. Customer Classes'!$B$19,+SUM('3. Consumption by Rate Class'!$P$25:$P$36),IF($B$18='2. Customer Classes'!$B$20,+SUM('3. Consumption by Rate Class'!$S$25:$S$36),0)))</f>
        <v>212943</v>
      </c>
      <c r="G21" s="70">
        <f>IF($B$18='2. Customer Classes'!$B$14,+'4. Customer Growth'!$C17,+IF($B$18='2. Customer Classes'!$B$15,+'4. Customer Growth'!$E17,+IF($B$18='2. Customer Classes'!$B$16,+'4. Customer Growth'!$G17,+IF($B$18='2. Customer Classes'!$B$17,+'4. Customer Growth'!$I17,+IF($B$18='2. Customer Classes'!$B$18,+'4. Customer Growth'!$K17,+IF($B$18='2. Customer Classes'!$B$19,+'4. Customer Growth'!$M17,IF($B$18='2. Customer Classes'!$B$20,+'4. Customer Growth'!$O17,0)))))))</f>
        <v>134</v>
      </c>
      <c r="H21" s="376">
        <f>IF(F21&gt;0,+E21/G21,0)</f>
        <v>555440.72388059704</v>
      </c>
      <c r="I21" s="379">
        <f>IF(F21&gt;0,+F21/G21,0)</f>
        <v>1589.1268656716418</v>
      </c>
      <c r="J21" s="342">
        <f>IF(F21&gt;0,+F21/E21,0)</f>
        <v>2.8610197224452271E-3</v>
      </c>
      <c r="K21" s="183"/>
      <c r="L21" s="183"/>
      <c r="M21" s="190">
        <f t="shared" ref="M21:M32" si="0">B21</f>
        <v>2005</v>
      </c>
      <c r="N21" s="70">
        <f>IF($M$18='2. Customer Classes'!$B$14,+SUM('3. Consumption by Rate Class'!$D$25:$D$36),+IF($M$18='2. Customer Classes'!$B$15,+SUM('3. Consumption by Rate Class'!$F$25:$F$36),+IF($M$18='2. Customer Classes'!$B$16,+SUM('3. Consumption by Rate Class'!$H$25:$H$36),+IF($M$18='2. Customer Classes'!$B$17,+SUM('3. Consumption by Rate Class'!$J$25:$J$36),+IF($M$18='2. Customer Classes'!$B$18,+SUM('3. Consumption by Rate Class'!$L$25:$L$36),+IF($M$18='2. Customer Classes'!$B$19,+SUM('3. Consumption by Rate Class'!$O$25:$O$36),IF($M$18='2. Customer Classes'!$B$20,+SUM('3. Consumption by Rate Class'!$R$25:$R$36),0)))))))</f>
        <v>2426613</v>
      </c>
      <c r="O21" s="458"/>
      <c r="P21" s="70">
        <f>+N21+O21</f>
        <v>2426613</v>
      </c>
      <c r="Q21" s="225">
        <f>+IF($M$18='2. Customer Classes'!$B$18,+SUM('3. Consumption by Rate Class'!$M$25:$M$36),+IF($M$18='2. Customer Classes'!$B$19,+SUM('3. Consumption by Rate Class'!$P$25:$P$36),IF($M$18='2. Customer Classes'!$B$20,+SUM('3. Consumption by Rate Class'!$S$25:$S$36),0)))</f>
        <v>6774</v>
      </c>
      <c r="R21" s="225">
        <f>IF($M$18='2. Customer Classes'!$B$14,+'4. Customer Growth'!$C17,+IF($M$18='2. Customer Classes'!$B$15,+'4. Customer Growth'!$E17,+IF($M$18='2. Customer Classes'!$B$16,+'4. Customer Growth'!$G17,+IF($M$18='2. Customer Classes'!$B$17,+'4. Customer Growth'!$I17,+IF($M$18='2. Customer Classes'!$B$18,+'4. Customer Growth'!$K17,+IF($M$18='2. Customer Classes'!$B$19,+'4. Customer Growth'!$M17,IF($M$18='2. Customer Classes'!$B$20,+'4. Customer Growth'!$O17,0)))))))</f>
        <v>2604</v>
      </c>
      <c r="S21" s="376">
        <f>IF(Q21&gt;0,+P21/R21,0)</f>
        <v>931.87903225806451</v>
      </c>
      <c r="T21" s="379">
        <f>IF(Q21&gt;0,+Q21/R21,0)</f>
        <v>2.6013824884792625</v>
      </c>
      <c r="U21" s="342">
        <f>IF(Q21&gt;0,+Q21/P21,0)</f>
        <v>2.7915452525804486E-3</v>
      </c>
      <c r="V21" s="64"/>
      <c r="W21" s="190">
        <f t="shared" ref="W21:W32" si="1">B21</f>
        <v>2005</v>
      </c>
      <c r="X21" s="70">
        <f>IF($W$18='2. Customer Classes'!$B$14,+SUM('3. Consumption by Rate Class'!$D$25:$D$36),+IF($W$18='2. Customer Classes'!$B$15,+SUM('3. Consumption by Rate Class'!$F$25:$F$36),+IF($W$18='2. Customer Classes'!$B$16,+SUM('3. Consumption by Rate Class'!$H$25:$H$36),+IF($W$18='2. Customer Classes'!$B$17,+SUM('3. Consumption by Rate Class'!$J$25:$J$36),+IF($W$18='2. Customer Classes'!$B$18,+SUM('3. Consumption by Rate Class'!$L$25:$L$36),+IF($W$18='2. Customer Classes'!$B$19,+SUM('3. Consumption by Rate Class'!$O$25:$O$36),IF($W$18='2. Customer Classes'!$B$20,+SUM('3. Consumption by Rate Class'!$R$25:$R$36),0)))))))</f>
        <v>284178</v>
      </c>
      <c r="Y21" s="458"/>
      <c r="Z21" s="70">
        <f>+X21+Y21</f>
        <v>284178</v>
      </c>
      <c r="AA21" s="225">
        <f>+IF($W$18='2. Customer Classes'!$B$18,+SUM('3. Consumption by Rate Class'!$M$25:$M$36),+IF($W$18='2. Customer Classes'!$B$19,+SUM('3. Consumption by Rate Class'!$P$25:$P$36),IF($W$18='2. Customer Classes'!$B$20,+SUM('3. Consumption by Rate Class'!$S$25:$S$36),0)))</f>
        <v>783</v>
      </c>
      <c r="AB21" s="225">
        <f>IF($W$18='2. Customer Classes'!$B$14,+'4. Customer Growth'!$C17,+IF($W$18='2. Customer Classes'!$B$15,+'4. Customer Growth'!$E17,+IF($W$18='2. Customer Classes'!$B$16,+'4. Customer Growth'!$G17,+IF($W$18='2. Customer Classes'!$B$17,+'4. Customer Growth'!$I17,+IF($W$18='2. Customer Classes'!$B$18,+'4. Customer Growth'!$K17,+IF($W$18='2. Customer Classes'!$B$19,+'4. Customer Growth'!$M17,IF($W$18='2. Customer Classes'!$B$20,+'4. Customer Growth'!$O17,0)))))))</f>
        <v>250</v>
      </c>
      <c r="AC21" s="376">
        <f>IF(AA21&gt;0,+Z21/AB21,0)</f>
        <v>1136.712</v>
      </c>
      <c r="AD21" s="379">
        <f>IF(AA21&gt;0,+AA21/AB21,0)</f>
        <v>3.1320000000000001</v>
      </c>
      <c r="AE21" s="342">
        <f>IF(AA21&gt;0,+AA21/Z21,0)</f>
        <v>2.7553153305322721E-3</v>
      </c>
      <c r="AG21" s="357">
        <f>+B21</f>
        <v>2005</v>
      </c>
      <c r="AH21" s="70">
        <f>IF($AG$18='2. Customer Classes'!$B$14,+SUM('3. Consumption by Rate Class'!$D$25:$D$36),+IF($AG$18='2. Customer Classes'!$B$15,+SUM('3. Consumption by Rate Class'!$F$25:$F$36),+IF($AG$18='2. Customer Classes'!$B$16,+SUM('3. Consumption by Rate Class'!$H$25:$H$36),+IF($AG$18='2. Customer Classes'!$B$17,+SUM('3. Consumption by Rate Class'!$J$25:$J$36),+IF($AG$18='2. Customer Classes'!$B$18,+SUM('3. Consumption by Rate Class'!$L$25:$L$36),+IF($AG$18='2. Customer Classes'!$B$19,+SUM('3. Consumption by Rate Class'!$O$25:$O$36),IF($AG$18='2. Customer Classes'!$B$20,+SUM('3. Consumption by Rate Class'!$R$25:$R$36),IF($AG$18='2. Customer Classes'!$B$21,+SUM('3. Consumption by Rate Class'!$U$25:$U$36),0))))))))</f>
        <v>593390</v>
      </c>
      <c r="AI21" s="458"/>
      <c r="AJ21" s="70">
        <f>+AH21+AI21</f>
        <v>593390</v>
      </c>
      <c r="AK21" s="225">
        <f>+IF($AG$18='2. Customer Classes'!$B$18,+SUM('3. Consumption by Rate Class'!$M$25:$M$36),+IF($AG$18='2. Customer Classes'!$B$19,+SUM('3. Consumption by Rate Class'!$P$25:$P$36),IF($AG$18='2. Customer Classes'!$B$20,+SUM('3. Consumption by Rate Class'!$S$25:$S$36),IF($AG$18='2. Customer Classes'!$B$21,+SUM('3. Consumption by Rate Class'!$V$25:$V$36),0))))</f>
        <v>0</v>
      </c>
      <c r="AL21" s="225">
        <f>IF($AG$18='2. Customer Classes'!$B$14,+'4. Customer Growth'!$C17,+IF($AG$18='2. Customer Classes'!$B$15,+'4. Customer Growth'!$E17,+IF($AG$18='2. Customer Classes'!$B$16,+'4. Customer Growth'!$G17,+IF($AG$18='2. Customer Classes'!$B$17,+'4. Customer Growth'!$I17,+IF($AG$18='2. Customer Classes'!$B$18,+'4. Customer Growth'!$K17,+IF($AG$18='2. Customer Classes'!$B$19,+'4. Customer Growth'!$M17,IF($AG$18='2. Customer Classes'!$B$20,+'4. Customer Growth'!$O17,IF($AG$18='2. Customer Classes'!$B$21,+'4. Customer Growth'!$Q17,0))))))))</f>
        <v>17</v>
      </c>
      <c r="AM21" s="376">
        <f>IF(AK21=0,+AJ21/AL21,0)</f>
        <v>34905.294117647056</v>
      </c>
      <c r="AN21" s="379">
        <f>IF(AK21&gt;0,+AK21/AL21,0)</f>
        <v>0</v>
      </c>
      <c r="AO21" s="342">
        <f>IF(AK21=0,+AK21/AJ21,0)</f>
        <v>0</v>
      </c>
      <c r="AQ21" s="357">
        <f>+B21</f>
        <v>2005</v>
      </c>
      <c r="AR21" s="70">
        <f>IF($AQ$18='2. Customer Classes'!$B$14,+SUM('3. Consumption by Rate Class'!$D$25:$D$36),+IF($AQ$18='2. Customer Classes'!$B$15,+SUM('3. Consumption by Rate Class'!$F$25:$F$36),+IF($AQ$18='2. Customer Classes'!$B$16,+SUM('3. Consumption by Rate Class'!$H$25:$H$36),+IF($AQ$18='2. Customer Classes'!$B$17,+SUM('3. Consumption by Rate Class'!$J$25:$J$36),+IF($AQ$18='2. Customer Classes'!$B$18,+SUM('3. Consumption by Rate Class'!$L$25:$L$36),+IF($AQ$18='2. Customer Classes'!$B$19,+SUM('3. Consumption by Rate Class'!$O$25:$O$36),IF($AQ$18='2. Customer Classes'!$B$20,+SUM('3. Consumption by Rate Class'!$R$25:$R$36),0)))))))</f>
        <v>0</v>
      </c>
      <c r="AS21" s="458"/>
      <c r="AT21" s="70">
        <f>+AR21+AS21</f>
        <v>0</v>
      </c>
      <c r="AU21" s="225">
        <f>+IF($AQ$18='2. Customer Classes'!$B$18,+SUM('3. Consumption by Rate Class'!$M$25:$M$36),+IF($AQ$18='2. Customer Classes'!$B$19,+SUM('3. Consumption by Rate Class'!$P$25:$P$36),IF($AQ$18='2. Customer Classes'!$B$20,+SUM('3. Consumption by Rate Class'!$S$25:$S$36),0)))</f>
        <v>0</v>
      </c>
      <c r="AV21" s="225">
        <f>IF($AQ$18='2. Customer Classes'!$B$14,+'4. Customer Growth'!$C17,+IF($AQ$18='2. Customer Classes'!$B$15,+'4. Customer Growth'!$E17,+IF($AQ$18='2. Customer Classes'!$B$16,+'4. Customer Growth'!$G17,+IF($AQ$18='2. Customer Classes'!$B$17,+'4. Customer Growth'!$I17,+IF($AQ$18='2. Customer Classes'!$B$18,+'4. Customer Growth'!$K17,+IF($AQ$18='2. Customer Classes'!$B$19,+'4. Customer Growth'!$M17,IF($AQ$18='2. Customer Classes'!$B$20,+'4. Customer Growth'!$O17,0)))))))</f>
        <v>0</v>
      </c>
      <c r="AW21" s="376">
        <f>IF(AV21&gt;0,+AT21/AV21,0)</f>
        <v>0</v>
      </c>
      <c r="AX21" s="379">
        <f>IF(AU21&gt;0,+AU21/AV21,0)</f>
        <v>0</v>
      </c>
      <c r="AY21" s="342">
        <f>IF(AU21&gt;0,+AU21/AT21,0)</f>
        <v>0</v>
      </c>
    </row>
    <row r="22" spans="2:51" ht="12.75" customHeight="1" x14ac:dyDescent="0.2">
      <c r="B22" s="190">
        <f>'4. Customer Growth'!B18</f>
        <v>2006</v>
      </c>
      <c r="C22" s="70">
        <f>IF($B$18='2. Customer Classes'!$B$14,+SUM('3. Consumption by Rate Class'!$D$37:$D$48),+IF($B$18='2. Customer Classes'!$B$15,+SUM('3. Consumption by Rate Class'!$F$37:$F$48),+IF($B$18='2. Customer Classes'!$B$16,+SUM('3. Consumption by Rate Class'!$H$37:$H$48),+IF($B$18='2. Customer Classes'!$B$17,+SUM('3. Consumption by Rate Class'!$J$37:$J$48),+IF($B$18='2. Customer Classes'!$B$18,+SUM('3. Consumption by Rate Class'!$L$37:$L$48),+IF($B$18='2. Customer Classes'!$B$19,+SUM('3. Consumption by Rate Class'!$O$37:$O$48),IF($B$18='2. Customer Classes'!$B$20,+SUM('3. Consumption by Rate Class'!$R$37:$R$48),0)))))))</f>
        <v>75435895</v>
      </c>
      <c r="D22" s="458"/>
      <c r="E22" s="70">
        <f t="shared" ref="E22:E32" si="2">+D22+C22</f>
        <v>75435895</v>
      </c>
      <c r="F22" s="70">
        <f>+IF($B$18='2. Customer Classes'!$B$18,+SUM('3. Consumption by Rate Class'!$M$37:$M$48),+IF($B$18='2. Customer Classes'!$B$19,+SUM('3. Consumption by Rate Class'!$P$37:$P$48),IF($B$18='2. Customer Classes'!$B$20,+SUM('3. Consumption by Rate Class'!$S$37:$S$48),0)))</f>
        <v>207000</v>
      </c>
      <c r="G22" s="70">
        <f>IF($B$18='2. Customer Classes'!$B$14,+'4. Customer Growth'!$C18,+IF($B$18='2. Customer Classes'!$B$15,+'4. Customer Growth'!$E18,+IF($B$18='2. Customer Classes'!$B$16,+'4. Customer Growth'!$G18,+IF($B$18='2. Customer Classes'!$B$17,+'4. Customer Growth'!$I18,+IF($B$18='2. Customer Classes'!$B$18,+'4. Customer Growth'!$K18,+IF($B$18='2. Customer Classes'!$B$19,+'4. Customer Growth'!$M18,IF($B$18='2. Customer Classes'!$B$20,+'4. Customer Growth'!$O18,0)))))))</f>
        <v>136</v>
      </c>
      <c r="H22" s="376">
        <f t="shared" ref="H22:H32" si="3">IF(F22&gt;0,+E22/G22,0)</f>
        <v>554675.69852941181</v>
      </c>
      <c r="I22" s="379">
        <f t="shared" ref="I22:I32" si="4">IF(F22&gt;0,+F22/G22,0)</f>
        <v>1522.0588235294117</v>
      </c>
      <c r="J22" s="342">
        <f t="shared" ref="J22:J30" si="5">IF(F22&gt;0,+F22/E22,0)</f>
        <v>2.7440517541417121E-3</v>
      </c>
      <c r="K22" s="183"/>
      <c r="L22" s="183"/>
      <c r="M22" s="190">
        <f t="shared" si="0"/>
        <v>2006</v>
      </c>
      <c r="N22" s="70">
        <f>IF($M$18='2. Customer Classes'!$B$14,+SUM('3. Consumption by Rate Class'!$D$37:$D$48),+IF($M$18='2. Customer Classes'!$B$15,+SUM('3. Consumption by Rate Class'!$F$37:$F$48),+IF($M$18='2. Customer Classes'!$B$16,+SUM('3. Consumption by Rate Class'!$H$37:$H$48),+IF($M$18='2. Customer Classes'!$B$17,+SUM('3. Consumption by Rate Class'!$J$37:$J$48),+IF($M$18='2. Customer Classes'!$B$18,+SUM('3. Consumption by Rate Class'!$L$37:$L$48),+IF($M$18='2. Customer Classes'!$B$19,+SUM('3. Consumption by Rate Class'!$O$37:$O$48),IF($M$18='2. Customer Classes'!$B$20,+SUM('3. Consumption by Rate Class'!$R$37:$R$48),0)))))))</f>
        <v>2517491</v>
      </c>
      <c r="O22" s="458"/>
      <c r="P22" s="70">
        <f t="shared" ref="P22:P32" si="6">+N22+O22</f>
        <v>2517491</v>
      </c>
      <c r="Q22" s="225">
        <f>+IF($M$18='2. Customer Classes'!$B$18,+SUM('3. Consumption by Rate Class'!$M$37:$M$48),+IF($M$18='2. Customer Classes'!$B$19,+SUM('3. Consumption by Rate Class'!$P$37:$P$48),IF($M$18='2. Customer Classes'!$B$20,+SUM('3. Consumption by Rate Class'!$S$37:$S$48),0)))</f>
        <v>6784</v>
      </c>
      <c r="R22" s="225">
        <f>IF($M$18='2. Customer Classes'!$B$14,+'4. Customer Growth'!$C18,+IF($M$18='2. Customer Classes'!$B$15,+'4. Customer Growth'!$E18,+IF($M$18='2. Customer Classes'!$B$16,+'4. Customer Growth'!$G18,+IF($M$18='2. Customer Classes'!$B$17,+'4. Customer Growth'!$I18,+IF($M$18='2. Customer Classes'!$B$18,+'4. Customer Growth'!$K18,+IF($M$18='2. Customer Classes'!$B$19,+'4. Customer Growth'!$M18,IF($M$18='2. Customer Classes'!$B$20,+'4. Customer Growth'!$O18,0)))))))</f>
        <v>2635</v>
      </c>
      <c r="S22" s="376">
        <f t="shared" ref="S22:S32" si="7">IF(Q22&gt;0,+P22/R22,0)</f>
        <v>955.40455407969637</v>
      </c>
      <c r="T22" s="379">
        <f t="shared" ref="T22:T32" si="8">IF(Q22&gt;0,+Q22/R22,0)</f>
        <v>2.5745730550284631</v>
      </c>
      <c r="U22" s="342">
        <f t="shared" ref="U22:U30" si="9">IF(Q22&gt;0,+Q22/P22,0)</f>
        <v>2.6947464757570137E-3</v>
      </c>
      <c r="V22" s="64"/>
      <c r="W22" s="190">
        <f t="shared" si="1"/>
        <v>2006</v>
      </c>
      <c r="X22" s="70">
        <f>IF($W$18='2. Customer Classes'!$B$14,+SUM('3. Consumption by Rate Class'!$D$37:$D$48),+IF($W$18='2. Customer Classes'!$B$15,+SUM('3. Consumption by Rate Class'!$F$37:$F$48),+IF($W$18='2. Customer Classes'!$B$16,+SUM('3. Consumption by Rate Class'!$H$37:$H$48),+IF($W$18='2. Customer Classes'!$B$17,+SUM('3. Consumption by Rate Class'!$J$37:$J$48),+IF($W$18='2. Customer Classes'!$B$18,+SUM('3. Consumption by Rate Class'!$L$37:$L$48),+IF($W$18='2. Customer Classes'!$B$19,+SUM('3. Consumption by Rate Class'!$O$37:$O$48),IF($W$18='2. Customer Classes'!$B$20,+SUM('3. Consumption by Rate Class'!$R$37:$R$48),0)))))))</f>
        <v>267504</v>
      </c>
      <c r="Y22" s="458"/>
      <c r="Z22" s="70">
        <f t="shared" ref="Z22:Z32" si="10">+X22+Y22</f>
        <v>267504</v>
      </c>
      <c r="AA22" s="225">
        <f>+IF($W$18='2. Customer Classes'!$B$18,+SUM('3. Consumption by Rate Class'!$M$37:$M$48),+IF($W$18='2. Customer Classes'!$B$19,+SUM('3. Consumption by Rate Class'!$P$37:$P$48),IF($W$18='2. Customer Classes'!$B$20,+SUM('3. Consumption by Rate Class'!$S$37:$S$48),0)))</f>
        <v>767</v>
      </c>
      <c r="AB22" s="225">
        <f>IF($W$18='2. Customer Classes'!$B$14,+'4. Customer Growth'!$C18,+IF($W$18='2. Customer Classes'!$B$15,+'4. Customer Growth'!$E18,+IF($W$18='2. Customer Classes'!$B$16,+'4. Customer Growth'!$G18,+IF($W$18='2. Customer Classes'!$B$17,+'4. Customer Growth'!$I18,+IF($W$18='2. Customer Classes'!$B$18,+'4. Customer Growth'!$K18,+IF($W$18='2. Customer Classes'!$B$19,+'4. Customer Growth'!$M18,IF($W$18='2. Customer Classes'!$B$20,+'4. Customer Growth'!$O18,0)))))))</f>
        <v>225</v>
      </c>
      <c r="AC22" s="376">
        <f t="shared" ref="AC22:AC32" si="11">IF(AA22&gt;0,+Z22/AB22,0)</f>
        <v>1188.9066666666668</v>
      </c>
      <c r="AD22" s="379">
        <f t="shared" ref="AD22:AD32" si="12">IF(AA22&gt;0,+AA22/AB22,0)</f>
        <v>3.4088888888888889</v>
      </c>
      <c r="AE22" s="342">
        <f t="shared" ref="AE22:AE30" si="13">IF(AA22&gt;0,+AA22/Z22,0)</f>
        <v>2.867246844906992E-3</v>
      </c>
      <c r="AG22" s="357">
        <f t="shared" ref="AG22:AG32" si="14">+B22</f>
        <v>2006</v>
      </c>
      <c r="AH22" s="70">
        <f>IF($AG$18='2. Customer Classes'!$B$14,+SUM('3. Consumption by Rate Class'!$D$37:$D$48),+IF($AG$18='2. Customer Classes'!$B$15,+SUM('3. Consumption by Rate Class'!$F$37:$F$48),+IF($AG$18='2. Customer Classes'!$B$16,+SUM('3. Consumption by Rate Class'!$H$37:$H$48),+IF($AG$18='2. Customer Classes'!$B$17,+SUM('3. Consumption by Rate Class'!$J$37:$J$48),+IF($AG$18='2. Customer Classes'!$B$18,+SUM('3. Consumption by Rate Class'!$L$37:$L$48),+IF($AG$18='2. Customer Classes'!$B$19,+SUM('3. Consumption by Rate Class'!$O$37:$O$48),IF($AG$18='2. Customer Classes'!$B$20,+SUM('3. Consumption by Rate Class'!$R$37:$R$48),IF($AG$18='2. Customer Classes'!$B$21,+SUM('3. Consumption by Rate Class'!$U$37:$U$48),0))))))))</f>
        <v>364006</v>
      </c>
      <c r="AI22" s="458"/>
      <c r="AJ22" s="70">
        <f t="shared" ref="AJ22:AJ32" si="15">+AH22+AI22</f>
        <v>364006</v>
      </c>
      <c r="AK22" s="225">
        <f>+IF($AG$18='2. Customer Classes'!$B$18,+SUM('3. Consumption by Rate Class'!$M$37:$M$48),+IF($AG$18='2. Customer Classes'!$B$19,+SUM('3. Consumption by Rate Class'!$P$37:$P$48),IF($AG$18='2. Customer Classes'!$B$20,+SUM('3. Consumption by Rate Class'!$S$37:$S$48),IF($AG$18='2. Customer Classes'!$B$21,+SUM('3. Consumption by Rate Class'!$V$37:$V$48),0))))</f>
        <v>0</v>
      </c>
      <c r="AL22" s="225">
        <f>IF($AG$18='2. Customer Classes'!$B$14,+'4. Customer Growth'!$C18,+IF($AG$18='2. Customer Classes'!$B$15,+'4. Customer Growth'!$E18,+IF($AG$18='2. Customer Classes'!$B$16,+'4. Customer Growth'!$G18,+IF($AG$18='2. Customer Classes'!$B$17,+'4. Customer Growth'!$I18,+IF($AG$18='2. Customer Classes'!$B$18,+'4. Customer Growth'!$K18,+IF($AG$18='2. Customer Classes'!$B$19,+'4. Customer Growth'!$M18,IF($AG$18='2. Customer Classes'!$B$20,+'4. Customer Growth'!$O18,IF($AG$18='2. Customer Classes'!$B$21,+'4. Customer Growth'!$Q18,0))))))))</f>
        <v>20</v>
      </c>
      <c r="AM22" s="376">
        <f t="shared" ref="AM22:AM32" si="16">IF(AK22=0,+AJ22/AL22,0)</f>
        <v>18200.3</v>
      </c>
      <c r="AN22" s="379">
        <f t="shared" ref="AN22:AN32" si="17">IF(AK22&gt;0,+AK22/AL22,0)</f>
        <v>0</v>
      </c>
      <c r="AO22" s="342">
        <f t="shared" ref="AO22:AO30" si="18">IF(AK22&gt;0,+AK22/AJ22,0)</f>
        <v>0</v>
      </c>
      <c r="AQ22" s="357">
        <f t="shared" ref="AQ22:AQ32" si="19">+B22</f>
        <v>2006</v>
      </c>
      <c r="AR22" s="70">
        <f>IF($AQ$18='2. Customer Classes'!$B$14,+SUM('3. Consumption by Rate Class'!$D$37:$D$48),+IF($AQ$18='2. Customer Classes'!$B$15,+SUM('3. Consumption by Rate Class'!$F$37:$F$48),+IF($AQ$18='2. Customer Classes'!$B$16,+SUM('3. Consumption by Rate Class'!$H$37:$H$48),+IF($AQ$18='2. Customer Classes'!$B$17,+SUM('3. Consumption by Rate Class'!$J$37:$J$48),+IF($AQ$18='2. Customer Classes'!$B$18,+SUM('3. Consumption by Rate Class'!$L$37:$L$48),+IF($AQ$18='2. Customer Classes'!$B$19,+SUM('3. Consumption by Rate Class'!$O$37:$O$48),IF($AQ$18='2. Customer Classes'!$B$20,+SUM('3. Consumption by Rate Class'!$R$37:$R$48),0)))))))</f>
        <v>0</v>
      </c>
      <c r="AS22" s="458"/>
      <c r="AT22" s="70">
        <f t="shared" ref="AT22:AT32" si="20">+AR22+AS22</f>
        <v>0</v>
      </c>
      <c r="AU22" s="225">
        <f>+IF($AQ$18='2. Customer Classes'!$B$18,+SUM('3. Consumption by Rate Class'!$M$37:$M$48),+IF($AQ$18='2. Customer Classes'!$B$19,+SUM('3. Consumption by Rate Class'!$P$37:$P$48),IF($AQ$18='2. Customer Classes'!$B$20,+SUM('3. Consumption by Rate Class'!$S$37:$S$48),0)))</f>
        <v>0</v>
      </c>
      <c r="AV22" s="225">
        <f>IF($AQ$18='2. Customer Classes'!$B$14,+'4. Customer Growth'!$C18,+IF($AQ$18='2. Customer Classes'!$B$15,+'4. Customer Growth'!$E18,+IF($AQ$18='2. Customer Classes'!$B$16,+'4. Customer Growth'!$G18,+IF($AQ$18='2. Customer Classes'!$B$17,+'4. Customer Growth'!$I18,+IF($AQ$18='2. Customer Classes'!$B$18,+'4. Customer Growth'!$K18,+IF($AQ$18='2. Customer Classes'!$B$19,+'4. Customer Growth'!$M18,IF($AQ$18='2. Customer Classes'!$B$20,+'4. Customer Growth'!$O18,0)))))))</f>
        <v>0</v>
      </c>
      <c r="AW22" s="376">
        <f t="shared" ref="AW22:AW32" si="21">IF(AV22&gt;0,+AT22/AV22,0)</f>
        <v>0</v>
      </c>
      <c r="AX22" s="379">
        <f t="shared" ref="AX22:AX32" si="22">IF(AU22&gt;0,+AU22/AV22,0)</f>
        <v>0</v>
      </c>
      <c r="AY22" s="342">
        <f t="shared" ref="AY22:AY30" si="23">IF(AU22&gt;0,+AU22/AT22,0)</f>
        <v>0</v>
      </c>
    </row>
    <row r="23" spans="2:51" ht="12.75" customHeight="1" x14ac:dyDescent="0.2">
      <c r="B23" s="190">
        <f>'4. Customer Growth'!B19</f>
        <v>2007</v>
      </c>
      <c r="C23" s="70">
        <f>IF($B$18='2. Customer Classes'!$B$14,+SUM('3. Consumption by Rate Class'!$D$49:$D$60),+IF($B$18='2. Customer Classes'!$B$15,+SUM('3. Consumption by Rate Class'!$F$49:$F$60),+IF($B$18='2. Customer Classes'!$B$16,+SUM('3. Consumption by Rate Class'!$H$49:$H$60),+IF($B$18='2. Customer Classes'!$B$17,+SUM('3. Consumption by Rate Class'!$J$49:$J$60),+IF($B$18='2. Customer Classes'!$B$18,+SUM('3. Consumption by Rate Class'!$L$49:$L$60),+IF($B$18='2. Customer Classes'!$B$19,+SUM('3. Consumption by Rate Class'!$O$49:$O$60),IF($B$18='2. Customer Classes'!$B$20,+SUM('3. Consumption by Rate Class'!$R$49:$R$60),0)))))))</f>
        <v>78527667</v>
      </c>
      <c r="D23" s="458"/>
      <c r="E23" s="70">
        <f t="shared" si="2"/>
        <v>78527667</v>
      </c>
      <c r="F23" s="70">
        <f>+IF($B$18='2. Customer Classes'!$B$18,+SUM('3. Consumption by Rate Class'!$M$49:$M$60),+IF($B$18='2. Customer Classes'!$B$19,+SUM('3. Consumption by Rate Class'!$P$49:$P$60),IF($B$18='2. Customer Classes'!$B$20,+SUM('3. Consumption by Rate Class'!$S$49:$S$60),0)))</f>
        <v>213039</v>
      </c>
      <c r="G23" s="70">
        <f>IF($B$18='2. Customer Classes'!$B$14,+'4. Customer Growth'!$C19,+IF($B$18='2. Customer Classes'!$B$15,+'4. Customer Growth'!$E19,+IF($B$18='2. Customer Classes'!$B$16,+'4. Customer Growth'!$G19,+IF($B$18='2. Customer Classes'!$B$17,+'4. Customer Growth'!$I19,+IF($B$18='2. Customer Classes'!$B$18,+'4. Customer Growth'!$K19,+IF($B$18='2. Customer Classes'!$B$19,+'4. Customer Growth'!$M19,IF($B$18='2. Customer Classes'!$B$20,+'4. Customer Growth'!$O19,0)))))))</f>
        <v>136</v>
      </c>
      <c r="H23" s="376">
        <f t="shared" si="3"/>
        <v>577409.3161764706</v>
      </c>
      <c r="I23" s="379">
        <f t="shared" si="4"/>
        <v>1566.4632352941176</v>
      </c>
      <c r="J23" s="342">
        <f t="shared" si="5"/>
        <v>2.7129164552921201E-3</v>
      </c>
      <c r="K23" s="183"/>
      <c r="L23" s="183"/>
      <c r="M23" s="190">
        <f t="shared" si="0"/>
        <v>2007</v>
      </c>
      <c r="N23" s="70">
        <f>IF($M$18='2. Customer Classes'!$B$14,+SUM('3. Consumption by Rate Class'!$D$49:$D$60),+IF($M$18='2. Customer Classes'!$B$15,+SUM('3. Consumption by Rate Class'!$F$49:$F$60),+IF($M$18='2. Customer Classes'!$B$16,+SUM('3. Consumption by Rate Class'!$H$49:$H$60),+IF($M$18='2. Customer Classes'!$B$17,+SUM('3. Consumption by Rate Class'!$J$49:$J$60),+IF($M$18='2. Customer Classes'!$B$18,+SUM('3. Consumption by Rate Class'!$L$49:$L$60),+IF($M$18='2. Customer Classes'!$B$19,+SUM('3. Consumption by Rate Class'!$O$49:$O$60),IF($M$18='2. Customer Classes'!$B$20,+SUM('3. Consumption by Rate Class'!$R$49:$R$60),0)))))))</f>
        <v>2426477</v>
      </c>
      <c r="O23" s="458"/>
      <c r="P23" s="70">
        <f t="shared" si="6"/>
        <v>2426477</v>
      </c>
      <c r="Q23" s="225">
        <f>+IF($M$18='2. Customer Classes'!$B$18,+SUM('3. Consumption by Rate Class'!$M$49:$M$60),+IF($M$18='2. Customer Classes'!$B$19,+SUM('3. Consumption by Rate Class'!$P$49:$P$60),IF($M$18='2. Customer Classes'!$B$20,+SUM('3. Consumption by Rate Class'!$S$49:$S$60),0)))</f>
        <v>6778</v>
      </c>
      <c r="R23" s="225">
        <f>IF($M$18='2. Customer Classes'!$B$14,+'4. Customer Growth'!$C19,+IF($M$18='2. Customer Classes'!$B$15,+'4. Customer Growth'!$E19,+IF($M$18='2. Customer Classes'!$B$16,+'4. Customer Growth'!$G19,+IF($M$18='2. Customer Classes'!$B$17,+'4. Customer Growth'!$I19,+IF($M$18='2. Customer Classes'!$B$18,+'4. Customer Growth'!$K19,+IF($M$18='2. Customer Classes'!$B$19,+'4. Customer Growth'!$M19,IF($M$18='2. Customer Classes'!$B$20,+'4. Customer Growth'!$O19,0)))))))</f>
        <v>2648</v>
      </c>
      <c r="S23" s="376">
        <f t="shared" si="7"/>
        <v>916.34327794561932</v>
      </c>
      <c r="T23" s="379">
        <f t="shared" si="8"/>
        <v>2.559667673716012</v>
      </c>
      <c r="U23" s="342">
        <f t="shared" si="9"/>
        <v>2.7933501945413041E-3</v>
      </c>
      <c r="V23" s="64"/>
      <c r="W23" s="190">
        <f t="shared" si="1"/>
        <v>2007</v>
      </c>
      <c r="X23" s="70">
        <f>IF($W$18='2. Customer Classes'!$B$14,+SUM('3. Consumption by Rate Class'!$D$49:$D$60),+IF($W$18='2. Customer Classes'!$B$15,+SUM('3. Consumption by Rate Class'!$F$49:$F$60),+IF($W$18='2. Customer Classes'!$B$16,+SUM('3. Consumption by Rate Class'!$H$49:$H$60),+IF($W$18='2. Customer Classes'!$B$17,+SUM('3. Consumption by Rate Class'!$J$49:$J$60),+IF($W$18='2. Customer Classes'!$B$18,+SUM('3. Consumption by Rate Class'!$L$49:$L$60),+IF($W$18='2. Customer Classes'!$B$19,+SUM('3. Consumption by Rate Class'!$O$49:$O$60),IF($W$18='2. Customer Classes'!$B$20,+SUM('3. Consumption by Rate Class'!$R$49:$R$60),0)))))))</f>
        <v>266011</v>
      </c>
      <c r="Y23" s="458"/>
      <c r="Z23" s="70">
        <f t="shared" si="10"/>
        <v>266011</v>
      </c>
      <c r="AA23" s="225">
        <f>+IF($W$18='2. Customer Classes'!$B$18,+SUM('3. Consumption by Rate Class'!$M$49:$M$60),+IF($W$18='2. Customer Classes'!$B$19,+SUM('3. Consumption by Rate Class'!$P$49:$P$60),IF($W$18='2. Customer Classes'!$B$20,+SUM('3. Consumption by Rate Class'!$S$49:$S$60),0)))</f>
        <v>766</v>
      </c>
      <c r="AB23" s="225">
        <f>IF($W$18='2. Customer Classes'!$B$14,+'4. Customer Growth'!$C19,+IF($W$18='2. Customer Classes'!$B$15,+'4. Customer Growth'!$E19,+IF($W$18='2. Customer Classes'!$B$16,+'4. Customer Growth'!$G19,+IF($W$18='2. Customer Classes'!$B$17,+'4. Customer Growth'!$I19,+IF($W$18='2. Customer Classes'!$B$18,+'4. Customer Growth'!$K19,+IF($W$18='2. Customer Classes'!$B$19,+'4. Customer Growth'!$M19,IF($W$18='2. Customer Classes'!$B$20,+'4. Customer Growth'!$O19,0)))))))</f>
        <v>225</v>
      </c>
      <c r="AC23" s="376">
        <f t="shared" si="11"/>
        <v>1182.2711111111112</v>
      </c>
      <c r="AD23" s="379">
        <f t="shared" si="12"/>
        <v>3.4044444444444446</v>
      </c>
      <c r="AE23" s="342">
        <f t="shared" si="13"/>
        <v>2.8795801677374243E-3</v>
      </c>
      <c r="AG23" s="357">
        <f t="shared" si="14"/>
        <v>2007</v>
      </c>
      <c r="AH23" s="70">
        <f>IF($AG$18='2. Customer Classes'!$B$14,+SUM('3. Consumption by Rate Class'!$D$49:$D$60),+IF($AG$18='2. Customer Classes'!$B$15,+SUM('3. Consumption by Rate Class'!$F$49:$F$60),+IF($AG$18='2. Customer Classes'!$B$16,+SUM('3. Consumption by Rate Class'!$H$49:$H$60),+IF($AG$18='2. Customer Classes'!$B$17,+SUM('3. Consumption by Rate Class'!$J$49:$J$60),+IF($AG$18='2. Customer Classes'!$B$18,+SUM('3. Consumption by Rate Class'!$L$49:$L$60),+IF($AG$18='2. Customer Classes'!$B$19,+SUM('3. Consumption by Rate Class'!$O$49:$O$60),IF($AG$18='2. Customer Classes'!$B$20,+SUM('3. Consumption by Rate Class'!$R$49:$R$60),IF($AG$18='2. Customer Classes'!$B$21,+SUM('3. Consumption by Rate Class'!$U$49:$U$60),0))))))))</f>
        <v>348199</v>
      </c>
      <c r="AI23" s="458"/>
      <c r="AJ23" s="70">
        <f t="shared" si="15"/>
        <v>348199</v>
      </c>
      <c r="AK23" s="225">
        <f>+IF($AG$18='2. Customer Classes'!$B$18,+SUM('3. Consumption by Rate Class'!$M$49:$M$60),+IF($AG$18='2. Customer Classes'!$B$19,+SUM('3. Consumption by Rate Class'!$P$49:$P$60),IF($AG$18='2. Customer Classes'!$B$20,+SUM('3. Consumption by Rate Class'!$S$49:$S$60),IF($AG$18='2. Customer Classes'!$B$21,+SUM('3. Consumption by Rate Class'!$V$49:$V$60),0))))</f>
        <v>0</v>
      </c>
      <c r="AL23" s="225">
        <f>IF($AG$18='2. Customer Classes'!$B$14,+'4. Customer Growth'!$C19,+IF($AG$18='2. Customer Classes'!$B$15,+'4. Customer Growth'!$E19,+IF($AG$18='2. Customer Classes'!$B$16,+'4. Customer Growth'!$G19,+IF($AG$18='2. Customer Classes'!$B$17,+'4. Customer Growth'!$I19,+IF($AG$18='2. Customer Classes'!$B$18,+'4. Customer Growth'!$K19,+IF($AG$18='2. Customer Classes'!$B$19,+'4. Customer Growth'!$M19,IF($AG$18='2. Customer Classes'!$B$20,+'4. Customer Growth'!$O19,IF($AG$18='2. Customer Classes'!$B$21,+'4. Customer Growth'!$Q19,0))))))))</f>
        <v>20</v>
      </c>
      <c r="AM23" s="376">
        <f t="shared" si="16"/>
        <v>17409.95</v>
      </c>
      <c r="AN23" s="379">
        <f t="shared" si="17"/>
        <v>0</v>
      </c>
      <c r="AO23" s="342">
        <f t="shared" si="18"/>
        <v>0</v>
      </c>
      <c r="AQ23" s="357">
        <f t="shared" si="19"/>
        <v>2007</v>
      </c>
      <c r="AR23" s="70">
        <f>IF($AQ$18='2. Customer Classes'!$B$14,+SUM('3. Consumption by Rate Class'!$D$49:$D$60),+IF($AQ$18='2. Customer Classes'!$B$15,+SUM('3. Consumption by Rate Class'!$F$49:$F$60),+IF($AQ$18='2. Customer Classes'!$B$16,+SUM('3. Consumption by Rate Class'!$H$49:$H$60),+IF($AQ$18='2. Customer Classes'!$B$17,+SUM('3. Consumption by Rate Class'!$J$49:$J$60),+IF($AQ$18='2. Customer Classes'!$B$18,+SUM('3. Consumption by Rate Class'!$L$49:$L$60),+IF($AQ$18='2. Customer Classes'!$B$19,+SUM('3. Consumption by Rate Class'!$O$49:$O$60),IF($AQ$18='2. Customer Classes'!$B$20,+SUM('3. Consumption by Rate Class'!$R$49:$R$60),0)))))))</f>
        <v>0</v>
      </c>
      <c r="AS23" s="458"/>
      <c r="AT23" s="70">
        <f t="shared" si="20"/>
        <v>0</v>
      </c>
      <c r="AU23" s="225">
        <f>+IF($AQ$18='2. Customer Classes'!$B$18,+SUM('3. Consumption by Rate Class'!$M$49:$M$60),+IF($AQ$18='2. Customer Classes'!$B$19,+SUM('3. Consumption by Rate Class'!$P$49:$P$60),IF($AQ$18='2. Customer Classes'!$B$20,+SUM('3. Consumption by Rate Class'!$S$49:$S$60),0)))</f>
        <v>0</v>
      </c>
      <c r="AV23" s="225">
        <f>IF($AQ$18='2. Customer Classes'!$B$14,+'4. Customer Growth'!$C19,+IF($AQ$18='2. Customer Classes'!$B$15,+'4. Customer Growth'!$E19,+IF($AQ$18='2. Customer Classes'!$B$16,+'4. Customer Growth'!$G19,+IF($AQ$18='2. Customer Classes'!$B$17,+'4. Customer Growth'!$I19,+IF($AQ$18='2. Customer Classes'!$B$18,+'4. Customer Growth'!$K19,+IF($AQ$18='2. Customer Classes'!$B$19,+'4. Customer Growth'!$M19,IF($AQ$18='2. Customer Classes'!$B$20,+'4. Customer Growth'!$O19,0)))))))</f>
        <v>0</v>
      </c>
      <c r="AW23" s="376">
        <f t="shared" si="21"/>
        <v>0</v>
      </c>
      <c r="AX23" s="379">
        <f t="shared" si="22"/>
        <v>0</v>
      </c>
      <c r="AY23" s="342">
        <f t="shared" si="23"/>
        <v>0</v>
      </c>
    </row>
    <row r="24" spans="2:51" ht="12.75" customHeight="1" x14ac:dyDescent="0.2">
      <c r="B24" s="190">
        <f>'4. Customer Growth'!B20</f>
        <v>2008</v>
      </c>
      <c r="C24" s="70">
        <f>IF($B$18='2. Customer Classes'!$B$14,+SUM('3. Consumption by Rate Class'!$D$61:$D$72),+IF($B$18='2. Customer Classes'!$B$15,+SUM('3. Consumption by Rate Class'!$F$61:$F$72),+IF($B$18='2. Customer Classes'!$B$16,+SUM('3. Consumption by Rate Class'!$H$61:$H$72),+IF($B$18='2. Customer Classes'!$B$17,+SUM('3. Consumption by Rate Class'!$J$61:$J$72),+IF($B$18='2. Customer Classes'!$B$18,+SUM('3. Consumption by Rate Class'!$L$61:$L$72),+IF($B$18='2. Customer Classes'!$B$19,+SUM('3. Consumption by Rate Class'!$O$61:$O$72),IF($B$18='2. Customer Classes'!$B$20,+SUM('3. Consumption by Rate Class'!$R$61:$R$72),0)))))))</f>
        <v>78693630</v>
      </c>
      <c r="D24" s="458"/>
      <c r="E24" s="70">
        <f t="shared" si="2"/>
        <v>78693630</v>
      </c>
      <c r="F24" s="70">
        <f>+IF($B$18='2. Customer Classes'!$B$18,+SUM('3. Consumption by Rate Class'!$M$61:$M$72),+IF($B$18='2. Customer Classes'!$B$19,+SUM('3. Consumption by Rate Class'!$P$61:$P$72),IF($B$18='2. Customer Classes'!$B$20,+SUM('3. Consumption by Rate Class'!$S$61:$S$72),0)))</f>
        <v>202855</v>
      </c>
      <c r="G24" s="70">
        <f>IF($B$18='2. Customer Classes'!$B$14,+'4. Customer Growth'!$C20,+IF($B$18='2. Customer Classes'!$B$15,+'4. Customer Growth'!$E20,+IF($B$18='2. Customer Classes'!$B$16,+'4. Customer Growth'!$G20,+IF($B$18='2. Customer Classes'!$B$17,+'4. Customer Growth'!$I20,+IF($B$18='2. Customer Classes'!$B$18,+'4. Customer Growth'!$K20,+IF($B$18='2. Customer Classes'!$B$19,+'4. Customer Growth'!$M20,IF($B$18='2. Customer Classes'!$B$20,+'4. Customer Growth'!$O20,0)))))))</f>
        <v>143</v>
      </c>
      <c r="H24" s="376">
        <f t="shared" si="3"/>
        <v>550305.10489510489</v>
      </c>
      <c r="I24" s="379">
        <f t="shared" si="4"/>
        <v>1418.5664335664335</v>
      </c>
      <c r="J24" s="342">
        <f t="shared" si="5"/>
        <v>2.5777817086338499E-3</v>
      </c>
      <c r="K24" s="183"/>
      <c r="L24" s="183"/>
      <c r="M24" s="190">
        <f t="shared" si="0"/>
        <v>2008</v>
      </c>
      <c r="N24" s="70">
        <f>IF($M$18='2. Customer Classes'!$B$14,+SUM('3. Consumption by Rate Class'!$D$61:$D$72),+IF($M$18='2. Customer Classes'!$B$15,+SUM('3. Consumption by Rate Class'!$F$61:$F$72),+IF($M$18='2. Customer Classes'!$B$16,+SUM('3. Consumption by Rate Class'!$H$61:$H$72),+IF($M$18='2. Customer Classes'!$B$17,+SUM('3. Consumption by Rate Class'!$J$61:$J$72),+IF($M$18='2. Customer Classes'!$B$18,+SUM('3. Consumption by Rate Class'!$L$61:$L$72),+IF($M$18='2. Customer Classes'!$B$19,+SUM('3. Consumption by Rate Class'!$O$61:$O$72),IF($M$18='2. Customer Classes'!$B$20,+SUM('3. Consumption by Rate Class'!$R$61:$R$72),0)))))))</f>
        <v>2370504</v>
      </c>
      <c r="O24" s="458"/>
      <c r="P24" s="70">
        <f t="shared" si="6"/>
        <v>2370504</v>
      </c>
      <c r="Q24" s="225">
        <f>+IF($M$18='2. Customer Classes'!$B$18,+SUM('3. Consumption by Rate Class'!$M$61:$M$72),+IF($M$18='2. Customer Classes'!$B$19,+SUM('3. Consumption by Rate Class'!$P$61:$P$72),IF($M$18='2. Customer Classes'!$B$20,+SUM('3. Consumption by Rate Class'!$S$61:$S$72),0)))</f>
        <v>6728</v>
      </c>
      <c r="R24" s="225">
        <f>IF($M$18='2. Customer Classes'!$B$14,+'4. Customer Growth'!$C20,+IF($M$18='2. Customer Classes'!$B$15,+'4. Customer Growth'!$E20,+IF($M$18='2. Customer Classes'!$B$16,+'4. Customer Growth'!$G20,+IF($M$18='2. Customer Classes'!$B$17,+'4. Customer Growth'!$I20,+IF($M$18='2. Customer Classes'!$B$18,+'4. Customer Growth'!$K20,+IF($M$18='2. Customer Classes'!$B$19,+'4. Customer Growth'!$M20,IF($M$18='2. Customer Classes'!$B$20,+'4. Customer Growth'!$O20,0)))))))</f>
        <v>2653</v>
      </c>
      <c r="S24" s="376">
        <f t="shared" si="7"/>
        <v>893.51828119110439</v>
      </c>
      <c r="T24" s="379">
        <f t="shared" si="8"/>
        <v>2.5359969845457973</v>
      </c>
      <c r="U24" s="342">
        <f t="shared" si="9"/>
        <v>2.8382149956296212E-3</v>
      </c>
      <c r="V24" s="64"/>
      <c r="W24" s="190">
        <f t="shared" si="1"/>
        <v>2008</v>
      </c>
      <c r="X24" s="70">
        <f>IF($W$18='2. Customer Classes'!$B$14,+SUM('3. Consumption by Rate Class'!$D$61:$D$72),+IF($W$18='2. Customer Classes'!$B$15,+SUM('3. Consumption by Rate Class'!$F$61:$F$72),+IF($W$18='2. Customer Classes'!$B$16,+SUM('3. Consumption by Rate Class'!$H$61:$H$72),+IF($W$18='2. Customer Classes'!$B$17,+SUM('3. Consumption by Rate Class'!$J$61:$J$72),+IF($W$18='2. Customer Classes'!$B$18,+SUM('3. Consumption by Rate Class'!$L$61:$L$72),+IF($W$18='2. Customer Classes'!$B$19,+SUM('3. Consumption by Rate Class'!$O$61:$O$72),IF($W$18='2. Customer Classes'!$B$20,+SUM('3. Consumption by Rate Class'!$R$61:$R$72),0)))))))</f>
        <v>262124</v>
      </c>
      <c r="Y24" s="458"/>
      <c r="Z24" s="70">
        <f t="shared" si="10"/>
        <v>262124</v>
      </c>
      <c r="AA24" s="540">
        <f>+IF($W$18='2. Customer Classes'!$B$18,+SUM('3. Consumption by Rate Class'!$M$61:$M$72),+IF($W$18='2. Customer Classes'!$B$19,+SUM('3. Consumption by Rate Class'!$P$61:$P$72),IF($W$18='2. Customer Classes'!$B$20,+SUM('3. Consumption by Rate Class'!$S$61:$S$72),0)))</f>
        <v>751</v>
      </c>
      <c r="AB24" s="225">
        <f>IF($W$18='2. Customer Classes'!$B$14,+'4. Customer Growth'!$C20,+IF($W$18='2. Customer Classes'!$B$15,+'4. Customer Growth'!$E20,+IF($W$18='2. Customer Classes'!$B$16,+'4. Customer Growth'!$G20,+IF($W$18='2. Customer Classes'!$B$17,+'4. Customer Growth'!$I20,+IF($W$18='2. Customer Classes'!$B$18,+'4. Customer Growth'!$K20,+IF($W$18='2. Customer Classes'!$B$19,+'4. Customer Growth'!$M20,IF($W$18='2. Customer Classes'!$B$20,+'4. Customer Growth'!$O20,0)))))))</f>
        <v>226</v>
      </c>
      <c r="AC24" s="376">
        <f t="shared" si="11"/>
        <v>1159.8407079646017</v>
      </c>
      <c r="AD24" s="379">
        <f t="shared" si="12"/>
        <v>3.3230088495575223</v>
      </c>
      <c r="AE24" s="342">
        <f t="shared" si="13"/>
        <v>2.8650562329279273E-3</v>
      </c>
      <c r="AG24" s="357">
        <f t="shared" si="14"/>
        <v>2008</v>
      </c>
      <c r="AH24" s="70">
        <f>IF($AG$18='2. Customer Classes'!$B$14,+SUM('3. Consumption by Rate Class'!$D$61:$D$72),+IF($AG$18='2. Customer Classes'!$B$15,+SUM('3. Consumption by Rate Class'!$F$61:$F$72),+IF($AG$18='2. Customer Classes'!$B$16,+SUM('3. Consumption by Rate Class'!$H$61:$H$72),+IF($AG$18='2. Customer Classes'!$B$17,+SUM('3. Consumption by Rate Class'!$J$61:$J$72),+IF($AG$18='2. Customer Classes'!$B$18,+SUM('3. Consumption by Rate Class'!$L$61:$L$72),+IF($AG$18='2. Customer Classes'!$B$19,+SUM('3. Consumption by Rate Class'!$O$61:$O$72),IF($AG$18='2. Customer Classes'!$B$20,+SUM('3. Consumption by Rate Class'!$R$61:$R$72),IF($AG$18='2. Customer Classes'!$B$21,+SUM('3. Consumption by Rate Class'!$U$61:$U$72),0))))))))</f>
        <v>386944</v>
      </c>
      <c r="AI24" s="458"/>
      <c r="AJ24" s="70">
        <f t="shared" si="15"/>
        <v>386944</v>
      </c>
      <c r="AK24" s="225">
        <f>+IF($AG$18='2. Customer Classes'!$B$18,+SUM('3. Consumption by Rate Class'!$M$61:$M$72),+IF($AG$18='2. Customer Classes'!$B$19,+SUM('3. Consumption by Rate Class'!$P$61:$P$72),IF($AG$18='2. Customer Classes'!$B$20,+SUM('3. Consumption by Rate Class'!$S$61:$S$72),IF($AG$18='2. Customer Classes'!$B$21,+SUM('3. Consumption by Rate Class'!$V$61:$V$72),0))))</f>
        <v>0</v>
      </c>
      <c r="AL24" s="225">
        <f>IF($AG$18='2. Customer Classes'!$B$14,+'4. Customer Growth'!$C20,+IF($AG$18='2. Customer Classes'!$B$15,+'4. Customer Growth'!$E20,+IF($AG$18='2. Customer Classes'!$B$16,+'4. Customer Growth'!$G20,+IF($AG$18='2. Customer Classes'!$B$17,+'4. Customer Growth'!$I20,+IF($AG$18='2. Customer Classes'!$B$18,+'4. Customer Growth'!$K20,+IF($AG$18='2. Customer Classes'!$B$19,+'4. Customer Growth'!$M20,IF($AG$18='2. Customer Classes'!$B$20,+'4. Customer Growth'!$O20,IF($AG$18='2. Customer Classes'!$B$21,+'4. Customer Growth'!$Q20,0))))))))</f>
        <v>20</v>
      </c>
      <c r="AM24" s="376">
        <f t="shared" si="16"/>
        <v>19347.2</v>
      </c>
      <c r="AN24" s="379">
        <f t="shared" si="17"/>
        <v>0</v>
      </c>
      <c r="AO24" s="342">
        <f t="shared" si="18"/>
        <v>0</v>
      </c>
      <c r="AQ24" s="357">
        <f t="shared" si="19"/>
        <v>2008</v>
      </c>
      <c r="AR24" s="70">
        <f>IF($AQ$18='2. Customer Classes'!$B$14,+SUM('3. Consumption by Rate Class'!$D$61:$D$72),+IF($AQ$18='2. Customer Classes'!$B$15,+SUM('3. Consumption by Rate Class'!$F$61:$F$72),+IF($AQ$18='2. Customer Classes'!$B$16,+SUM('3. Consumption by Rate Class'!$H$61:$H$72),+IF($AQ$18='2. Customer Classes'!$B$17,+SUM('3. Consumption by Rate Class'!$J$61:$J$72),+IF($AQ$18='2. Customer Classes'!$B$18,+SUM('3. Consumption by Rate Class'!$L$61:$L$72),+IF($AQ$18='2. Customer Classes'!$B$19,+SUM('3. Consumption by Rate Class'!$O$61:$O$72),IF($AQ$18='2. Customer Classes'!$B$20,+SUM('3. Consumption by Rate Class'!$R$61:$R$72),0)))))))</f>
        <v>0</v>
      </c>
      <c r="AS24" s="458"/>
      <c r="AT24" s="70">
        <f t="shared" si="20"/>
        <v>0</v>
      </c>
      <c r="AU24" s="225">
        <f>+IF($AQ$18='2. Customer Classes'!$B$18,+SUM('3. Consumption by Rate Class'!$M$61:$M$72),+IF($AQ$18='2. Customer Classes'!$B$19,+SUM('3. Consumption by Rate Class'!$P$61:$P$72),IF($AQ$18='2. Customer Classes'!$B$20,+SUM('3. Consumption by Rate Class'!$S$61:$S$72),0)))</f>
        <v>0</v>
      </c>
      <c r="AV24" s="225">
        <f>IF($AQ$18='2. Customer Classes'!$B$14,+'4. Customer Growth'!$C20,+IF($AQ$18='2. Customer Classes'!$B$15,+'4. Customer Growth'!$E20,+IF($AQ$18='2. Customer Classes'!$B$16,+'4. Customer Growth'!$G20,+IF($AQ$18='2. Customer Classes'!$B$17,+'4. Customer Growth'!$I20,+IF($AQ$18='2. Customer Classes'!$B$18,+'4. Customer Growth'!$K20,+IF($AQ$18='2. Customer Classes'!$B$19,+'4. Customer Growth'!$M20,IF($AQ$18='2. Customer Classes'!$B$20,+'4. Customer Growth'!$O20,0)))))))</f>
        <v>0</v>
      </c>
      <c r="AW24" s="376">
        <f t="shared" si="21"/>
        <v>0</v>
      </c>
      <c r="AX24" s="379">
        <f t="shared" si="22"/>
        <v>0</v>
      </c>
      <c r="AY24" s="342">
        <f t="shared" si="23"/>
        <v>0</v>
      </c>
    </row>
    <row r="25" spans="2:51" ht="12.75" customHeight="1" x14ac:dyDescent="0.2">
      <c r="B25" s="190">
        <f>'4. Customer Growth'!B21</f>
        <v>2009</v>
      </c>
      <c r="C25" s="70">
        <f>IF($B$18='2. Customer Classes'!$B$14,+SUM('3. Consumption by Rate Class'!$D$73:$D$84),+IF($B$18='2. Customer Classes'!$B$15,+SUM('3. Consumption by Rate Class'!$F$73:$F$84),+IF($B$18='2. Customer Classes'!$B$16,+SUM('3. Consumption by Rate Class'!$H$73:$H$84),+IF($B$18='2. Customer Classes'!$B$17,+SUM('3. Consumption by Rate Class'!$J$73:$J$84),+IF($B$18='2. Customer Classes'!$B$18,+SUM('3. Consumption by Rate Class'!$L$73:$L$84),+IF($B$18='2. Customer Classes'!$B$19,+SUM('3. Consumption by Rate Class'!$O$73:$O$84),IF($B$18='2. Customer Classes'!$B$20,+SUM('3. Consumption by Rate Class'!$R$73:$R$84),0)))))))</f>
        <v>78622635.780000001</v>
      </c>
      <c r="D25" s="458"/>
      <c r="E25" s="70">
        <f t="shared" si="2"/>
        <v>78622635.780000001</v>
      </c>
      <c r="F25" s="70">
        <f>+IF($B$18='2. Customer Classes'!$B$18,+SUM('3. Consumption by Rate Class'!$M$73:$M$84),+IF($B$18='2. Customer Classes'!$B$19,+SUM('3. Consumption by Rate Class'!$P$73:$P$84),IF($B$18='2. Customer Classes'!$B$20,+SUM('3. Consumption by Rate Class'!$S$73:$S$84),0)))</f>
        <v>209853</v>
      </c>
      <c r="G25" s="70">
        <f>IF($B$18='2. Customer Classes'!$B$14,+'4. Customer Growth'!$C21,+IF($B$18='2. Customer Classes'!$B$15,+'4. Customer Growth'!$E21,+IF($B$18='2. Customer Classes'!$B$16,+'4. Customer Growth'!$G21,+IF($B$18='2. Customer Classes'!$B$17,+'4. Customer Growth'!$I21,+IF($B$18='2. Customer Classes'!$B$18,+'4. Customer Growth'!$K21,+IF($B$18='2. Customer Classes'!$B$19,+'4. Customer Growth'!$M21,IF($B$18='2. Customer Classes'!$B$20,+'4. Customer Growth'!$O21,0)))))))</f>
        <v>144</v>
      </c>
      <c r="H25" s="376">
        <f t="shared" si="3"/>
        <v>545990.52625</v>
      </c>
      <c r="I25" s="379">
        <f t="shared" si="4"/>
        <v>1457.3125</v>
      </c>
      <c r="J25" s="342">
        <f t="shared" si="5"/>
        <v>2.6691168251749497E-3</v>
      </c>
      <c r="K25" s="183"/>
      <c r="L25" s="183"/>
      <c r="M25" s="190">
        <f t="shared" si="0"/>
        <v>2009</v>
      </c>
      <c r="N25" s="70">
        <f>IF($M$18='2. Customer Classes'!$B$14,+SUM('3. Consumption by Rate Class'!$D$73:$D$84),+IF($M$18='2. Customer Classes'!$B$15,+SUM('3. Consumption by Rate Class'!$F$73:$F$84),+IF($M$18='2. Customer Classes'!$B$16,+SUM('3. Consumption by Rate Class'!$H$73:$H$84),+IF($M$18='2. Customer Classes'!$B$17,+SUM('3. Consumption by Rate Class'!$J$73:$J$84),+IF($M$18='2. Customer Classes'!$B$18,+SUM('3. Consumption by Rate Class'!$L$73:$L$84),+IF($M$18='2. Customer Classes'!$B$19,+SUM('3. Consumption by Rate Class'!$O$73:$O$84),IF($M$18='2. Customer Classes'!$B$20,+SUM('3. Consumption by Rate Class'!$R$73:$R$84),0)))))))</f>
        <v>2414486.62</v>
      </c>
      <c r="O25" s="458"/>
      <c r="P25" s="70">
        <f t="shared" si="6"/>
        <v>2414486.62</v>
      </c>
      <c r="Q25" s="225">
        <f>+IF($M$18='2. Customer Classes'!$B$18,+SUM('3. Consumption by Rate Class'!$M$73:$M$84),+IF($M$18='2. Customer Classes'!$B$19,+SUM('3. Consumption by Rate Class'!$P$73:$P$84),IF($M$18='2. Customer Classes'!$B$20,+SUM('3. Consumption by Rate Class'!$S$73:$S$84),0)))</f>
        <v>6652</v>
      </c>
      <c r="R25" s="225">
        <f>IF($M$18='2. Customer Classes'!$B$14,+'4. Customer Growth'!$C21,+IF($M$18='2. Customer Classes'!$B$15,+'4. Customer Growth'!$E21,+IF($M$18='2. Customer Classes'!$B$16,+'4. Customer Growth'!$G21,+IF($M$18='2. Customer Classes'!$B$17,+'4. Customer Growth'!$I21,+IF($M$18='2. Customer Classes'!$B$18,+'4. Customer Growth'!$K21,+IF($M$18='2. Customer Classes'!$B$19,+'4. Customer Growth'!$M21,IF($M$18='2. Customer Classes'!$B$20,+'4. Customer Growth'!$O21,0)))))))</f>
        <v>2701</v>
      </c>
      <c r="S25" s="376">
        <f t="shared" si="7"/>
        <v>893.92322102924845</v>
      </c>
      <c r="T25" s="379">
        <f t="shared" si="8"/>
        <v>2.4627915586819698</v>
      </c>
      <c r="U25" s="342">
        <f t="shared" si="9"/>
        <v>2.7550370107248721E-3</v>
      </c>
      <c r="V25" s="64"/>
      <c r="W25" s="190">
        <f t="shared" si="1"/>
        <v>2009</v>
      </c>
      <c r="X25" s="70">
        <f>IF($W$18='2. Customer Classes'!$B$14,+SUM('3. Consumption by Rate Class'!$D$73:$D$84),+IF($W$18='2. Customer Classes'!$B$15,+SUM('3. Consumption by Rate Class'!$F$73:$F$84),+IF($W$18='2. Customer Classes'!$B$16,+SUM('3. Consumption by Rate Class'!$H$73:$H$84),+IF($W$18='2. Customer Classes'!$B$17,+SUM('3. Consumption by Rate Class'!$J$73:$J$84),+IF($W$18='2. Customer Classes'!$B$18,+SUM('3. Consumption by Rate Class'!$L$73:$L$84),+IF($W$18='2. Customer Classes'!$B$19,+SUM('3. Consumption by Rate Class'!$O$73:$O$84),IF($W$18='2. Customer Classes'!$B$20,+SUM('3. Consumption by Rate Class'!$R$73:$R$84),0)))))))</f>
        <v>265370.21000000002</v>
      </c>
      <c r="Y25" s="458"/>
      <c r="Z25" s="70">
        <f t="shared" si="10"/>
        <v>265370.21000000002</v>
      </c>
      <c r="AA25" s="225">
        <f>+IF($W$18='2. Customer Classes'!$B$18,+SUM('3. Consumption by Rate Class'!$M$73:$M$84),+IF($W$18='2. Customer Classes'!$B$19,+SUM('3. Consumption by Rate Class'!$P$73:$P$84),IF($W$18='2. Customer Classes'!$B$20,+SUM('3. Consumption by Rate Class'!$S$73:$S$84),0)))</f>
        <v>756</v>
      </c>
      <c r="AB25" s="225">
        <f>IF($W$18='2. Customer Classes'!$B$14,+'4. Customer Growth'!$C21,+IF($W$18='2. Customer Classes'!$B$15,+'4. Customer Growth'!$E21,+IF($W$18='2. Customer Classes'!$B$16,+'4. Customer Growth'!$G21,+IF($W$18='2. Customer Classes'!$B$17,+'4. Customer Growth'!$I21,+IF($W$18='2. Customer Classes'!$B$18,+'4. Customer Growth'!$K21,+IF($W$18='2. Customer Classes'!$B$19,+'4. Customer Growth'!$M21,IF($W$18='2. Customer Classes'!$B$20,+'4. Customer Growth'!$O21,0)))))))</f>
        <v>226</v>
      </c>
      <c r="AC25" s="376">
        <f t="shared" si="11"/>
        <v>1174.2044690265488</v>
      </c>
      <c r="AD25" s="379">
        <f t="shared" si="12"/>
        <v>3.3451327433628317</v>
      </c>
      <c r="AE25" s="342">
        <f t="shared" si="13"/>
        <v>2.848850291070727E-3</v>
      </c>
      <c r="AG25" s="357">
        <f t="shared" si="14"/>
        <v>2009</v>
      </c>
      <c r="AH25" s="70">
        <f>IF($AG$18='2. Customer Classes'!$B$14,+SUM('3. Consumption by Rate Class'!$D$73:$D$84),+IF($AG$18='2. Customer Classes'!$B$15,+SUM('3. Consumption by Rate Class'!$F$73:$F$84),+IF($AG$18='2. Customer Classes'!$B$16,+SUM('3. Consumption by Rate Class'!$H$73:$H$84),+IF($AG$18='2. Customer Classes'!$B$17,+SUM('3. Consumption by Rate Class'!$J$73:$J$84),+IF($AG$18='2. Customer Classes'!$B$18,+SUM('3. Consumption by Rate Class'!$L$73:$L$84),+IF($AG$18='2. Customer Classes'!$B$19,+SUM('3. Consumption by Rate Class'!$O$73:$O$84),IF($AG$18='2. Customer Classes'!$B$20,+SUM('3. Consumption by Rate Class'!$R$73:$R$84),IF($AG$18='2. Customer Classes'!$B$21,+SUM('3. Consumption by Rate Class'!$U$73:$U$84),0))))))))</f>
        <v>437952.27</v>
      </c>
      <c r="AI25" s="458"/>
      <c r="AJ25" s="70">
        <f t="shared" si="15"/>
        <v>437952.27</v>
      </c>
      <c r="AK25" s="225">
        <f>+IF($AG$18='2. Customer Classes'!$B$18,+SUM('3. Consumption by Rate Class'!$M$73:$M$84),+IF($AG$18='2. Customer Classes'!$B$19,+SUM('3. Consumption by Rate Class'!$P$73:$P$84),IF($AG$18='2. Customer Classes'!$B$20,+SUM('3. Consumption by Rate Class'!$S$73:$S$84),IF($AG$18='2. Customer Classes'!$B$21,+SUM('3. Consumption by Rate Class'!$V$73:$V$84),0))))</f>
        <v>0</v>
      </c>
      <c r="AL25" s="225">
        <f>IF($AG$18='2. Customer Classes'!$B$14,+'4. Customer Growth'!$C21,+IF($AG$18='2. Customer Classes'!$B$15,+'4. Customer Growth'!$E21,+IF($AG$18='2. Customer Classes'!$B$16,+'4. Customer Growth'!$G21,+IF($AG$18='2. Customer Classes'!$B$17,+'4. Customer Growth'!$I21,+IF($AG$18='2. Customer Classes'!$B$18,+'4. Customer Growth'!$K21,+IF($AG$18='2. Customer Classes'!$B$19,+'4. Customer Growth'!$M21,IF($AG$18='2. Customer Classes'!$B$20,+'4. Customer Growth'!$O21,IF($AG$18='2. Customer Classes'!$B$21,+'4. Customer Growth'!$Q21,0))))))))</f>
        <v>20</v>
      </c>
      <c r="AM25" s="376">
        <f t="shared" si="16"/>
        <v>21897.613499999999</v>
      </c>
      <c r="AN25" s="379">
        <f t="shared" si="17"/>
        <v>0</v>
      </c>
      <c r="AO25" s="342">
        <f t="shared" si="18"/>
        <v>0</v>
      </c>
      <c r="AQ25" s="357">
        <f t="shared" si="19"/>
        <v>2009</v>
      </c>
      <c r="AR25" s="70">
        <f>IF($AQ$18='2. Customer Classes'!$B$14,+SUM('3. Consumption by Rate Class'!$D$73:$D$84),+IF($AQ$18='2. Customer Classes'!$B$15,+SUM('3. Consumption by Rate Class'!$F$73:$F$84),+IF($AQ$18='2. Customer Classes'!$B$16,+SUM('3. Consumption by Rate Class'!$H$73:$H$84),+IF($AQ$18='2. Customer Classes'!$B$17,+SUM('3. Consumption by Rate Class'!$J$73:$J$84),+IF($AQ$18='2. Customer Classes'!$B$18,+SUM('3. Consumption by Rate Class'!$L$73:$L$84),+IF($AQ$18='2. Customer Classes'!$B$19,+SUM('3. Consumption by Rate Class'!$O$73:$O$84),IF($AQ$18='2. Customer Classes'!$B$20,+SUM('3. Consumption by Rate Class'!$R$73:$R$84),0)))))))</f>
        <v>0</v>
      </c>
      <c r="AS25" s="458"/>
      <c r="AT25" s="70">
        <f t="shared" si="20"/>
        <v>0</v>
      </c>
      <c r="AU25" s="225">
        <f>+IF($AQ$18='2. Customer Classes'!$B$18,+SUM('3. Consumption by Rate Class'!$M$73:$M$84),+IF($AQ$18='2. Customer Classes'!$B$19,+SUM('3. Consumption by Rate Class'!$P$73:$P$84),IF($AQ$18='2. Customer Classes'!$B$20,+SUM('3. Consumption by Rate Class'!$S$73:$S$84),0)))</f>
        <v>0</v>
      </c>
      <c r="AV25" s="225">
        <f>IF($AQ$18='2. Customer Classes'!$B$14,+'4. Customer Growth'!$C21,+IF($AQ$18='2. Customer Classes'!$B$15,+'4. Customer Growth'!$E21,+IF($AQ$18='2. Customer Classes'!$B$16,+'4. Customer Growth'!$G21,+IF($AQ$18='2. Customer Classes'!$B$17,+'4. Customer Growth'!$I21,+IF($AQ$18='2. Customer Classes'!$B$18,+'4. Customer Growth'!$K21,+IF($AQ$18='2. Customer Classes'!$B$19,+'4. Customer Growth'!$M21,IF($AQ$18='2. Customer Classes'!$B$20,+'4. Customer Growth'!$O21,0)))))))</f>
        <v>0</v>
      </c>
      <c r="AW25" s="376">
        <f t="shared" si="21"/>
        <v>0</v>
      </c>
      <c r="AX25" s="379">
        <f t="shared" si="22"/>
        <v>0</v>
      </c>
      <c r="AY25" s="342">
        <f t="shared" si="23"/>
        <v>0</v>
      </c>
    </row>
    <row r="26" spans="2:51" ht="12.75" customHeight="1" x14ac:dyDescent="0.2">
      <c r="B26" s="190">
        <f>'4. Customer Growth'!B22</f>
        <v>2010</v>
      </c>
      <c r="C26" s="70">
        <f>IF($B$18='2. Customer Classes'!$B$14,+SUM('3. Consumption by Rate Class'!$D$85:$D$96),+IF($B$18='2. Customer Classes'!$B$15,+SUM('3. Consumption by Rate Class'!$F$85:$F$96),+IF($B$18='2. Customer Classes'!$B$16,+SUM('3. Consumption by Rate Class'!$H$85:$H$96),+IF($B$18='2. Customer Classes'!$B$17,+SUM('3. Consumption by Rate Class'!$J$85:$J$96),+IF($B$18='2. Customer Classes'!$B$18,+SUM('3. Consumption by Rate Class'!$L$85:$L$96),+IF($B$18='2. Customer Classes'!$B$19,+SUM('3. Consumption by Rate Class'!$O$85:$O$96),IF($B$18='2. Customer Classes'!$B$20,+SUM('3. Consumption by Rate Class'!$R$85:$R$96),0)))))))</f>
        <v>76510234.719999999</v>
      </c>
      <c r="D26" s="458"/>
      <c r="E26" s="70">
        <f t="shared" si="2"/>
        <v>76510234.719999999</v>
      </c>
      <c r="F26" s="70">
        <f>+IF($B$18='2. Customer Classes'!$B$18,+SUM('3. Consumption by Rate Class'!$M$85:$M$96),+IF($B$18='2. Customer Classes'!$B$19,+SUM('3. Consumption by Rate Class'!$P$85:$P$96),IF($B$18='2. Customer Classes'!$B$20,+SUM('3. Consumption by Rate Class'!$S$85:$S$96),0)))</f>
        <v>202775</v>
      </c>
      <c r="G26" s="70">
        <f>IF($B$18='2. Customer Classes'!$B$14,+'4. Customer Growth'!$C22,+IF($B$18='2. Customer Classes'!$B$15,+'4. Customer Growth'!$E22,+IF($B$18='2. Customer Classes'!$B$16,+'4. Customer Growth'!$G22,+IF($B$18='2. Customer Classes'!$B$17,+'4. Customer Growth'!$I22,+IF($B$18='2. Customer Classes'!$B$18,+'4. Customer Growth'!$K22,+IF($B$18='2. Customer Classes'!$B$19,+'4. Customer Growth'!$M22,IF($B$18='2. Customer Classes'!$B$20,+'4. Customer Growth'!$O22,0)))))))</f>
        <v>148</v>
      </c>
      <c r="H26" s="376">
        <f t="shared" si="3"/>
        <v>516961.0454054054</v>
      </c>
      <c r="I26" s="379">
        <f t="shared" si="4"/>
        <v>1370.1013513513512</v>
      </c>
      <c r="J26" s="342">
        <f t="shared" si="5"/>
        <v>2.6502990187140811E-3</v>
      </c>
      <c r="K26" s="183"/>
      <c r="L26" s="183"/>
      <c r="M26" s="190">
        <f t="shared" si="0"/>
        <v>2010</v>
      </c>
      <c r="N26" s="70">
        <f>IF($M$18='2. Customer Classes'!$B$14,+SUM('3. Consumption by Rate Class'!$D$85:$D$96),+IF($M$18='2. Customer Classes'!$B$15,+SUM('3. Consumption by Rate Class'!$F$85:$F$96),+IF($M$18='2. Customer Classes'!$B$16,+SUM('3. Consumption by Rate Class'!$H$85:$H$96),+IF($M$18='2. Customer Classes'!$B$17,+SUM('3. Consumption by Rate Class'!$J$85:$J$96),+IF($M$18='2. Customer Classes'!$B$18,+SUM('3. Consumption by Rate Class'!$L$85:$L$96),+IF($M$18='2. Customer Classes'!$B$19,+SUM('3. Consumption by Rate Class'!$O$85:$O$96),IF($M$18='2. Customer Classes'!$B$20,+SUM('3. Consumption by Rate Class'!$R$85:$R$96),0)))))))</f>
        <v>2383707.0499999998</v>
      </c>
      <c r="O26" s="458"/>
      <c r="P26" s="70">
        <f t="shared" si="6"/>
        <v>2383707.0499999998</v>
      </c>
      <c r="Q26" s="225">
        <f>+IF($M$18='2. Customer Classes'!$B$18,+SUM('3. Consumption by Rate Class'!$M$85:$M$96),+IF($M$18='2. Customer Classes'!$B$19,+SUM('3. Consumption by Rate Class'!$P$85:$P$96),IF($M$18='2. Customer Classes'!$B$20,+SUM('3. Consumption by Rate Class'!$S$85:$S$96),0)))</f>
        <v>6766</v>
      </c>
      <c r="R26" s="225">
        <f>IF($M$18='2. Customer Classes'!$B$14,+'4. Customer Growth'!$C22,+IF($M$18='2. Customer Classes'!$B$15,+'4. Customer Growth'!$E22,+IF($M$18='2. Customer Classes'!$B$16,+'4. Customer Growth'!$G22,+IF($M$18='2. Customer Classes'!$B$17,+'4. Customer Growth'!$I22,+IF($M$18='2. Customer Classes'!$B$18,+'4. Customer Growth'!$K22,+IF($M$18='2. Customer Classes'!$B$19,+'4. Customer Growth'!$M22,IF($M$18='2. Customer Classes'!$B$20,+'4. Customer Growth'!$O22,0)))))))</f>
        <v>2713</v>
      </c>
      <c r="S26" s="376">
        <f t="shared" si="7"/>
        <v>878.6240508661997</v>
      </c>
      <c r="T26" s="379">
        <f t="shared" si="8"/>
        <v>2.4939181717655732</v>
      </c>
      <c r="U26" s="342">
        <f t="shared" si="9"/>
        <v>2.8384360402004937E-3</v>
      </c>
      <c r="V26" s="64"/>
      <c r="W26" s="190">
        <f t="shared" si="1"/>
        <v>2010</v>
      </c>
      <c r="X26" s="70">
        <f>IF($W$18='2. Customer Classes'!$B$14,+SUM('3. Consumption by Rate Class'!$D$85:$D$96),+IF($W$18='2. Customer Classes'!$B$15,+SUM('3. Consumption by Rate Class'!$F$85:$F$96),+IF($W$18='2. Customer Classes'!$B$16,+SUM('3. Consumption by Rate Class'!$H$85:$H$96),+IF($W$18='2. Customer Classes'!$B$17,+SUM('3. Consumption by Rate Class'!$J$85:$J$96),+IF($W$18='2. Customer Classes'!$B$18,+SUM('3. Consumption by Rate Class'!$L$85:$L$96),+IF($W$18='2. Customer Classes'!$B$19,+SUM('3. Consumption by Rate Class'!$O$85:$O$96),IF($W$18='2. Customer Classes'!$B$20,+SUM('3. Consumption by Rate Class'!$R$85:$R$96),0)))))))</f>
        <v>233685.69</v>
      </c>
      <c r="Y26" s="458"/>
      <c r="Z26" s="70">
        <f t="shared" si="10"/>
        <v>233685.69</v>
      </c>
      <c r="AA26" s="225">
        <f>+IF($W$18='2. Customer Classes'!$B$18,+SUM('3. Consumption by Rate Class'!$M$85:$M$96),+IF($W$18='2. Customer Classes'!$B$19,+SUM('3. Consumption by Rate Class'!$P$85:$P$96),IF($W$18='2. Customer Classes'!$B$20,+SUM('3. Consumption by Rate Class'!$S$85:$S$96),0)))</f>
        <v>766</v>
      </c>
      <c r="AB26" s="225">
        <f>IF($W$18='2. Customer Classes'!$B$14,+'4. Customer Growth'!$C22,+IF($W$18='2. Customer Classes'!$B$15,+'4. Customer Growth'!$E22,+IF($W$18='2. Customer Classes'!$B$16,+'4. Customer Growth'!$G22,+IF($W$18='2. Customer Classes'!$B$17,+'4. Customer Growth'!$I22,+IF($W$18='2. Customer Classes'!$B$18,+'4. Customer Growth'!$K22,+IF($W$18='2. Customer Classes'!$B$19,+'4. Customer Growth'!$M22,IF($W$18='2. Customer Classes'!$B$20,+'4. Customer Growth'!$O22,0)))))))</f>
        <v>216</v>
      </c>
      <c r="AC26" s="376">
        <f t="shared" si="11"/>
        <v>1081.8781944444445</v>
      </c>
      <c r="AD26" s="379">
        <f t="shared" si="12"/>
        <v>3.5462962962962963</v>
      </c>
      <c r="AE26" s="342">
        <f t="shared" si="13"/>
        <v>3.2779071752318252E-3</v>
      </c>
      <c r="AG26" s="357">
        <f t="shared" si="14"/>
        <v>2010</v>
      </c>
      <c r="AH26" s="70">
        <f>IF($AG$18='2. Customer Classes'!$B$14,+SUM('3. Consumption by Rate Class'!$D$85:$D$96),+IF($AG$18='2. Customer Classes'!$B$15,+SUM('3. Consumption by Rate Class'!$F$85:$F$96),+IF($AG$18='2. Customer Classes'!$B$16,+SUM('3. Consumption by Rate Class'!$H$85:$H$96),+IF($AG$18='2. Customer Classes'!$B$17,+SUM('3. Consumption by Rate Class'!$J$85:$J$96),+IF($AG$18='2. Customer Classes'!$B$18,+SUM('3. Consumption by Rate Class'!$L$85:$L$96),+IF($AG$18='2. Customer Classes'!$B$19,+SUM('3. Consumption by Rate Class'!$O$85:$O$96),IF($AG$18='2. Customer Classes'!$B$20,+SUM('3. Consumption by Rate Class'!$R$85:$R$96),IF($AG$18='2. Customer Classes'!$B$21,+SUM('3. Consumption by Rate Class'!$U$85:$U$96),0))))))))</f>
        <v>458526.4</v>
      </c>
      <c r="AI26" s="458"/>
      <c r="AJ26" s="70">
        <f t="shared" si="15"/>
        <v>458526.4</v>
      </c>
      <c r="AK26" s="225">
        <f>+IF($AG$18='2. Customer Classes'!$B$18,+SUM('3. Consumption by Rate Class'!$M$85:$M$96),+IF($AG$18='2. Customer Classes'!$B$19,+SUM('3. Consumption by Rate Class'!$P$85:$P$96),IF($AG$18='2. Customer Classes'!$B$20,+SUM('3. Consumption by Rate Class'!$S$85:$S$96),IF($AG$18='2. Customer Classes'!$B$21,+SUM('3. Consumption by Rate Class'!$V$85:$V$96),0))))</f>
        <v>0</v>
      </c>
      <c r="AL26" s="225">
        <f>IF($AG$18='2. Customer Classes'!$B$14,+'4. Customer Growth'!$C22,+IF($AG$18='2. Customer Classes'!$B$15,+'4. Customer Growth'!$E22,+IF($AG$18='2. Customer Classes'!$B$16,+'4. Customer Growth'!$G22,+IF($AG$18='2. Customer Classes'!$B$17,+'4. Customer Growth'!$I22,+IF($AG$18='2. Customer Classes'!$B$18,+'4. Customer Growth'!$K22,+IF($AG$18='2. Customer Classes'!$B$19,+'4. Customer Growth'!$M22,IF($AG$18='2. Customer Classes'!$B$20,+'4. Customer Growth'!$O22,IF($AG$18='2. Customer Classes'!$B$21,+'4. Customer Growth'!$Q22,0))))))))</f>
        <v>20</v>
      </c>
      <c r="AM26" s="376">
        <f t="shared" si="16"/>
        <v>22926.32</v>
      </c>
      <c r="AN26" s="379">
        <f t="shared" si="17"/>
        <v>0</v>
      </c>
      <c r="AO26" s="342">
        <f t="shared" si="18"/>
        <v>0</v>
      </c>
      <c r="AQ26" s="357">
        <f t="shared" si="19"/>
        <v>2010</v>
      </c>
      <c r="AR26" s="70">
        <f>IF($AQ$18='2. Customer Classes'!$B$14,+SUM('3. Consumption by Rate Class'!$D$85:$D$96),+IF($AQ$18='2. Customer Classes'!$B$15,+SUM('3. Consumption by Rate Class'!$F$85:$F$96),+IF($AQ$18='2. Customer Classes'!$B$16,+SUM('3. Consumption by Rate Class'!$H$85:$H$96),+IF($AQ$18='2. Customer Classes'!$B$17,+SUM('3. Consumption by Rate Class'!$J$85:$J$96),+IF($AQ$18='2. Customer Classes'!$B$18,+SUM('3. Consumption by Rate Class'!$L$85:$L$96),+IF($AQ$18='2. Customer Classes'!$B$19,+SUM('3. Consumption by Rate Class'!$O$85:$O$96),IF($AQ$18='2. Customer Classes'!$B$20,+SUM('3. Consumption by Rate Class'!$R$85:$R$96),0)))))))</f>
        <v>0</v>
      </c>
      <c r="AS26" s="458"/>
      <c r="AT26" s="70">
        <f t="shared" si="20"/>
        <v>0</v>
      </c>
      <c r="AU26" s="225">
        <f>+IF($AQ$18='2. Customer Classes'!$B$18,+SUM('3. Consumption by Rate Class'!$M$85:$M$96),+IF($AQ$18='2. Customer Classes'!$B$19,+SUM('3. Consumption by Rate Class'!$P$85:$P$96),IF($AQ$18='2. Customer Classes'!$B$20,+SUM('3. Consumption by Rate Class'!$S$85:$S$96),0)))</f>
        <v>0</v>
      </c>
      <c r="AV26" s="225">
        <f>IF($AQ$18='2. Customer Classes'!$B$14,+'4. Customer Growth'!$C22,+IF($AQ$18='2. Customer Classes'!$B$15,+'4. Customer Growth'!$E22,+IF($AQ$18='2. Customer Classes'!$B$16,+'4. Customer Growth'!$G22,+IF($AQ$18='2. Customer Classes'!$B$17,+'4. Customer Growth'!$I22,+IF($AQ$18='2. Customer Classes'!$B$18,+'4. Customer Growth'!$K22,+IF($AQ$18='2. Customer Classes'!$B$19,+'4. Customer Growth'!$M22,IF($AQ$18='2. Customer Classes'!$B$20,+'4. Customer Growth'!$O22,0)))))))</f>
        <v>0</v>
      </c>
      <c r="AW26" s="376">
        <f t="shared" si="21"/>
        <v>0</v>
      </c>
      <c r="AX26" s="379">
        <f t="shared" si="22"/>
        <v>0</v>
      </c>
      <c r="AY26" s="342">
        <f t="shared" si="23"/>
        <v>0</v>
      </c>
    </row>
    <row r="27" spans="2:51" ht="12.75" customHeight="1" x14ac:dyDescent="0.2">
      <c r="B27" s="190">
        <f>'4. Customer Growth'!B23</f>
        <v>2011</v>
      </c>
      <c r="C27" s="70">
        <f>IF($B$18='2. Customer Classes'!$B$14,+SUM('3. Consumption by Rate Class'!$D$97:$D$108),+IF($B$18='2. Customer Classes'!$B$15,+SUM('3. Consumption by Rate Class'!$F$97:$F$108),+IF($B$18='2. Customer Classes'!$B$16,+SUM('3. Consumption by Rate Class'!$H$97:$H$108),+IF($B$18='2. Customer Classes'!$B$17,+SUM('3. Consumption by Rate Class'!$J$97:$J$108),+IF($B$18='2. Customer Classes'!$B$18,+SUM('3. Consumption by Rate Class'!$L$97:$L$108),+IF($B$18='2. Customer Classes'!$B$19,+SUM('3. Consumption by Rate Class'!$O$97:$O$108),IF($B$18='2. Customer Classes'!$B$20,+SUM('3. Consumption by Rate Class'!$R$97:$R$108),0)))))))</f>
        <v>74853997.430000007</v>
      </c>
      <c r="D27" s="458"/>
      <c r="E27" s="70">
        <f t="shared" si="2"/>
        <v>74853997.430000007</v>
      </c>
      <c r="F27" s="70">
        <f>+IF($B$18='2. Customer Classes'!$B$18,+SUM('3. Consumption by Rate Class'!$M$97:$M$108),+IF($B$18='2. Customer Classes'!$B$19,+SUM('3. Consumption by Rate Class'!$P$97:$P$108),IF($B$18='2. Customer Classes'!$B$20,+SUM('3. Consumption by Rate Class'!$S$97:$S$108),0)))</f>
        <v>203575</v>
      </c>
      <c r="G27" s="70">
        <f>IF($B$18='2. Customer Classes'!$B$14,+'4. Customer Growth'!$C23,+IF($B$18='2. Customer Classes'!$B$15,+'4. Customer Growth'!$E23,+IF($B$18='2. Customer Classes'!$B$16,+'4. Customer Growth'!$G23,+IF($B$18='2. Customer Classes'!$B$17,+'4. Customer Growth'!$I23,+IF($B$18='2. Customer Classes'!$B$18,+'4. Customer Growth'!$K23,+IF($B$18='2. Customer Classes'!$B$19,+'4. Customer Growth'!$M23,IF($B$18='2. Customer Classes'!$B$20,+'4. Customer Growth'!$O23,0)))))))</f>
        <v>145</v>
      </c>
      <c r="H27" s="376">
        <f t="shared" si="3"/>
        <v>516234.46503448283</v>
      </c>
      <c r="I27" s="379">
        <f t="shared" si="4"/>
        <v>1403.9655172413793</v>
      </c>
      <c r="J27" s="342">
        <f t="shared" si="5"/>
        <v>2.7196276349886845E-3</v>
      </c>
      <c r="K27" s="183"/>
      <c r="L27" s="183"/>
      <c r="M27" s="190">
        <f t="shared" si="0"/>
        <v>2011</v>
      </c>
      <c r="N27" s="70">
        <f>IF($M$18='2. Customer Classes'!$B$14,+SUM('3. Consumption by Rate Class'!$D$97:$D$108),+IF($M$18='2. Customer Classes'!$B$15,+SUM('3. Consumption by Rate Class'!$F$97:$F$108),+IF($M$18='2. Customer Classes'!$B$16,+SUM('3. Consumption by Rate Class'!$H$97:$H$108),+IF($M$18='2. Customer Classes'!$B$17,+SUM('3. Consumption by Rate Class'!$J$97:$J$108),+IF($M$18='2. Customer Classes'!$B$18,+SUM('3. Consumption by Rate Class'!$L$97:$L$108),+IF($M$18='2. Customer Classes'!$B$19,+SUM('3. Consumption by Rate Class'!$O$97:$O$108),IF($M$18='2. Customer Classes'!$B$20,+SUM('3. Consumption by Rate Class'!$R$97:$R$108),0)))))))</f>
        <v>2458955</v>
      </c>
      <c r="O27" s="458"/>
      <c r="P27" s="70">
        <f t="shared" si="6"/>
        <v>2458955</v>
      </c>
      <c r="Q27" s="225">
        <f>+IF($M$18='2. Customer Classes'!$B$18,+SUM('3. Consumption by Rate Class'!$M$97:$M$108),+IF($M$18='2. Customer Classes'!$B$19,+SUM('3. Consumption by Rate Class'!$P$97:$P$108),IF($M$18='2. Customer Classes'!$B$20,+SUM('3. Consumption by Rate Class'!$S$97:$S$108),0)))</f>
        <v>6840</v>
      </c>
      <c r="R27" s="225">
        <f>IF($M$18='2. Customer Classes'!$B$14,+'4. Customer Growth'!$C23,+IF($M$18='2. Customer Classes'!$B$15,+'4. Customer Growth'!$E23,+IF($M$18='2. Customer Classes'!$B$16,+'4. Customer Growth'!$G23,+IF($M$18='2. Customer Classes'!$B$17,+'4. Customer Growth'!$I23,+IF($M$18='2. Customer Classes'!$B$18,+'4. Customer Growth'!$K23,+IF($M$18='2. Customer Classes'!$B$19,+'4. Customer Growth'!$M23,IF($M$18='2. Customer Classes'!$B$20,+'4. Customer Growth'!$O23,0)))))))</f>
        <v>2769</v>
      </c>
      <c r="S27" s="376">
        <f t="shared" si="7"/>
        <v>888.02997472011555</v>
      </c>
      <c r="T27" s="379">
        <f t="shared" si="8"/>
        <v>2.4702058504875408</v>
      </c>
      <c r="U27" s="342">
        <f t="shared" si="9"/>
        <v>2.7816694490139103E-3</v>
      </c>
      <c r="V27" s="64"/>
      <c r="W27" s="190">
        <f t="shared" si="1"/>
        <v>2011</v>
      </c>
      <c r="X27" s="70">
        <f>IF($W$18='2. Customer Classes'!$B$14,+SUM('3. Consumption by Rate Class'!$D$97:$D$108),+IF($W$18='2. Customer Classes'!$B$15,+SUM('3. Consumption by Rate Class'!$F$97:$F$108),+IF($W$18='2. Customer Classes'!$B$16,+SUM('3. Consumption by Rate Class'!$H$97:$H$108),+IF($W$18='2. Customer Classes'!$B$17,+SUM('3. Consumption by Rate Class'!$J$97:$J$108),+IF($W$18='2. Customer Classes'!$B$18,+SUM('3. Consumption by Rate Class'!$L$97:$L$108),+IF($W$18='2. Customer Classes'!$B$19,+SUM('3. Consumption by Rate Class'!$O$97:$O$108),IF($W$18='2. Customer Classes'!$B$20,+SUM('3. Consumption by Rate Class'!$R$97:$R$108),0)))))))</f>
        <v>270899.02</v>
      </c>
      <c r="Y27" s="458"/>
      <c r="Z27" s="70">
        <f t="shared" si="10"/>
        <v>270899.02</v>
      </c>
      <c r="AA27" s="225">
        <f>+IF($W$18='2. Customer Classes'!$B$18,+SUM('3. Consumption by Rate Class'!$M$97:$M$108),+IF($W$18='2. Customer Classes'!$B$19,+SUM('3. Consumption by Rate Class'!$P$97:$P$108),IF($W$18='2. Customer Classes'!$B$20,+SUM('3. Consumption by Rate Class'!$S$97:$S$108),0)))</f>
        <v>734</v>
      </c>
      <c r="AB27" s="225">
        <f>IF($W$18='2. Customer Classes'!$B$14,+'4. Customer Growth'!$C23,+IF($W$18='2. Customer Classes'!$B$15,+'4. Customer Growth'!$E23,+IF($W$18='2. Customer Classes'!$B$16,+'4. Customer Growth'!$G23,+IF($W$18='2. Customer Classes'!$B$17,+'4. Customer Growth'!$I23,+IF($W$18='2. Customer Classes'!$B$18,+'4. Customer Growth'!$K23,+IF($W$18='2. Customer Classes'!$B$19,+'4. Customer Growth'!$M23,IF($W$18='2. Customer Classes'!$B$20,+'4. Customer Growth'!$O23,0)))))))</f>
        <v>209</v>
      </c>
      <c r="AC27" s="376">
        <f t="shared" si="11"/>
        <v>1296.1675598086126</v>
      </c>
      <c r="AD27" s="379">
        <f t="shared" si="12"/>
        <v>3.5119617224880382</v>
      </c>
      <c r="AE27" s="342">
        <f t="shared" si="13"/>
        <v>2.7094966973302448E-3</v>
      </c>
      <c r="AG27" s="357">
        <f t="shared" si="14"/>
        <v>2011</v>
      </c>
      <c r="AH27" s="70">
        <f>IF($AG$18='2. Customer Classes'!$B$14,+SUM('3. Consumption by Rate Class'!$D$97:$D$108),+IF($AG$18='2. Customer Classes'!$B$15,+SUM('3. Consumption by Rate Class'!$F$97:$F$108),+IF($AG$18='2. Customer Classes'!$B$16,+SUM('3. Consumption by Rate Class'!$H$97:$H$108),+IF($AG$18='2. Customer Classes'!$B$17,+SUM('3. Consumption by Rate Class'!$J$97:$J$108),+IF($AG$18='2. Customer Classes'!$B$18,+SUM('3. Consumption by Rate Class'!$L$97:$L$108),+IF($AG$18='2. Customer Classes'!$B$19,+SUM('3. Consumption by Rate Class'!$O$97:$O$108),IF($AG$18='2. Customer Classes'!$B$20,+SUM('3. Consumption by Rate Class'!$R$97:$R$108),IF($AG$18='2. Customer Classes'!$B$21,+SUM('3. Consumption by Rate Class'!$U$97:$U$108),0))))))))</f>
        <v>469307.04</v>
      </c>
      <c r="AI27" s="458"/>
      <c r="AJ27" s="70">
        <f t="shared" si="15"/>
        <v>469307.04</v>
      </c>
      <c r="AK27" s="225">
        <f>+IF($AG$18='2. Customer Classes'!$B$18,+SUM('3. Consumption by Rate Class'!$M$97:$M$108),+IF($AG$18='2. Customer Classes'!$B$19,+SUM('3. Consumption by Rate Class'!$P$97:$P$108),IF($AG$18='2. Customer Classes'!$B$20,+SUM('3. Consumption by Rate Class'!$S$97:$S$108),IF($AG$18='2. Customer Classes'!$B$21,+SUM('3. Consumption by Rate Class'!$V$97:$V$108),0))))</f>
        <v>0</v>
      </c>
      <c r="AL27" s="225">
        <f>IF($AG$18='2. Customer Classes'!$B$14,+'4. Customer Growth'!$C23,+IF($AG$18='2. Customer Classes'!$B$15,+'4. Customer Growth'!$E23,+IF($AG$18='2. Customer Classes'!$B$16,+'4. Customer Growth'!$G23,+IF($AG$18='2. Customer Classes'!$B$17,+'4. Customer Growth'!$I23,+IF($AG$18='2. Customer Classes'!$B$18,+'4. Customer Growth'!$K23,+IF($AG$18='2. Customer Classes'!$B$19,+'4. Customer Growth'!$M23,IF($AG$18='2. Customer Classes'!$B$20,+'4. Customer Growth'!$O23,IF($AG$18='2. Customer Classes'!$B$21,+'4. Customer Growth'!$Q23,0))))))))</f>
        <v>20</v>
      </c>
      <c r="AM27" s="376">
        <f t="shared" si="16"/>
        <v>23465.351999999999</v>
      </c>
      <c r="AN27" s="379">
        <f t="shared" si="17"/>
        <v>0</v>
      </c>
      <c r="AO27" s="342">
        <f t="shared" si="18"/>
        <v>0</v>
      </c>
      <c r="AQ27" s="357">
        <f t="shared" si="19"/>
        <v>2011</v>
      </c>
      <c r="AR27" s="70">
        <f>IF($AQ$18='2. Customer Classes'!$B$14,+SUM('3. Consumption by Rate Class'!$D$97:$D$108),+IF($AQ$18='2. Customer Classes'!$B$15,+SUM('3. Consumption by Rate Class'!$F$97:$F$108),+IF($AQ$18='2. Customer Classes'!$B$16,+SUM('3. Consumption by Rate Class'!$H$97:$H$108),+IF($AQ$18='2. Customer Classes'!$B$17,+SUM('3. Consumption by Rate Class'!$J$97:$J$108),+IF($AQ$18='2. Customer Classes'!$B$18,+SUM('3. Consumption by Rate Class'!$L$97:$L$108),+IF($AQ$18='2. Customer Classes'!$B$19,+SUM('3. Consumption by Rate Class'!$O$97:$O$108),IF($AQ$18='2. Customer Classes'!$B$20,+SUM('3. Consumption by Rate Class'!$R$97:$R$108),0)))))))</f>
        <v>0</v>
      </c>
      <c r="AS27" s="458"/>
      <c r="AT27" s="70">
        <f t="shared" si="20"/>
        <v>0</v>
      </c>
      <c r="AU27" s="225">
        <f>+IF($AQ$18='2. Customer Classes'!$B$18,+SUM('3. Consumption by Rate Class'!$M$97:$M$108),+IF($AQ$18='2. Customer Classes'!$B$19,+SUM('3. Consumption by Rate Class'!$P$97:$P$108),IF($AQ$18='2. Customer Classes'!$B$20,+SUM('3. Consumption by Rate Class'!$S$97:$S$108),0)))</f>
        <v>0</v>
      </c>
      <c r="AV27" s="225">
        <f>IF($AQ$18='2. Customer Classes'!$B$14,+'4. Customer Growth'!$C23,+IF($AQ$18='2. Customer Classes'!$B$15,+'4. Customer Growth'!$E23,+IF($AQ$18='2. Customer Classes'!$B$16,+'4. Customer Growth'!$G23,+IF($AQ$18='2. Customer Classes'!$B$17,+'4. Customer Growth'!$I23,+IF($AQ$18='2. Customer Classes'!$B$18,+'4. Customer Growth'!$K23,+IF($AQ$18='2. Customer Classes'!$B$19,+'4. Customer Growth'!$M23,IF($AQ$18='2. Customer Classes'!$B$20,+'4. Customer Growth'!$O23,0)))))))</f>
        <v>0</v>
      </c>
      <c r="AW27" s="376">
        <f t="shared" si="21"/>
        <v>0</v>
      </c>
      <c r="AX27" s="379">
        <f t="shared" si="22"/>
        <v>0</v>
      </c>
      <c r="AY27" s="342">
        <f t="shared" si="23"/>
        <v>0</v>
      </c>
    </row>
    <row r="28" spans="2:51" ht="12.75" customHeight="1" x14ac:dyDescent="0.2">
      <c r="B28" s="190">
        <f>'4. Customer Growth'!B24</f>
        <v>2012</v>
      </c>
      <c r="C28" s="70">
        <f>IF($B$18='2. Customer Classes'!$B$14,+SUM('3. Consumption by Rate Class'!$D$109:$D$120),+IF($B$18='2. Customer Classes'!$B$15,+SUM('3. Consumption by Rate Class'!$F$109:$F$120),+IF($B$18='2. Customer Classes'!$B$16,+SUM('3. Consumption by Rate Class'!$H$109:$H$120),+IF($B$18='2. Customer Classes'!$B$17,+SUM('3. Consumption by Rate Class'!$J$109:$J$120),+IF($B$18='2. Customer Classes'!$B$18,+SUM('3. Consumption by Rate Class'!$L$109:$L$120),+IF($B$18='2. Customer Classes'!$B$19,+SUM('3. Consumption by Rate Class'!$O$109:$O$120),IF($B$18='2. Customer Classes'!$B$20,+SUM('3. Consumption by Rate Class'!$R$109:$R$120),0)))))))</f>
        <v>74516293.329999998</v>
      </c>
      <c r="D28" s="458"/>
      <c r="E28" s="70">
        <f t="shared" si="2"/>
        <v>74516293.329999998</v>
      </c>
      <c r="F28" s="70">
        <f>+IF($B$18='2. Customer Classes'!$B$18,+SUM('3. Consumption by Rate Class'!$M$109:$M$120),+IF($B$18='2. Customer Classes'!$B$19,+SUM('3. Consumption by Rate Class'!$P$109:$P$120),IF($B$18='2. Customer Classes'!$B$20,+SUM('3. Consumption by Rate Class'!$S$109:$S$120),0)))</f>
        <v>207916</v>
      </c>
      <c r="G28" s="70">
        <f>IF($B$18='2. Customer Classes'!$B$14,+'4. Customer Growth'!$C24,+IF($B$18='2. Customer Classes'!$B$15,+'4. Customer Growth'!$E24,+IF($B$18='2. Customer Classes'!$B$16,+'4. Customer Growth'!$G24,+IF($B$18='2. Customer Classes'!$B$17,+'4. Customer Growth'!$I24,+IF($B$18='2. Customer Classes'!$B$18,+'4. Customer Growth'!$K24,+IF($B$18='2. Customer Classes'!$B$19,+'4. Customer Growth'!$M24,IF($B$18='2. Customer Classes'!$B$20,+'4. Customer Growth'!$O24,0)))))))</f>
        <v>145</v>
      </c>
      <c r="H28" s="376">
        <f t="shared" si="3"/>
        <v>513905.47124137927</v>
      </c>
      <c r="I28" s="379">
        <f t="shared" si="4"/>
        <v>1433.903448275862</v>
      </c>
      <c r="J28" s="342">
        <f t="shared" si="5"/>
        <v>2.7902085665913517E-3</v>
      </c>
      <c r="K28" s="183"/>
      <c r="L28" s="183"/>
      <c r="M28" s="190">
        <f t="shared" si="0"/>
        <v>2012</v>
      </c>
      <c r="N28" s="70">
        <f>IF($M$18='2. Customer Classes'!$B$14,+SUM('3. Consumption by Rate Class'!$D$109:$D$120),+IF($M$18='2. Customer Classes'!$B$15,+SUM('3. Consumption by Rate Class'!$F$109:$F$120),+IF($M$18='2. Customer Classes'!$B$16,+SUM('3. Consumption by Rate Class'!$H$109:$H$120),+IF($M$18='2. Customer Classes'!$B$17,+SUM('3. Consumption by Rate Class'!$J$109:$J$120),+IF($M$18='2. Customer Classes'!$B$18,+SUM('3. Consumption by Rate Class'!$L$109:$L$120),+IF($M$18='2. Customer Classes'!$B$19,+SUM('3. Consumption by Rate Class'!$O$109:$O$120),IF($M$18='2. Customer Classes'!$B$20,+SUM('3. Consumption by Rate Class'!$R$109:$R$120),0)))))))</f>
        <v>2432689.94</v>
      </c>
      <c r="O28" s="458"/>
      <c r="P28" s="70">
        <f t="shared" si="6"/>
        <v>2432689.94</v>
      </c>
      <c r="Q28" s="225">
        <f>+IF($M$18='2. Customer Classes'!$B$18,+SUM('3. Consumption by Rate Class'!$M$109:$M$120),+IF($M$18='2. Customer Classes'!$B$19,+SUM('3. Consumption by Rate Class'!$P$109:$P$120),IF($M$18='2. Customer Classes'!$B$20,+SUM('3. Consumption by Rate Class'!$S$109:$S$120),0)))</f>
        <v>6768.3999999999987</v>
      </c>
      <c r="R28" s="225">
        <f>IF($M$18='2. Customer Classes'!$B$14,+'4. Customer Growth'!$C24,+IF($M$18='2. Customer Classes'!$B$15,+'4. Customer Growth'!$E24,+IF($M$18='2. Customer Classes'!$B$16,+'4. Customer Growth'!$G24,+IF($M$18='2. Customer Classes'!$B$17,+'4. Customer Growth'!$I24,+IF($M$18='2. Customer Classes'!$B$18,+'4. Customer Growth'!$K24,+IF($M$18='2. Customer Classes'!$B$19,+'4. Customer Growth'!$M24,IF($M$18='2. Customer Classes'!$B$20,+'4. Customer Growth'!$O24,0)))))))</f>
        <v>2774.5</v>
      </c>
      <c r="S28" s="376">
        <f t="shared" si="7"/>
        <v>876.80300594701748</v>
      </c>
      <c r="T28" s="379">
        <f t="shared" si="8"/>
        <v>2.4395026130834379</v>
      </c>
      <c r="U28" s="342">
        <f t="shared" si="9"/>
        <v>2.7822699016052982E-3</v>
      </c>
      <c r="V28" s="64"/>
      <c r="W28" s="190">
        <f t="shared" si="1"/>
        <v>2012</v>
      </c>
      <c r="X28" s="70">
        <f>IF($W$18='2. Customer Classes'!$B$14,+SUM('3. Consumption by Rate Class'!$D$109:$D$120),+IF($W$18='2. Customer Classes'!$B$15,+SUM('3. Consumption by Rate Class'!$F$109:$F$120),+IF($W$18='2. Customer Classes'!$B$16,+SUM('3. Consumption by Rate Class'!$H$109:$H$120),+IF($W$18='2. Customer Classes'!$B$17,+SUM('3. Consumption by Rate Class'!$J$109:$J$120),+IF($W$18='2. Customer Classes'!$B$18,+SUM('3. Consumption by Rate Class'!$L$109:$L$120),+IF($W$18='2. Customer Classes'!$B$19,+SUM('3. Consumption by Rate Class'!$O$109:$O$120),IF($W$18='2. Customer Classes'!$B$20,+SUM('3. Consumption by Rate Class'!$R$109:$R$120),0)))))))</f>
        <v>243747.31</v>
      </c>
      <c r="Y28" s="458"/>
      <c r="Z28" s="70">
        <f t="shared" si="10"/>
        <v>243747.31</v>
      </c>
      <c r="AA28" s="225">
        <f>+IF($W$18='2. Customer Classes'!$B$18,+SUM('3. Consumption by Rate Class'!$M$109:$M$120),+IF($W$18='2. Customer Classes'!$B$19,+SUM('3. Consumption by Rate Class'!$P$109:$P$120),IF($W$18='2. Customer Classes'!$B$20,+SUM('3. Consumption by Rate Class'!$S$109:$S$120),0)))</f>
        <v>713</v>
      </c>
      <c r="AB28" s="225">
        <f>IF($W$18='2. Customer Classes'!$B$14,+'4. Customer Growth'!$C24,+IF($W$18='2. Customer Classes'!$B$15,+'4. Customer Growth'!$E24,+IF($W$18='2. Customer Classes'!$B$16,+'4. Customer Growth'!$G24,+IF($W$18='2. Customer Classes'!$B$17,+'4. Customer Growth'!$I24,+IF($W$18='2. Customer Classes'!$B$18,+'4. Customer Growth'!$K24,+IF($W$18='2. Customer Classes'!$B$19,+'4. Customer Growth'!$M24,IF($W$18='2. Customer Classes'!$B$20,+'4. Customer Growth'!$O24,0)))))))</f>
        <v>208.5</v>
      </c>
      <c r="AC28" s="376">
        <f t="shared" si="11"/>
        <v>1169.0518465227817</v>
      </c>
      <c r="AD28" s="379">
        <f t="shared" si="12"/>
        <v>3.4196642685851319</v>
      </c>
      <c r="AE28" s="342">
        <f t="shared" si="13"/>
        <v>2.9251604868993221E-3</v>
      </c>
      <c r="AG28" s="357">
        <f t="shared" si="14"/>
        <v>2012</v>
      </c>
      <c r="AH28" s="70">
        <f>IF($AG$18='2. Customer Classes'!$B$14,+SUM('3. Consumption by Rate Class'!$D$109:$D$120),+IF($AG$18='2. Customer Classes'!$B$15,+SUM('3. Consumption by Rate Class'!$F$109:$F$120),+IF($AG$18='2. Customer Classes'!$B$16,+SUM('3. Consumption by Rate Class'!$H$109:$H$120),+IF($AG$18='2. Customer Classes'!$B$17,+SUM('3. Consumption by Rate Class'!$J$109:$J$120),+IF($AG$18='2. Customer Classes'!$B$18,+SUM('3. Consumption by Rate Class'!$L$109:$L$120),+IF($AG$18='2. Customer Classes'!$B$19,+SUM('3. Consumption by Rate Class'!$O$109:$O$120),IF($AG$18='2. Customer Classes'!$B$20,+SUM('3. Consumption by Rate Class'!$R$109:$R$120),IF($AG$18='2. Customer Classes'!$B$21,+SUM('3. Consumption by Rate Class'!$U$109:$U$120),0))))))))</f>
        <v>448159.09</v>
      </c>
      <c r="AI28" s="458"/>
      <c r="AJ28" s="70">
        <f t="shared" si="15"/>
        <v>448159.09</v>
      </c>
      <c r="AK28" s="540">
        <f>+IF($AG$18='2. Customer Classes'!$B$18,+SUM('3. Consumption by Rate Class'!$M$109:$M$120),+IF($AG$18='2. Customer Classes'!$B$19,+SUM('3. Consumption by Rate Class'!$P$109:$P$120),IF($AG$18='2. Customer Classes'!$B$20,+SUM('3. Consumption by Rate Class'!$S$109:$S$120),IF($AG$18='2. Customer Classes'!$B$21,+SUM('3. Consumption by Rate Class'!$V$109:$V$120),0))))</f>
        <v>0</v>
      </c>
      <c r="AL28" s="225">
        <f>IF($AG$18='2. Customer Classes'!$B$14,+'4. Customer Growth'!$C24,+IF($AG$18='2. Customer Classes'!$B$15,+'4. Customer Growth'!$E24,+IF($AG$18='2. Customer Classes'!$B$16,+'4. Customer Growth'!$G24,+IF($AG$18='2. Customer Classes'!$B$17,+'4. Customer Growth'!$I24,+IF($AG$18='2. Customer Classes'!$B$18,+'4. Customer Growth'!$K24,+IF($AG$18='2. Customer Classes'!$B$19,+'4. Customer Growth'!$M24,IF($AG$18='2. Customer Classes'!$B$20,+'4. Customer Growth'!$O24,IF($AG$18='2. Customer Classes'!$B$21,+'4. Customer Growth'!$Q24,0))))))))</f>
        <v>20</v>
      </c>
      <c r="AM28" s="376">
        <f t="shared" si="16"/>
        <v>22407.9545</v>
      </c>
      <c r="AN28" s="379">
        <f t="shared" si="17"/>
        <v>0</v>
      </c>
      <c r="AO28" s="342">
        <f t="shared" si="18"/>
        <v>0</v>
      </c>
      <c r="AQ28" s="357">
        <f t="shared" si="19"/>
        <v>2012</v>
      </c>
      <c r="AR28" s="70">
        <f>IF($AQ$18='2. Customer Classes'!$B$14,+SUM('3. Consumption by Rate Class'!$D$109:$D$120),+IF($AQ$18='2. Customer Classes'!$B$15,+SUM('3. Consumption by Rate Class'!$F$109:$F$120),+IF($AQ$18='2. Customer Classes'!$B$16,+SUM('3. Consumption by Rate Class'!$H$109:$H$120),+IF($AQ$18='2. Customer Classes'!$B$17,+SUM('3. Consumption by Rate Class'!$J$109:$J$120),+IF($AQ$18='2. Customer Classes'!$B$18,+SUM('3. Consumption by Rate Class'!$L$109:$L$120),+IF($AQ$18='2. Customer Classes'!$B$19,+SUM('3. Consumption by Rate Class'!$O$109:$O$120),IF($AQ$18='2. Customer Classes'!$B$20,+SUM('3. Consumption by Rate Class'!$R$109:$R$120),0)))))))</f>
        <v>0</v>
      </c>
      <c r="AS28" s="458"/>
      <c r="AT28" s="70">
        <f t="shared" si="20"/>
        <v>0</v>
      </c>
      <c r="AU28" s="225">
        <f>+IF($AQ$18='2. Customer Classes'!$B$18,+SUM('3. Consumption by Rate Class'!$M$109:$M$120),+IF($AQ$18='2. Customer Classes'!$B$19,+SUM('3. Consumption by Rate Class'!$P$109:$P$120),IF($AQ$18='2. Customer Classes'!$B$20,+SUM('3. Consumption by Rate Class'!$S$109:$S$120),0)))</f>
        <v>0</v>
      </c>
      <c r="AV28" s="225">
        <f>IF($AQ$18='2. Customer Classes'!$B$14,+'4. Customer Growth'!$C24,+IF($AQ$18='2. Customer Classes'!$B$15,+'4. Customer Growth'!$E24,+IF($AQ$18='2. Customer Classes'!$B$16,+'4. Customer Growth'!$G24,+IF($AQ$18='2. Customer Classes'!$B$17,+'4. Customer Growth'!$I24,+IF($AQ$18='2. Customer Classes'!$B$18,+'4. Customer Growth'!$K24,+IF($AQ$18='2. Customer Classes'!$B$19,+'4. Customer Growth'!$M24,IF($AQ$18='2. Customer Classes'!$B$20,+'4. Customer Growth'!$O24,0)))))))</f>
        <v>0</v>
      </c>
      <c r="AW28" s="376">
        <f t="shared" si="21"/>
        <v>0</v>
      </c>
      <c r="AX28" s="379">
        <f t="shared" si="22"/>
        <v>0</v>
      </c>
      <c r="AY28" s="342">
        <f t="shared" si="23"/>
        <v>0</v>
      </c>
    </row>
    <row r="29" spans="2:51" ht="12.75" customHeight="1" x14ac:dyDescent="0.2">
      <c r="B29" s="190">
        <f>'4. Customer Growth'!B25</f>
        <v>2013</v>
      </c>
      <c r="C29" s="70">
        <f>IF($B$18='2. Customer Classes'!$B$14,+SUM('3. Consumption by Rate Class'!$D$121:$D$132),+IF($B$18='2. Customer Classes'!$B$15,+SUM('3. Consumption by Rate Class'!$F$121:$F$132),+IF($B$18='2. Customer Classes'!$B$16,+SUM('3. Consumption by Rate Class'!$H$121:$H$132),+IF($B$18='2. Customer Classes'!$B$17,+SUM('3. Consumption by Rate Class'!$J$121:$J$132),+IF($B$18='2. Customer Classes'!$B$18,+SUM('3. Consumption by Rate Class'!$L$121:$L$132),+IF($B$18='2. Customer Classes'!$B$19,+SUM('3. Consumption by Rate Class'!$O$121:$O$132),IF($B$18='2. Customer Classes'!$B$20,+SUM('3. Consumption by Rate Class'!$R$121:$R$132),0)))))))</f>
        <v>73596923.409999996</v>
      </c>
      <c r="D29" s="458"/>
      <c r="E29" s="70">
        <f t="shared" si="2"/>
        <v>73596923.409999996</v>
      </c>
      <c r="F29" s="70">
        <f>+IF($B$18='2. Customer Classes'!$B$18,+SUM('3. Consumption by Rate Class'!$M$121:$M$132),+IF($B$18='2. Customer Classes'!$B$19,+SUM('3. Consumption by Rate Class'!$P$121:$P$132),IF($B$18='2. Customer Classes'!$B$20,+SUM('3. Consumption by Rate Class'!$S$121:$S$132),0)))</f>
        <v>216501</v>
      </c>
      <c r="G29" s="70">
        <f>IF($B$18='2. Customer Classes'!$B$14,+'4. Customer Growth'!$C25,+IF($B$18='2. Customer Classes'!$B$15,+'4. Customer Growth'!$E25,+IF($B$18='2. Customer Classes'!$B$16,+'4. Customer Growth'!$G25,+IF($B$18='2. Customer Classes'!$B$17,+'4. Customer Growth'!$I25,+IF($B$18='2. Customer Classes'!$B$18,+'4. Customer Growth'!$K25,+IF($B$18='2. Customer Classes'!$B$19,+'4. Customer Growth'!$M25,IF($B$18='2. Customer Classes'!$B$20,+'4. Customer Growth'!$O25,0)))))))</f>
        <v>145.5</v>
      </c>
      <c r="H29" s="376">
        <f t="shared" si="3"/>
        <v>505820.7794501718</v>
      </c>
      <c r="I29" s="379">
        <f t="shared" si="4"/>
        <v>1487.979381443299</v>
      </c>
      <c r="J29" s="342">
        <f t="shared" si="5"/>
        <v>2.9417126418980564E-3</v>
      </c>
      <c r="K29" s="183"/>
      <c r="L29" s="183"/>
      <c r="M29" s="190">
        <f t="shared" si="0"/>
        <v>2013</v>
      </c>
      <c r="N29" s="70">
        <f>IF($M$18='2. Customer Classes'!$B$14,+SUM('3. Consumption by Rate Class'!$D$121:$D$132),+IF($M$18='2. Customer Classes'!$B$15,+SUM('3. Consumption by Rate Class'!$F$121:$F$132),+IF($M$18='2. Customer Classes'!$B$16,+SUM('3. Consumption by Rate Class'!$H$121:$H$132),+IF($M$18='2. Customer Classes'!$B$17,+SUM('3. Consumption by Rate Class'!$J$121:$J$132),+IF($M$18='2. Customer Classes'!$B$18,+SUM('3. Consumption by Rate Class'!$L$121:$L$132),+IF($M$18='2. Customer Classes'!$B$19,+SUM('3. Consumption by Rate Class'!$O$121:$O$132),IF($M$18='2. Customer Classes'!$B$20,+SUM('3. Consumption by Rate Class'!$R$121:$R$132),0)))))))</f>
        <v>2424248.81</v>
      </c>
      <c r="O29" s="458"/>
      <c r="P29" s="70">
        <f t="shared" si="6"/>
        <v>2424248.81</v>
      </c>
      <c r="Q29" s="225">
        <f>+IF($M$18='2. Customer Classes'!$B$18,+SUM('3. Consumption by Rate Class'!$M$121:$M$132),+IF($M$18='2. Customer Classes'!$B$19,+SUM('3. Consumption by Rate Class'!$P$121:$P$132),IF($M$18='2. Customer Classes'!$B$20,+SUM('3. Consumption by Rate Class'!$S$121:$S$132),0)))</f>
        <v>6765.9000000000005</v>
      </c>
      <c r="R29" s="225">
        <f>IF($M$18='2. Customer Classes'!$B$14,+'4. Customer Growth'!$C25,+IF($M$18='2. Customer Classes'!$B$15,+'4. Customer Growth'!$E25,+IF($M$18='2. Customer Classes'!$B$16,+'4. Customer Growth'!$G25,+IF($M$18='2. Customer Classes'!$B$17,+'4. Customer Growth'!$I25,+IF($M$18='2. Customer Classes'!$B$18,+'4. Customer Growth'!$K25,+IF($M$18='2. Customer Classes'!$B$19,+'4. Customer Growth'!$M25,IF($M$18='2. Customer Classes'!$B$20,+'4. Customer Growth'!$O25,0)))))))</f>
        <v>2787</v>
      </c>
      <c r="S29" s="376">
        <f t="shared" si="7"/>
        <v>869.84169716541089</v>
      </c>
      <c r="T29" s="379">
        <f t="shared" si="8"/>
        <v>2.4276641550053824</v>
      </c>
      <c r="U29" s="342">
        <f t="shared" si="9"/>
        <v>2.7909263983510011E-3</v>
      </c>
      <c r="V29" s="64"/>
      <c r="W29" s="190">
        <f t="shared" si="1"/>
        <v>2013</v>
      </c>
      <c r="X29" s="70">
        <f>IF($W$18='2. Customer Classes'!$B$14,+SUM('3. Consumption by Rate Class'!$D$121:$D$132),+IF($W$18='2. Customer Classes'!$B$15,+SUM('3. Consumption by Rate Class'!$F$121:$F$132),+IF($W$18='2. Customer Classes'!$B$16,+SUM('3. Consumption by Rate Class'!$H$121:$H$132),+IF($W$18='2. Customer Classes'!$B$17,+SUM('3. Consumption by Rate Class'!$J$121:$J$132),+IF($W$18='2. Customer Classes'!$B$18,+SUM('3. Consumption by Rate Class'!$L$121:$L$132),+IF($W$18='2. Customer Classes'!$B$19,+SUM('3. Consumption by Rate Class'!$O$121:$O$132),IF($W$18='2. Customer Classes'!$B$20,+SUM('3. Consumption by Rate Class'!$R$121:$R$132),0)))))))</f>
        <v>270899.02</v>
      </c>
      <c r="Y29" s="458"/>
      <c r="Z29" s="70">
        <f t="shared" si="10"/>
        <v>270899.02</v>
      </c>
      <c r="AA29" s="225">
        <f>+IF($W$18='2. Customer Classes'!$B$18,+SUM('3. Consumption by Rate Class'!$M$121:$M$132),+IF($W$18='2. Customer Classes'!$B$19,+SUM('3. Consumption by Rate Class'!$P$121:$P$132),IF($W$18='2. Customer Classes'!$B$20,+SUM('3. Consumption by Rate Class'!$S$121:$S$132),0)))</f>
        <v>700</v>
      </c>
      <c r="AB29" s="225">
        <f>IF($W$18='2. Customer Classes'!$B$14,+'4. Customer Growth'!$C25,+IF($W$18='2. Customer Classes'!$B$15,+'4. Customer Growth'!$E25,+IF($W$18='2. Customer Classes'!$B$16,+'4. Customer Growth'!$G25,+IF($W$18='2. Customer Classes'!$B$17,+'4. Customer Growth'!$I25,+IF($W$18='2. Customer Classes'!$B$18,+'4. Customer Growth'!$K25,+IF($W$18='2. Customer Classes'!$B$19,+'4. Customer Growth'!$M25,IF($W$18='2. Customer Classes'!$B$20,+'4. Customer Growth'!$O25,0)))))))</f>
        <v>206.5</v>
      </c>
      <c r="AC29" s="376">
        <f t="shared" si="11"/>
        <v>1311.8596610169493</v>
      </c>
      <c r="AD29" s="379">
        <f t="shared" si="12"/>
        <v>3.3898305084745761</v>
      </c>
      <c r="AE29" s="342">
        <f t="shared" si="13"/>
        <v>2.5839886759280264E-3</v>
      </c>
      <c r="AG29" s="357">
        <f t="shared" si="14"/>
        <v>2013</v>
      </c>
      <c r="AH29" s="70">
        <f>IF($AG$18='2. Customer Classes'!$B$14,+SUM('3. Consumption by Rate Class'!$D$121:$D$132),+IF($AG$18='2. Customer Classes'!$B$15,+SUM('3. Consumption by Rate Class'!$F$121:$F$132),+IF($AG$18='2. Customer Classes'!$B$16,+SUM('3. Consumption by Rate Class'!$H$121:$H$132),+IF($AG$18='2. Customer Classes'!$B$17,+SUM('3. Consumption by Rate Class'!$J$121:$J$132),+IF($AG$18='2. Customer Classes'!$B$18,+SUM('3. Consumption by Rate Class'!$L$121:$L$132),+IF($AG$18='2. Customer Classes'!$B$19,+SUM('3. Consumption by Rate Class'!$O$121:$O$132),IF($AG$18='2. Customer Classes'!$B$20,+SUM('3. Consumption by Rate Class'!$R$121:$R$132),IF($AG$18='2. Customer Classes'!$B$21,+SUM('3. Consumption by Rate Class'!$U$121:$U$132),0))))))))</f>
        <v>453470.7</v>
      </c>
      <c r="AI29" s="458"/>
      <c r="AJ29" s="70">
        <f t="shared" si="15"/>
        <v>453470.7</v>
      </c>
      <c r="AK29" s="225">
        <f>+IF($AG$18='2. Customer Classes'!$B$18,+SUM('3. Consumption by Rate Class'!$M$121:$M$132),+IF($AG$18='2. Customer Classes'!$B$19,+SUM('3. Consumption by Rate Class'!$P$121:$P$132),IF($AG$18='2. Customer Classes'!$B$20,+SUM('3. Consumption by Rate Class'!$S$121:$S$132),IF($AG$18='2. Customer Classes'!$B$21,+SUM('3. Consumption by Rate Class'!$V$121:$V$132),0))))</f>
        <v>0</v>
      </c>
      <c r="AL29" s="225">
        <f>IF($AG$18='2. Customer Classes'!$B$14,+'4. Customer Growth'!$C25,+IF($AG$18='2. Customer Classes'!$B$15,+'4. Customer Growth'!$E25,+IF($AG$18='2. Customer Classes'!$B$16,+'4. Customer Growth'!$G25,+IF($AG$18='2. Customer Classes'!$B$17,+'4. Customer Growth'!$I25,+IF($AG$18='2. Customer Classes'!$B$18,+'4. Customer Growth'!$K25,+IF($AG$18='2. Customer Classes'!$B$19,+'4. Customer Growth'!$M25,IF($AG$18='2. Customer Classes'!$B$20,+'4. Customer Growth'!$O25,IF($AG$18='2. Customer Classes'!$B$21,+'4. Customer Growth'!$Q25,0))))))))</f>
        <v>20</v>
      </c>
      <c r="AM29" s="376">
        <f t="shared" si="16"/>
        <v>22673.535</v>
      </c>
      <c r="AN29" s="379">
        <f t="shared" si="17"/>
        <v>0</v>
      </c>
      <c r="AO29" s="342">
        <f t="shared" si="18"/>
        <v>0</v>
      </c>
      <c r="AQ29" s="357">
        <f t="shared" si="19"/>
        <v>2013</v>
      </c>
      <c r="AR29" s="70">
        <f>IF($AQ$18='2. Customer Classes'!$B$14,+SUM('3. Consumption by Rate Class'!$D$121:$D$132),+IF($AQ$18='2. Customer Classes'!$B$15,+SUM('3. Consumption by Rate Class'!$F$121:$F$132),+IF($AQ$18='2. Customer Classes'!$B$16,+SUM('3. Consumption by Rate Class'!$H$121:$H$132),+IF($AQ$18='2. Customer Classes'!$B$17,+SUM('3. Consumption by Rate Class'!$J$121:$J$132),+IF($AQ$18='2. Customer Classes'!$B$18,+SUM('3. Consumption by Rate Class'!$L$121:$L$132),+IF($AQ$18='2. Customer Classes'!$B$19,+SUM('3. Consumption by Rate Class'!$O$121:$O$132),IF($AQ$18='2. Customer Classes'!$B$20,+SUM('3. Consumption by Rate Class'!$R$121:$R$132),0)))))))</f>
        <v>0</v>
      </c>
      <c r="AS29" s="458"/>
      <c r="AT29" s="70">
        <f t="shared" si="20"/>
        <v>0</v>
      </c>
      <c r="AU29" s="225">
        <f>+IF($AQ$18='2. Customer Classes'!$B$18,+SUM('3. Consumption by Rate Class'!$M$121:$M$132),+IF($AQ$18='2. Customer Classes'!$B$19,+SUM('3. Consumption by Rate Class'!$P$121:$P$132),IF($AQ$18='2. Customer Classes'!$B$20,+SUM('3. Consumption by Rate Class'!$S$121:$S$132),0)))</f>
        <v>0</v>
      </c>
      <c r="AV29" s="225">
        <f>IF($AQ$18='2. Customer Classes'!$B$14,+'4. Customer Growth'!$C25,+IF($AQ$18='2. Customer Classes'!$B$15,+'4. Customer Growth'!$E25,+IF($AQ$18='2. Customer Classes'!$B$16,+'4. Customer Growth'!$G25,+IF($AQ$18='2. Customer Classes'!$B$17,+'4. Customer Growth'!$I25,+IF($AQ$18='2. Customer Classes'!$B$18,+'4. Customer Growth'!$K25,+IF($AQ$18='2. Customer Classes'!$B$19,+'4. Customer Growth'!$M25,IF($AQ$18='2. Customer Classes'!$B$20,+'4. Customer Growth'!$O25,0)))))))</f>
        <v>0</v>
      </c>
      <c r="AW29" s="376">
        <f t="shared" si="21"/>
        <v>0</v>
      </c>
      <c r="AX29" s="379">
        <f t="shared" si="22"/>
        <v>0</v>
      </c>
      <c r="AY29" s="342">
        <f t="shared" si="23"/>
        <v>0</v>
      </c>
    </row>
    <row r="30" spans="2:51" ht="12.75" customHeight="1" x14ac:dyDescent="0.2">
      <c r="B30" s="190">
        <f>'4. Customer Growth'!B26</f>
        <v>2014</v>
      </c>
      <c r="C30" s="70">
        <f>IF($B$18='2. Customer Classes'!$B$14,+SUM('3. Consumption by Rate Class'!$D$133:$D$144),+IF($B$18='2. Customer Classes'!$B$15,+SUM('3. Consumption by Rate Class'!$F$133:$F$144),+IF($B$18='2. Customer Classes'!$B$16,+SUM('3. Consumption by Rate Class'!$H$133:$H$144),+IF($B$18='2. Customer Classes'!$B$17,+SUM('3. Consumption by Rate Class'!$J$133:$J$144),+IF($B$18='2. Customer Classes'!$B$18,+SUM('3. Consumption by Rate Class'!$L$133:$L$144),+IF($B$18='2. Customer Classes'!$B$19,+SUM('3. Consumption by Rate Class'!$O$133:$O$144),IF($B$18='2. Customer Classes'!$B$20,+SUM('3. Consumption by Rate Class'!$R$133:$R$144),0)))))))</f>
        <v>72512848.979999989</v>
      </c>
      <c r="D30" s="458"/>
      <c r="E30" s="70">
        <f t="shared" si="2"/>
        <v>72512848.979999989</v>
      </c>
      <c r="F30" s="70">
        <f>+IF($B$18='2. Customer Classes'!$B$18,+SUM('3. Consumption by Rate Class'!$M$133:$M$144),+IF($B$18='2. Customer Classes'!$B$19,+SUM('3. Consumption by Rate Class'!$P$133:$P$144),IF($B$18='2. Customer Classes'!$B$20,+SUM('3. Consumption by Rate Class'!$S$133:$S$144),0)))</f>
        <v>206399</v>
      </c>
      <c r="G30" s="70">
        <f>IF($B$18='2. Customer Classes'!$B$14,+'4. Customer Growth'!$C26,+IF($B$18='2. Customer Classes'!$B$15,+'4. Customer Growth'!$E26,+IF($B$18='2. Customer Classes'!$B$16,+'4. Customer Growth'!$G26,+IF($B$18='2. Customer Classes'!$B$17,+'4. Customer Growth'!$I26,+IF($B$18='2. Customer Classes'!$B$18,+'4. Customer Growth'!$K26,+IF($B$18='2. Customer Classes'!$B$19,+'4. Customer Growth'!$M26,IF($B$18='2. Customer Classes'!$B$20,+'4. Customer Growth'!$O26,0)))))))</f>
        <v>146.5</v>
      </c>
      <c r="H30" s="376">
        <f t="shared" si="3"/>
        <v>494968.25242320809</v>
      </c>
      <c r="I30" s="379">
        <f t="shared" si="4"/>
        <v>1408.8668941979522</v>
      </c>
      <c r="J30" s="342">
        <f t="shared" si="5"/>
        <v>2.8463783026498875E-3</v>
      </c>
      <c r="K30" s="183"/>
      <c r="L30" s="183"/>
      <c r="M30" s="190">
        <f t="shared" si="0"/>
        <v>2014</v>
      </c>
      <c r="N30" s="70">
        <f>IF($M$18='2. Customer Classes'!$B$14,+SUM('3. Consumption by Rate Class'!$D$133:$D$144),+IF($M$18='2. Customer Classes'!$B$15,+SUM('3. Consumption by Rate Class'!$F$133:$F$144),+IF($M$18='2. Customer Classes'!$B$16,+SUM('3. Consumption by Rate Class'!$H$133:$H$144),+IF($M$18='2. Customer Classes'!$B$17,+SUM('3. Consumption by Rate Class'!$J$133:$J$144),+IF($M$18='2. Customer Classes'!$B$18,+SUM('3. Consumption by Rate Class'!$L$133:$L$144),+IF($M$18='2. Customer Classes'!$B$19,+SUM('3. Consumption by Rate Class'!$O$133:$O$144),IF($M$18='2. Customer Classes'!$B$20,+SUM('3. Consumption by Rate Class'!$R$133:$R$144),0)))))))</f>
        <v>2439791.5699999998</v>
      </c>
      <c r="O30" s="458"/>
      <c r="P30" s="70">
        <f t="shared" si="6"/>
        <v>2439791.5699999998</v>
      </c>
      <c r="Q30" s="225">
        <f>+IF($M$18='2. Customer Classes'!$B$18,+SUM('3. Consumption by Rate Class'!$M$133:$M$144),+IF($M$18='2. Customer Classes'!$B$19,+SUM('3. Consumption by Rate Class'!$P$133:$P$144),IF($M$18='2. Customer Classes'!$B$20,+SUM('3. Consumption by Rate Class'!$S$133:$S$144),0)))</f>
        <v>6769.9599999999991</v>
      </c>
      <c r="R30" s="225">
        <f>IF($M$18='2. Customer Classes'!$B$14,+'4. Customer Growth'!$C26,+IF($M$18='2. Customer Classes'!$B$15,+'4. Customer Growth'!$E26,+IF($M$18='2. Customer Classes'!$B$16,+'4. Customer Growth'!$G26,+IF($M$18='2. Customer Classes'!$B$17,+'4. Customer Growth'!$I26,+IF($M$18='2. Customer Classes'!$B$18,+'4. Customer Growth'!$K26,+IF($M$18='2. Customer Classes'!$B$19,+'4. Customer Growth'!$M26,IF($M$18='2. Customer Classes'!$B$20,+'4. Customer Growth'!$O26,0)))))))</f>
        <v>2802.5</v>
      </c>
      <c r="S30" s="376">
        <f t="shared" si="7"/>
        <v>870.57683140053518</v>
      </c>
      <c r="T30" s="379">
        <f t="shared" si="8"/>
        <v>2.4156859946476357</v>
      </c>
      <c r="U30" s="342">
        <f t="shared" si="9"/>
        <v>2.7748108007439338E-3</v>
      </c>
      <c r="V30" s="64"/>
      <c r="W30" s="190">
        <f t="shared" si="1"/>
        <v>2014</v>
      </c>
      <c r="X30" s="70">
        <f>IF($W$18='2. Customer Classes'!$B$14,+SUM('3. Consumption by Rate Class'!$D$133:$D$144),+IF($W$18='2. Customer Classes'!$B$15,+SUM('3. Consumption by Rate Class'!$F$133:$F$144),+IF($W$18='2. Customer Classes'!$B$16,+SUM('3. Consumption by Rate Class'!$H$133:$H$144),+IF($W$18='2. Customer Classes'!$B$17,+SUM('3. Consumption by Rate Class'!$J$133:$J$144),+IF($W$18='2. Customer Classes'!$B$18,+SUM('3. Consumption by Rate Class'!$L$133:$L$144),+IF($W$18='2. Customer Classes'!$B$19,+SUM('3. Consumption by Rate Class'!$O$133:$O$144),IF($W$18='2. Customer Classes'!$B$20,+SUM('3. Consumption by Rate Class'!$R$133:$R$144),0)))))))</f>
        <v>245570.47</v>
      </c>
      <c r="Y30" s="458"/>
      <c r="Z30" s="70">
        <f t="shared" si="10"/>
        <v>245570.47</v>
      </c>
      <c r="AA30" s="225">
        <f>+IF($W$18='2. Customer Classes'!$B$18,+SUM('3. Consumption by Rate Class'!$M$133:$M$144),+IF($W$18='2. Customer Classes'!$B$19,+SUM('3. Consumption by Rate Class'!$P$133:$P$144),IF($W$18='2. Customer Classes'!$B$20,+SUM('3. Consumption by Rate Class'!$S$133:$S$144),0)))</f>
        <v>683.5</v>
      </c>
      <c r="AB30" s="225">
        <f>IF($W$18='2. Customer Classes'!$B$14,+'4. Customer Growth'!$C26,+IF($W$18='2. Customer Classes'!$B$15,+'4. Customer Growth'!$E26,+IF($W$18='2. Customer Classes'!$B$16,+'4. Customer Growth'!$G26,+IF($W$18='2. Customer Classes'!$B$17,+'4. Customer Growth'!$I26,+IF($W$18='2. Customer Classes'!$B$18,+'4. Customer Growth'!$K26,+IF($W$18='2. Customer Classes'!$B$19,+'4. Customer Growth'!$M26,IF($W$18='2. Customer Classes'!$B$20,+'4. Customer Growth'!$O26,0)))))))</f>
        <v>204</v>
      </c>
      <c r="AC30" s="376">
        <f t="shared" si="11"/>
        <v>1203.7768137254902</v>
      </c>
      <c r="AD30" s="379">
        <f t="shared" si="12"/>
        <v>3.3504901960784315</v>
      </c>
      <c r="AE30" s="342">
        <f t="shared" si="13"/>
        <v>2.7833151111369375E-3</v>
      </c>
      <c r="AG30" s="357">
        <f t="shared" si="14"/>
        <v>2014</v>
      </c>
      <c r="AH30" s="70">
        <f>IF($AG$18='2. Customer Classes'!$B$14,+SUM('3. Consumption by Rate Class'!$D$133:$D$144),+IF($AG$18='2. Customer Classes'!$B$15,+SUM('3. Consumption by Rate Class'!$F$133:$F$144),+IF($AG$18='2. Customer Classes'!$B$16,+SUM('3. Consumption by Rate Class'!$H$133:$H$144),+IF($AG$18='2. Customer Classes'!$B$17,+SUM('3. Consumption by Rate Class'!$J$133:$J$144),+IF($AG$18='2. Customer Classes'!$B$18,+SUM('3. Consumption by Rate Class'!$L$133:$L$144),+IF($AG$18='2. Customer Classes'!$B$19,+SUM('3. Consumption by Rate Class'!$O$133:$O$144),IF($AG$18='2. Customer Classes'!$B$20,+SUM('3. Consumption by Rate Class'!$R$133:$R$144),IF($AG$18='2. Customer Classes'!$B$21,+SUM('3. Consumption by Rate Class'!$U$133:$U$144),0))))))))</f>
        <v>454406.25</v>
      </c>
      <c r="AI30" s="458"/>
      <c r="AJ30" s="70">
        <f t="shared" si="15"/>
        <v>454406.25</v>
      </c>
      <c r="AK30" s="225">
        <f>+IF($AG$18='2. Customer Classes'!$B$18,+SUM('3. Consumption by Rate Class'!$M$133:$M$144),+IF($AG$18='2. Customer Classes'!$B$19,+SUM('3. Consumption by Rate Class'!$P$133:$P$144),IF($AG$18='2. Customer Classes'!$B$20,+SUM('3. Consumption by Rate Class'!$S$133:$S$144),IF($AG$18='2. Customer Classes'!$B$21,+SUM('3. Consumption by Rate Class'!$V$133:$V$144),0))))</f>
        <v>0</v>
      </c>
      <c r="AL30" s="225">
        <f>IF($AG$18='2. Customer Classes'!$B$14,+'4. Customer Growth'!$C26,+IF($AG$18='2. Customer Classes'!$B$15,+'4. Customer Growth'!$E26,+IF($AG$18='2. Customer Classes'!$B$16,+'4. Customer Growth'!$G26,+IF($AG$18='2. Customer Classes'!$B$17,+'4. Customer Growth'!$I26,+IF($AG$18='2. Customer Classes'!$B$18,+'4. Customer Growth'!$K26,+IF($AG$18='2. Customer Classes'!$B$19,+'4. Customer Growth'!$M26,IF($AG$18='2. Customer Classes'!$B$20,+'4. Customer Growth'!$O26,IF($AG$18='2. Customer Classes'!$B$21,+'4. Customer Growth'!$Q26,0))))))))</f>
        <v>20</v>
      </c>
      <c r="AM30" s="376">
        <f t="shared" si="16"/>
        <v>22720.3125</v>
      </c>
      <c r="AN30" s="379">
        <f t="shared" si="17"/>
        <v>0</v>
      </c>
      <c r="AO30" s="342">
        <f t="shared" si="18"/>
        <v>0</v>
      </c>
      <c r="AQ30" s="357">
        <f t="shared" si="19"/>
        <v>2014</v>
      </c>
      <c r="AR30" s="70">
        <f>IF($AQ$18='2. Customer Classes'!$B$14,+SUM('3. Consumption by Rate Class'!$D$133:$D$144),+IF($AQ$18='2. Customer Classes'!$B$15,+SUM('3. Consumption by Rate Class'!$F$133:$F$144),+IF($AQ$18='2. Customer Classes'!$B$16,+SUM('3. Consumption by Rate Class'!$H$133:$H$144),+IF($AQ$18='2. Customer Classes'!$B$17,+SUM('3. Consumption by Rate Class'!$J$133:$J$144),+IF($AQ$18='2. Customer Classes'!$B$18,+SUM('3. Consumption by Rate Class'!$L$133:$L$144),+IF($AQ$18='2. Customer Classes'!$B$19,+SUM('3. Consumption by Rate Class'!$O$133:$O$144),IF($AQ$18='2. Customer Classes'!$B$20,+SUM('3. Consumption by Rate Class'!$R$133:$R$144),0)))))))</f>
        <v>0</v>
      </c>
      <c r="AS30" s="458"/>
      <c r="AT30" s="70">
        <f t="shared" si="20"/>
        <v>0</v>
      </c>
      <c r="AU30" s="225">
        <f>+IF($AQ$18='2. Customer Classes'!$B$18,+SUM('3. Consumption by Rate Class'!$M$133:$M$144),+IF($AQ$18='2. Customer Classes'!$B$19,+SUM('3. Consumption by Rate Class'!$P$133:$P$144),IF($AQ$18='2. Customer Classes'!$B$20,+SUM('3. Consumption by Rate Class'!$S$133:$S$144),0)))</f>
        <v>0</v>
      </c>
      <c r="AV30" s="225">
        <f>IF($AQ$18='2. Customer Classes'!$B$14,+'4. Customer Growth'!$C26,+IF($AQ$18='2. Customer Classes'!$B$15,+'4. Customer Growth'!$E26,+IF($AQ$18='2. Customer Classes'!$B$16,+'4. Customer Growth'!$G26,+IF($AQ$18='2. Customer Classes'!$B$17,+'4. Customer Growth'!$I26,+IF($AQ$18='2. Customer Classes'!$B$18,+'4. Customer Growth'!$K26,+IF($AQ$18='2. Customer Classes'!$B$19,+'4. Customer Growth'!$M26,IF($AQ$18='2. Customer Classes'!$B$20,+'4. Customer Growth'!$O26,0)))))))</f>
        <v>0</v>
      </c>
      <c r="AW30" s="376">
        <f t="shared" si="21"/>
        <v>0</v>
      </c>
      <c r="AX30" s="379">
        <f t="shared" si="22"/>
        <v>0</v>
      </c>
      <c r="AY30" s="342">
        <f t="shared" si="23"/>
        <v>0</v>
      </c>
    </row>
    <row r="31" spans="2:51" ht="12.75" customHeight="1" x14ac:dyDescent="0.2">
      <c r="B31" s="190" t="str">
        <f>'4. Customer Growth'!B30</f>
        <v>2015</v>
      </c>
      <c r="C31" s="306">
        <f>+C30/'6. WS Regression Analysis'!$S$139*'6. WS Regression Analysis'!$S$151</f>
        <v>72299288.797186792</v>
      </c>
      <c r="D31" s="458"/>
      <c r="E31" s="70">
        <f t="shared" si="2"/>
        <v>72299288.797186792</v>
      </c>
      <c r="F31" s="283">
        <f>+E31*J34</f>
        <v>198917.84757842109</v>
      </c>
      <c r="G31" s="225">
        <f>IF($B$18='2. Customer Classes'!$B$14,+'4. Customer Growth'!$C42,+IF($B$18='2. Customer Classes'!$B$15,+'4. Customer Growth'!$E42,+IF($B$18='2. Customer Classes'!$B$16,+'4. Customer Growth'!$G42,+IF($B$18='2. Customer Classes'!$B$17,+'4. Customer Growth'!$I42,+IF($B$18='2. Customer Classes'!$B$18,+'4. Customer Growth'!$K42,+IF($B$18='2. Customer Classes'!$B$19,+'4. Customer Growth'!$M42,IF($B$18='2. Customer Classes'!$B$20,+'4. Customer Growth'!$O42,0)))))))</f>
        <v>146</v>
      </c>
      <c r="H31" s="376">
        <f t="shared" si="3"/>
        <v>495200.60819990956</v>
      </c>
      <c r="I31" s="379">
        <f t="shared" si="4"/>
        <v>1362.4510108111033</v>
      </c>
      <c r="J31" s="377"/>
      <c r="K31" s="80"/>
      <c r="L31" s="80"/>
      <c r="M31" s="190" t="str">
        <f t="shared" si="0"/>
        <v>2015</v>
      </c>
      <c r="N31" s="306">
        <f>+N30/'6. WS Regression Analysis'!$S$139*'6. WS Regression Analysis'!$S$151</f>
        <v>2432606.0526600452</v>
      </c>
      <c r="O31" s="458"/>
      <c r="P31" s="499">
        <f t="shared" si="6"/>
        <v>2432606.0526600452</v>
      </c>
      <c r="Q31" s="283">
        <f>P31*$U$34</f>
        <v>6772.6200970626942</v>
      </c>
      <c r="R31" s="225">
        <f>IF($M$18='2. Customer Classes'!$B$14,+'4. Customer Growth'!$C42,+IF($M$18='2. Customer Classes'!$B$15,+'4. Customer Growth'!$E42,+IF($M$18='2. Customer Classes'!$B$16,+'4. Customer Growth'!$G42,+IF($M$18='2. Customer Classes'!$B$17,+'4. Customer Growth'!$I42,+IF($M$18='2. Customer Classes'!$B$18,+'4. Customer Growth'!$K42,+IF($M$18='2. Customer Classes'!$B$19,+'4. Customer Growth'!$M42,IF($M$18='2. Customer Classes'!$B$20,+'4. Customer Growth'!$O42,0)))))))</f>
        <v>2825.4692256082153</v>
      </c>
      <c r="S31" s="376">
        <f t="shared" si="7"/>
        <v>860.9564848954949</v>
      </c>
      <c r="T31" s="379">
        <f t="shared" si="8"/>
        <v>2.396989510867813</v>
      </c>
      <c r="U31" s="85"/>
      <c r="V31" s="64"/>
      <c r="W31" s="190" t="str">
        <f t="shared" si="1"/>
        <v>2015</v>
      </c>
      <c r="X31" s="306">
        <f>+X30/'6. WS Regression Analysis'!$S$139*'6. WS Regression Analysis'!$S$151</f>
        <v>244847.23163322191</v>
      </c>
      <c r="Y31" s="458"/>
      <c r="Z31" s="70">
        <f t="shared" si="10"/>
        <v>244847.23163322191</v>
      </c>
      <c r="AA31" s="283">
        <f>Z31*$AE$34</f>
        <v>697.71463936548889</v>
      </c>
      <c r="AB31" s="225">
        <f>IF($W$18='2. Customer Classes'!$B$14,+'4. Customer Growth'!$C42,+IF($W$18='2. Customer Classes'!$B$15,+'4. Customer Growth'!$E42,+IF($W$18='2. Customer Classes'!$B$16,+'4. Customer Growth'!$G42,+IF($W$18='2. Customer Classes'!$B$17,+'4. Customer Growth'!$I42,+IF($W$18='2. Customer Classes'!$B$18,+'4. Customer Growth'!$K42,+IF($W$18='2. Customer Classes'!$B$19,+'4. Customer Growth'!$M42,IF($W$18='2. Customer Classes'!$B$20,+'4. Customer Growth'!$O42,0)))))))</f>
        <v>199.44261639611278</v>
      </c>
      <c r="AC31" s="376">
        <f t="shared" si="11"/>
        <v>1227.6575390834778</v>
      </c>
      <c r="AD31" s="379">
        <f t="shared" si="12"/>
        <v>3.4983227354968034</v>
      </c>
      <c r="AE31" s="85"/>
      <c r="AG31" s="357" t="str">
        <f t="shared" si="14"/>
        <v>2015</v>
      </c>
      <c r="AH31" s="306">
        <f>+AH30/'6. WS Regression Analysis'!$S$139*'6. WS Regression Analysis'!$S$151</f>
        <v>453067.96191469493</v>
      </c>
      <c r="AI31" s="458"/>
      <c r="AJ31" s="499">
        <f t="shared" si="15"/>
        <v>453067.96191469493</v>
      </c>
      <c r="AK31" s="306">
        <f>AJ31*$AO$34</f>
        <v>0</v>
      </c>
      <c r="AL31" s="225">
        <f>IF($AG$18='2. Customer Classes'!$B$14,+'4. Customer Growth'!$C42,+IF($AG$18='2. Customer Classes'!$B$15,+'4. Customer Growth'!$E42,+IF($AG$18='2. Customer Classes'!$B$16,+'4. Customer Growth'!$G42,+IF($AG$18='2. Customer Classes'!$B$17,+'4. Customer Growth'!$I42,+IF($AG$18='2. Customer Classes'!$B$18,+'4. Customer Growth'!$K42,+IF($AG$18='2. Customer Classes'!$B$19,+'4. Customer Growth'!$M42,IF($AG$18='2. Customer Classes'!$B$20,+'4. Customer Growth'!$O42,IF($AG$18='2. Customer Classes'!$B$21,+'4. Customer Growth'!$Q42,0))))))))</f>
        <v>20</v>
      </c>
      <c r="AM31" s="376">
        <f t="shared" si="16"/>
        <v>22653.398095734745</v>
      </c>
      <c r="AN31" s="379">
        <f t="shared" si="17"/>
        <v>0</v>
      </c>
      <c r="AO31" s="85"/>
      <c r="AQ31" s="357" t="str">
        <f t="shared" si="19"/>
        <v>2015</v>
      </c>
      <c r="AR31" s="306">
        <f>+AR30/'6. WS Regression Analysis'!$S$139*'6. WS Regression Analysis'!$S$151</f>
        <v>0</v>
      </c>
      <c r="AS31" s="458"/>
      <c r="AT31" s="499">
        <f t="shared" si="20"/>
        <v>0</v>
      </c>
      <c r="AU31" s="306">
        <f>AT31*$AY$34</f>
        <v>0</v>
      </c>
      <c r="AV31" s="225">
        <f>IF($AQ$18='2. Customer Classes'!$B$14,+'4. Customer Growth'!$C42,+IF($AQ$18='2. Customer Classes'!$B$15,+'4. Customer Growth'!$E42,+IF($AQ$18='2. Customer Classes'!$B$16,+'4. Customer Growth'!$G42,+IF($AQ$18='2. Customer Classes'!$B$17,+'4. Customer Growth'!$I42,+IF($AQ$18='2. Customer Classes'!$B$18,+'4. Customer Growth'!$K42,+IF($AQ$18='2. Customer Classes'!$B$19,+'4. Customer Growth'!$M42,IF($AQ$18='2. Customer Classes'!$B$20,+'4. Customer Growth'!$O42,0)))))))</f>
        <v>0</v>
      </c>
      <c r="AW31" s="376">
        <f t="shared" si="21"/>
        <v>0</v>
      </c>
      <c r="AX31" s="379">
        <f t="shared" si="22"/>
        <v>0</v>
      </c>
      <c r="AY31" s="85"/>
    </row>
    <row r="32" spans="2:51" x14ac:dyDescent="0.2">
      <c r="B32" s="190" t="str">
        <f>'4. Customer Growth'!B31</f>
        <v>2016</v>
      </c>
      <c r="C32" s="306">
        <f>+C30/'6. WS Regression Analysis'!$S$139*'6. WS Regression Analysis'!$S$163</f>
        <v>72142502.684401065</v>
      </c>
      <c r="D32" s="458"/>
      <c r="E32" s="70">
        <f t="shared" si="2"/>
        <v>72142502.684401065</v>
      </c>
      <c r="F32" s="283">
        <f>+E32*J34</f>
        <v>198486.48018042342</v>
      </c>
      <c r="G32" s="225">
        <f>IF($B$18='2. Customer Classes'!$B$14,+'4. Customer Growth'!$C43,+IF($B$18='2. Customer Classes'!$B$15,+'4. Customer Growth'!$E43,+IF($B$18='2. Customer Classes'!$B$16,+'4. Customer Growth'!$G43,+IF($B$18='2. Customer Classes'!$B$17,+'4. Customer Growth'!$I43,+IF($B$18='2. Customer Classes'!$B$18,+'4. Customer Growth'!$K43,+IF($B$18='2. Customer Classes'!$B$19,+'4. Customer Growth'!$M43,IF($B$18='2. Customer Classes'!$B$20,+'4. Customer Growth'!$O43,0)))))))</f>
        <v>148</v>
      </c>
      <c r="H32" s="376">
        <f t="shared" si="3"/>
        <v>487449.34246216936</v>
      </c>
      <c r="I32" s="379">
        <f t="shared" si="4"/>
        <v>1341.1248660839419</v>
      </c>
      <c r="J32" s="377"/>
      <c r="K32" s="80"/>
      <c r="L32" s="80"/>
      <c r="M32" s="190" t="str">
        <f t="shared" si="0"/>
        <v>2016</v>
      </c>
      <c r="N32" s="306">
        <f>+N30/'6. WS Regression Analysis'!$S$139*'6. WS Regression Analysis'!$S$163</f>
        <v>2427330.774669338</v>
      </c>
      <c r="O32" s="458">
        <v>-1156000</v>
      </c>
      <c r="P32" s="499">
        <f t="shared" si="6"/>
        <v>1271330.774669338</v>
      </c>
      <c r="Q32" s="283">
        <f>P32*$U$34</f>
        <v>3539.512838556238</v>
      </c>
      <c r="R32" s="225">
        <f>IF($M$18='2. Customer Classes'!$B$14,+'4. Customer Growth'!$C43,+IF($M$18='2. Customer Classes'!$B$15,+'4. Customer Growth'!$E43,+IF($M$18='2. Customer Classes'!$B$16,+'4. Customer Growth'!$G43,+IF($M$18='2. Customer Classes'!$B$17,+'4. Customer Growth'!$I43,+IF($M$18='2. Customer Classes'!$B$18,+'4. Customer Growth'!$K43,+IF($M$18='2. Customer Classes'!$B$19,+'4. Customer Growth'!$M43,IF($M$18='2. Customer Classes'!$B$20,+'4. Customer Growth'!$O43,0)))))))</f>
        <v>2848.6267064617618</v>
      </c>
      <c r="S32" s="376">
        <f t="shared" si="7"/>
        <v>446.29602460212823</v>
      </c>
      <c r="T32" s="379">
        <f t="shared" si="8"/>
        <v>1.242533053041764</v>
      </c>
      <c r="U32" s="85"/>
      <c r="V32" s="64"/>
      <c r="W32" s="190" t="str">
        <f t="shared" si="1"/>
        <v>2016</v>
      </c>
      <c r="X32" s="306">
        <f>+X30/'6. WS Regression Analysis'!$S$139*'6. WS Regression Analysis'!$S$163</f>
        <v>244316.26312284268</v>
      </c>
      <c r="Y32" s="458"/>
      <c r="Z32" s="70">
        <f t="shared" si="10"/>
        <v>244316.26312284268</v>
      </c>
      <c r="AA32" s="283">
        <f>Z32*$AE$34</f>
        <v>696.20159590462345</v>
      </c>
      <c r="AB32" s="225">
        <f>IF($W$18='2. Customer Classes'!$B$14,+'4. Customer Growth'!$C43,+IF($W$18='2. Customer Classes'!$B$15,+'4. Customer Growth'!$E43,+IF($W$18='2. Customer Classes'!$B$16,+'4. Customer Growth'!$G43,+IF($W$18='2. Customer Classes'!$B$17,+'4. Customer Growth'!$I43,+IF($W$18='2. Customer Classes'!$B$18,+'4. Customer Growth'!$K43,+IF($W$18='2. Customer Classes'!$B$19,+'4. Customer Growth'!$M43,IF($W$18='2. Customer Classes'!$B$20,+'4. Customer Growth'!$O43,0)))))))</f>
        <v>194.98704526924996</v>
      </c>
      <c r="AC32" s="376">
        <f t="shared" si="11"/>
        <v>1252.9871550465107</v>
      </c>
      <c r="AD32" s="379">
        <f t="shared" si="12"/>
        <v>3.5705017989439551</v>
      </c>
      <c r="AE32" s="85"/>
      <c r="AG32" s="357" t="str">
        <f t="shared" si="14"/>
        <v>2016</v>
      </c>
      <c r="AH32" s="306">
        <f>+AH30/'6. WS Regression Analysis'!$S$139*'6. WS Regression Analysis'!$S$163</f>
        <v>452085.45204830298</v>
      </c>
      <c r="AI32" s="458"/>
      <c r="AJ32" s="499">
        <f t="shared" si="15"/>
        <v>452085.45204830298</v>
      </c>
      <c r="AK32" s="306">
        <f>AJ32*$AO$34</f>
        <v>0</v>
      </c>
      <c r="AL32" s="225">
        <f>IF($AG$18='2. Customer Classes'!$B$14,+'4. Customer Growth'!$C43,+IF($AG$18='2. Customer Classes'!$B$15,+'4. Customer Growth'!$E43,+IF($AG$18='2. Customer Classes'!$B$16,+'4. Customer Growth'!$G43,+IF($AG$18='2. Customer Classes'!$B$17,+'4. Customer Growth'!$I43,+IF($AG$18='2. Customer Classes'!$B$18,+'4. Customer Growth'!$K43,+IF($AG$18='2. Customer Classes'!$B$19,+'4. Customer Growth'!$M43,IF($AG$18='2. Customer Classes'!$B$20,+'4. Customer Growth'!$O43,IF($AG$18='2. Customer Classes'!$B$21,+'4. Customer Growth'!$Q43,0))))))))</f>
        <v>20</v>
      </c>
      <c r="AM32" s="376">
        <f t="shared" si="16"/>
        <v>22604.272602415149</v>
      </c>
      <c r="AN32" s="379">
        <f t="shared" si="17"/>
        <v>0</v>
      </c>
      <c r="AO32" s="85"/>
      <c r="AQ32" s="357" t="str">
        <f t="shared" si="19"/>
        <v>2016</v>
      </c>
      <c r="AR32" s="306">
        <f>+AR30/'6. WS Regression Analysis'!$S$139*'6. WS Regression Analysis'!$S$163</f>
        <v>0</v>
      </c>
      <c r="AS32" s="458"/>
      <c r="AT32" s="499">
        <f t="shared" si="20"/>
        <v>0</v>
      </c>
      <c r="AU32" s="306">
        <f>AT32*$AY$34</f>
        <v>0</v>
      </c>
      <c r="AV32" s="225">
        <f>IF($AQ$18='2. Customer Classes'!$B$14,+'4. Customer Growth'!$C43,+IF($AQ$18='2. Customer Classes'!$B$15,+'4. Customer Growth'!$E43,+IF($AQ$18='2. Customer Classes'!$B$16,+'4. Customer Growth'!$G43,+IF($AQ$18='2. Customer Classes'!$B$17,+'4. Customer Growth'!$I43,+IF($AQ$18='2. Customer Classes'!$B$18,+'4. Customer Growth'!$K43,+IF($AQ$18='2. Customer Classes'!$B$19,+'4. Customer Growth'!$M43,IF($AQ$18='2. Customer Classes'!$B$20,+'4. Customer Growth'!$O43,0)))))))</f>
        <v>0</v>
      </c>
      <c r="AW32" s="376">
        <f t="shared" si="21"/>
        <v>0</v>
      </c>
      <c r="AX32" s="379">
        <f t="shared" si="22"/>
        <v>0</v>
      </c>
      <c r="AY32" s="85"/>
    </row>
    <row r="33" spans="2:51" x14ac:dyDescent="0.2">
      <c r="B33" s="74"/>
      <c r="C33" s="492"/>
      <c r="D33" s="492"/>
      <c r="E33" s="225"/>
      <c r="F33" s="283"/>
      <c r="G33" s="281"/>
      <c r="H33" s="281"/>
      <c r="I33" s="283"/>
      <c r="J33" s="377"/>
      <c r="K33" s="80"/>
      <c r="L33" s="80"/>
      <c r="M33" s="74"/>
      <c r="N33" s="492"/>
      <c r="O33" s="492"/>
      <c r="P33" s="225"/>
      <c r="Q33" s="283"/>
      <c r="R33" s="283"/>
      <c r="S33" s="283"/>
      <c r="T33" s="283"/>
      <c r="U33" s="86"/>
      <c r="V33" s="64"/>
      <c r="W33" s="74"/>
      <c r="X33" s="492"/>
      <c r="Y33" s="492"/>
      <c r="Z33" s="283"/>
      <c r="AA33" s="283"/>
      <c r="AB33" s="283"/>
      <c r="AC33" s="283"/>
      <c r="AD33" s="283"/>
      <c r="AE33" s="242"/>
      <c r="AG33" s="74"/>
      <c r="AH33" s="492"/>
      <c r="AI33" s="492"/>
      <c r="AJ33" s="283"/>
      <c r="AK33" s="283"/>
      <c r="AL33" s="283"/>
      <c r="AM33" s="283"/>
      <c r="AN33" s="283"/>
      <c r="AO33" s="242"/>
      <c r="AQ33" s="74"/>
      <c r="AR33" s="492"/>
      <c r="AS33" s="492"/>
      <c r="AT33" s="306"/>
      <c r="AU33" s="306"/>
      <c r="AV33" s="306"/>
      <c r="AW33" s="306"/>
      <c r="AX33" s="306"/>
      <c r="AY33" s="242"/>
    </row>
    <row r="34" spans="2:51" ht="16.5" customHeight="1" x14ac:dyDescent="0.2">
      <c r="B34" s="235" t="s">
        <v>162</v>
      </c>
      <c r="C34" s="493"/>
      <c r="D34" s="493"/>
      <c r="E34" s="761">
        <v>10</v>
      </c>
      <c r="F34" s="189"/>
      <c r="G34" s="331"/>
      <c r="H34" s="337">
        <f>IF($E$34=1,+AVERAGE(H30:H30),+IF($E$34=2,+AVERAGE(H29:H30),+IF($E$34=3,+AVERAGE(H28:H30),+IF($E$34=4,+AVERAGE(H27:H30),+IF($E$34=5,+AVERAGE(H26:H30),+IF($E$34=6,+AVERAGE(H25:H30),+IF($E$34=7,+AVERAGE(H24:H30),+IF($E$34=8,+AVERAGE(H23:H30),+IF($E$34=9,+AVERAGE(H22:H30),+IF($E$34=10,+AVERAGE(H21:H30),0))))))))))</f>
        <v>533171.13832862326</v>
      </c>
      <c r="I34" s="383">
        <f>IF($E$34=1,+AVERAGE(I30:I30),+IF($E$34=2,+AVERAGE(I29:I30),+IF($E$34=3,+AVERAGE(I28:I30),+IF($E$34=4,+AVERAGE(I27:I30),+IF($E$34=5,+AVERAGE(I26:I30),+IF($E$34=6,+AVERAGE(I25:I30),+IF($E$34=7,+AVERAGE(I24:I30),+IF($E$34=8,+AVERAGE(I23:I30),+IF($E$34=9,+AVERAGE(I22:I30),+IF($E$34=10,+AVERAGE(I21:I30),0))))))))))</f>
        <v>1465.8344450571449</v>
      </c>
      <c r="J34" s="314">
        <f>IF($E$34=1,+AVERAGE(J30:J30),+IF($E$34=2,+AVERAGE(J29:J30),+IF($E$34=3,+AVERAGE(J28:J30),+IF($E$34=4,+AVERAGE(J27:J30),+IF($E$34=5,+AVERAGE(J26:J30),+IF($E$34=6,+AVERAGE(J25:J30),+IF($E$34=7,+AVERAGE(J24:J30),+IF($E$34=8,+AVERAGE(J23:J30),+IF($E$34=9,+AVERAGE(J22:J30),+IF($E$34=10,+AVERAGE(J21:J30),0))))))))))</f>
        <v>2.7513112630529928E-3</v>
      </c>
      <c r="K34" s="184"/>
      <c r="L34" s="184"/>
      <c r="M34" s="235" t="s">
        <v>162</v>
      </c>
      <c r="N34" s="498"/>
      <c r="O34" s="498"/>
      <c r="P34" s="776">
        <v>10</v>
      </c>
      <c r="Q34" s="189"/>
      <c r="R34" s="189"/>
      <c r="S34" s="337">
        <f>IF($P$34=1,+AVERAGE(S30:S30),+IF($P$34=2,+AVERAGE(S29:S30),+IF($P$34=3,+AVERAGE(S28:S30),+IF($P$34=4,+AVERAGE(S27:S30),+IF($P$34=5,+AVERAGE(S26:S30),+IF($P$34=6,+AVERAGE(S25:S30),+IF($P$34=7,+AVERAGE(S24:S30),+IF($P$34=8,+AVERAGE(S23:S30),+IF($P$34=9,+AVERAGE(S22:S30),+IF($P$34=10,+AVERAGE(S21:S30),0))))))))))</f>
        <v>897.49439266030117</v>
      </c>
      <c r="T34" s="382">
        <f>IF($P$34=1,+AVERAGE(T30:T30),+IF($P$34=2,+AVERAGE(T29:T30),+IF($P$34=3,+AVERAGE(T28:T30),+IF($P$34=4,+AVERAGE(T27:T30),+IF($P$34=5,+AVERAGE(T26:T30),+IF($P$34=6,+AVERAGE(T25:T30),+IF($P$34=7,+AVERAGE(T24:T30),+IF($P$34=8,+AVERAGE(T23:T30),+IF($P$34=9,+AVERAGE(T22:T30),+IF($P$34=10,+AVERAGE(T21:T30),0))))))))))</f>
        <v>2.498138854544107</v>
      </c>
      <c r="U34" s="191">
        <f>IF($P$34=1,+AVERAGE(U30:U30),+IF($P$34=2,+AVERAGE(U29:U30),+IF($P$34=3,+AVERAGE(U28:U30),+IF($P$34=4,+AVERAGE(U27:U30),+IF($P$34=5,+AVERAGE(U26:U30),+IF($P$34=6,+AVERAGE(U25:U30),+IF($P$34=7,+AVERAGE(U24:U30),+IF($P$34=8,+AVERAGE(U23:U30),+IF($P$34=9,+AVERAGE(U22:U30),+IF($P$34=10,+AVERAGE(U21:U30),0))))))))))</f>
        <v>2.7841006519147894E-3</v>
      </c>
      <c r="V34" s="64"/>
      <c r="W34" s="235" t="s">
        <v>162</v>
      </c>
      <c r="X34" s="498"/>
      <c r="Y34" s="498"/>
      <c r="Z34" s="776">
        <v>10</v>
      </c>
      <c r="AA34" s="189"/>
      <c r="AB34" s="189"/>
      <c r="AC34" s="337">
        <f>IF($Z$34=1,+AVERAGE(AC30:AC30),+IF($Z$34=2,+AVERAGE(AC29:AC30),+IF($Z$34=3,+AVERAGE(AC28:AC30),+IF($Z$34=4,+AVERAGE(AC27:AC30),+IF($Z$34=5,+AVERAGE(AC26:AC30),+IF($Z$34=6,+AVERAGE(AC25:AC30),+IF($Z$34=7,+AVERAGE(AC24:AC30),+IF($Z$34=8,+AVERAGE(AC23:AC30),+IF($Z$34=9,+AVERAGE(AC22:AC30),+IF($Z$34=10,+AVERAGE(AC21:AC30),0))))))))))</f>
        <v>1190.4669030287207</v>
      </c>
      <c r="AD34" s="382">
        <f>IF($Z$34=1,+AVERAGE(AD30:AD30),+IF($Z$34=2,+AVERAGE(AD29:AD30),+IF($Z$34=3,+AVERAGE(AD28:AD30),+IF($Z$34=4,+AVERAGE(AD27:AD30),+IF($Z$34=5,+AVERAGE(AD26:AD30),+IF($Z$34=6,+AVERAGE(AD25:AD30),+IF($Z$34=7,+AVERAGE(AD24:AD30),+IF($Z$34=8,+AVERAGE(AD23:AD30),+IF($Z$34=9,+AVERAGE(AD22:AD30),+IF($Z$34=10,+AVERAGE(AD21:AD30),0))))))))))</f>
        <v>3.3831717918176158</v>
      </c>
      <c r="AE34" s="191">
        <f>IF($Z$34=1,+AVERAGE(AE30:AE30),+IF($Z$34=2,+AVERAGE(AE29:AE30),+IF($Z$34=3,+AVERAGE(AE28:AE30),+IF($Z$34=4,+AVERAGE(AE27:AE30),+IF($Z$34=5,+AVERAGE(AE26:AE30),+IF($Z$34=6,+AVERAGE(AE25:AE30),+IF($Z$34=7,+AVERAGE(AE24:AE30),+IF($Z$34=8,+AVERAGE(AE23:AE30),+IF($Z$34=9,+AVERAGE(AE22:AE30),+IF($Z$34=10,+AVERAGE(AE21:AE30),0))))))))))</f>
        <v>2.8495917013701701E-3</v>
      </c>
      <c r="AG34" s="235" t="s">
        <v>162</v>
      </c>
      <c r="AH34" s="498"/>
      <c r="AI34" s="498"/>
      <c r="AJ34" s="776">
        <v>10</v>
      </c>
      <c r="AK34" s="189"/>
      <c r="AL34" s="189"/>
      <c r="AM34" s="337">
        <f>IF($AJ$34=1,+AVERAGE(AM30:AM30),+IF($AJ$34=2,+AVERAGE(AM29:AM30),+IF($AJ$34=3,+AVERAGE(AM28:AM30),+IF($AJ$34=4,+AVERAGE(AM27:AM30),+IF($AJ$34=5,+AVERAGE(AM26:AM30),+IF($AJ$34=6,+AVERAGE(AM25:AM30),+IF($AJ$34=7,+AVERAGE(AM24:AM30),+IF($AJ$34=8,+AVERAGE(AM23:AM30),+IF($AJ$34=9,+AVERAGE(AM22:AM30),+IF($AJ$34=10,+AVERAGE(AM21:AM30),0))))))))))</f>
        <v>22595.383161764705</v>
      </c>
      <c r="AN34" s="382">
        <f>IF($AJ$34=1,+AVERAGE(AN30:AN30),+IF($AJ$34=2,+AVERAGE(AN29:AN30),+IF($AJ$34=3,+AVERAGE(AN28:AN30),+IF($AJ$34=4,+AVERAGE(AN27:AN30),+IF($AJ$34=5,+AVERAGE(AN26:AN30),+IF($AJ$34=6,+AVERAGE(AN25:AN30),+IF($AJ$34=7,+AVERAGE(AN24:AN30),+IF($AJ$34=8,+AVERAGE(AN23:AN30),+IF($AJ$34=9,+AVERAGE(AN22:AN30),+IF($AJ$34=10,+AVERAGE(AN21:AN30),0))))))))))</f>
        <v>0</v>
      </c>
      <c r="AO34" s="191">
        <f>IF($AJ$34=1,+AVERAGE(AO30:AO30),+IF($AJ$34=2,+AVERAGE(AO29:AO30),+IF($AJ$34=3,+AVERAGE(AO28:AO30),+IF($AJ$34=4,+AVERAGE(AO27:AO30),+IF($AJ$34=5,+AVERAGE(AO26:AO30),+IF($AJ$34=6,+AVERAGE(AO25:AO30),+IF($AJ$34=7,+AVERAGE(AO24:AO30),+IF($AJ$34=8,+AVERAGE(AO23:AO30),+IF($AJ$34=9,+AVERAGE(AO22:AO30),+IF($AJ$34=10,+AVERAGE(AO21:AO30),0))))))))))</f>
        <v>0</v>
      </c>
      <c r="AQ34" s="235" t="s">
        <v>162</v>
      </c>
      <c r="AR34" s="498"/>
      <c r="AS34" s="498"/>
      <c r="AT34" s="776">
        <v>4</v>
      </c>
      <c r="AU34" s="189"/>
      <c r="AV34" s="189"/>
      <c r="AW34" s="337">
        <f>IF($AT$34=1,+AVERAGE(AW30:AW30),+IF($AT$34=2,+AVERAGE(AW29:AW30),+IF($AT$34=3,+AVERAGE(AW28:AW30),+IF($AT$34=4,+AVERAGE(AW27:AW30),+IF($AT$34=5,+AVERAGE(AW26:AW30),+IF($AT$34=6,+AVERAGE(AW25:AW30),+IF($AT$34=7,+AVERAGE(AW24:AW30),+IF($AT$34=8,+AVERAGE(AW23:AW30),+IF($AT$34=9,+AVERAGE(AW22:AW30),+IF($AT$34=10,+AVERAGE(AW21:AW30),0))))))))))</f>
        <v>0</v>
      </c>
      <c r="AX34" s="382">
        <f>IF($AT$34=1,+AVERAGE(AX30:AX30),+IF($AT$34=2,+AVERAGE(AX29:AX30),+IF($AT$34=3,+AVERAGE(AX28:AX30),+IF($AT$34=4,+AVERAGE(AX27:AX30),+IF($AT$34=5,+AVERAGE(AX26:AX30),+IF($AT$34=6,+AVERAGE(AX25:AX30),+IF($AT$34=7,+AVERAGE(AX24:AX30),+IF($AT$34=8,+AVERAGE(AX23:AX30),+IF($AT$34=9,+AVERAGE(AX22:AX30),+IF($AT$34=10,+AVERAGE(AX21:AX30),0))))))))))</f>
        <v>0</v>
      </c>
      <c r="AY34" s="191">
        <f>IF($AT$34=1,+AVERAGE(AY30:AY30),+IF($AT$34=2,+AVERAGE(AY29:AY30),+IF($AT$34=3,+AVERAGE(AY28:AY30),+IF($AT$34=4,+AVERAGE(AY27:AY30),+IF($AT$34=5,+AVERAGE(AY26:AY30),+IF($AT$34=6,+AVERAGE(AY25:AY30),+IF($AT$34=7,+AVERAGE(AY24:AY30),+IF($AT$34=8,+AVERAGE(AY23:AY30),+IF($AT$34=9,+AVERAGE(AY22:AY30),+IF($AT$34=10,+AVERAGE(AY21:AY30),0))))))))))</f>
        <v>0</v>
      </c>
    </row>
    <row r="35" spans="2:51" ht="13.5" thickBot="1" x14ac:dyDescent="0.25">
      <c r="B35" s="192"/>
      <c r="C35" s="494"/>
      <c r="D35" s="494"/>
      <c r="E35" s="193"/>
      <c r="F35" s="193"/>
      <c r="G35" s="332"/>
      <c r="H35" s="332"/>
      <c r="I35" s="193"/>
      <c r="J35" s="381"/>
      <c r="M35" s="192"/>
      <c r="N35" s="494"/>
      <c r="O35" s="494"/>
      <c r="P35" s="193"/>
      <c r="Q35" s="91"/>
      <c r="R35" s="91"/>
      <c r="S35" s="91"/>
      <c r="T35" s="91"/>
      <c r="U35" s="194"/>
      <c r="W35" s="90"/>
      <c r="X35" s="480"/>
      <c r="Y35" s="480"/>
      <c r="Z35" s="91"/>
      <c r="AA35" s="91"/>
      <c r="AB35" s="91"/>
      <c r="AC35" s="91"/>
      <c r="AD35" s="91"/>
      <c r="AE35" s="194"/>
      <c r="AG35" s="90"/>
      <c r="AH35" s="480"/>
      <c r="AI35" s="480"/>
      <c r="AJ35" s="91"/>
      <c r="AK35" s="91"/>
      <c r="AL35" s="91"/>
      <c r="AM35" s="91"/>
      <c r="AN35" s="91"/>
      <c r="AO35" s="194"/>
      <c r="AQ35" s="90"/>
      <c r="AR35" s="480"/>
      <c r="AS35" s="480"/>
      <c r="AT35" s="91"/>
      <c r="AU35" s="91"/>
      <c r="AV35" s="91"/>
      <c r="AW35" s="91"/>
      <c r="AX35" s="91"/>
      <c r="AY35" s="194"/>
    </row>
    <row r="36" spans="2:51" x14ac:dyDescent="0.2">
      <c r="B36" s="874" t="s">
        <v>156</v>
      </c>
      <c r="C36" s="874"/>
      <c r="D36" s="874"/>
      <c r="E36" s="874"/>
      <c r="F36" s="874"/>
      <c r="G36" s="874"/>
      <c r="H36" s="874"/>
      <c r="I36" s="874"/>
      <c r="J36" s="874"/>
      <c r="M36" s="874" t="s">
        <v>156</v>
      </c>
      <c r="N36" s="874"/>
      <c r="O36" s="874"/>
      <c r="P36" s="874"/>
      <c r="Q36" s="874"/>
      <c r="R36" s="874"/>
      <c r="S36" s="874"/>
      <c r="T36" s="874"/>
      <c r="U36" s="874"/>
      <c r="W36" s="862" t="s">
        <v>156</v>
      </c>
      <c r="X36" s="862"/>
      <c r="Y36" s="862"/>
      <c r="Z36" s="862"/>
      <c r="AA36" s="862"/>
      <c r="AB36" s="862"/>
      <c r="AC36" s="862"/>
      <c r="AD36" s="862"/>
      <c r="AE36" s="862"/>
      <c r="AG36" s="874" t="s">
        <v>156</v>
      </c>
      <c r="AH36" s="874"/>
      <c r="AI36" s="874"/>
      <c r="AJ36" s="874"/>
      <c r="AK36" s="874"/>
      <c r="AL36" s="874"/>
      <c r="AM36" s="874"/>
      <c r="AN36" s="874"/>
      <c r="AO36" s="874"/>
      <c r="AQ36" s="874" t="s">
        <v>156</v>
      </c>
      <c r="AR36" s="874"/>
      <c r="AS36" s="874"/>
      <c r="AT36" s="874"/>
      <c r="AU36" s="874"/>
      <c r="AV36" s="874"/>
      <c r="AW36" s="874"/>
      <c r="AX36" s="874"/>
      <c r="AY36" s="874"/>
    </row>
    <row r="37" spans="2:51" x14ac:dyDescent="0.2">
      <c r="B37" s="148"/>
      <c r="C37" s="148"/>
      <c r="D37" s="148"/>
      <c r="E37" s="148"/>
      <c r="F37" s="148"/>
      <c r="G37" s="149"/>
      <c r="H37" s="150"/>
      <c r="I37" s="151"/>
      <c r="J37" s="153"/>
      <c r="M37" s="148"/>
      <c r="N37" s="148"/>
      <c r="O37" s="148"/>
      <c r="P37" s="148"/>
      <c r="Q37" s="148"/>
      <c r="R37" s="149"/>
      <c r="S37" s="150"/>
      <c r="T37" s="151"/>
      <c r="U37" s="153"/>
      <c r="W37" s="148"/>
      <c r="X37" s="148"/>
      <c r="Y37" s="148"/>
      <c r="Z37" s="148"/>
      <c r="AA37" s="148"/>
      <c r="AB37" s="149"/>
      <c r="AC37" s="150"/>
      <c r="AD37" s="151"/>
      <c r="AE37" s="153"/>
      <c r="AG37" s="148"/>
      <c r="AH37" s="148"/>
      <c r="AI37" s="148"/>
      <c r="AJ37" s="148"/>
      <c r="AK37" s="148"/>
      <c r="AL37" s="149"/>
      <c r="AM37" s="150"/>
      <c r="AN37" s="151"/>
      <c r="AO37" s="153"/>
      <c r="AQ37" s="148"/>
      <c r="AR37" s="148"/>
      <c r="AS37" s="148"/>
      <c r="AT37" s="148"/>
      <c r="AU37" s="148"/>
      <c r="AV37" s="149"/>
      <c r="AW37" s="150"/>
      <c r="AX37" s="151"/>
      <c r="AY37" s="153"/>
    </row>
    <row r="38" spans="2:51" x14ac:dyDescent="0.2">
      <c r="B38" s="148"/>
      <c r="C38" s="148"/>
      <c r="D38" s="148"/>
      <c r="E38" s="148"/>
      <c r="F38" s="148"/>
      <c r="G38" s="149"/>
      <c r="H38" s="150"/>
      <c r="I38" s="151"/>
      <c r="J38" s="153"/>
      <c r="M38" s="148"/>
      <c r="N38" s="148"/>
      <c r="O38" s="148"/>
      <c r="P38" s="148"/>
      <c r="Q38" s="148"/>
      <c r="R38" s="149"/>
      <c r="S38" s="150"/>
      <c r="T38" s="151"/>
      <c r="U38" s="153"/>
      <c r="W38" s="148"/>
      <c r="X38" s="148"/>
      <c r="Y38" s="148"/>
      <c r="Z38" s="148"/>
      <c r="AA38" s="148"/>
      <c r="AB38" s="149"/>
      <c r="AC38" s="150"/>
      <c r="AD38" s="151"/>
      <c r="AE38" s="153"/>
      <c r="AG38" s="148"/>
      <c r="AH38" s="148"/>
      <c r="AI38" s="148"/>
      <c r="AJ38" s="148"/>
      <c r="AK38" s="148"/>
      <c r="AL38" s="149"/>
      <c r="AM38" s="150"/>
      <c r="AN38" s="151"/>
      <c r="AO38" s="153"/>
      <c r="AQ38" s="148"/>
      <c r="AR38" s="148"/>
      <c r="AS38" s="148"/>
      <c r="AT38" s="148"/>
      <c r="AU38" s="148"/>
      <c r="AV38" s="149"/>
      <c r="AW38" s="150"/>
      <c r="AX38" s="151"/>
      <c r="AY38" s="153"/>
    </row>
    <row r="39" spans="2:51" x14ac:dyDescent="0.2">
      <c r="B39" s="148"/>
      <c r="C39" s="148"/>
      <c r="D39" s="148"/>
      <c r="E39" s="148"/>
      <c r="F39" s="148"/>
      <c r="G39" s="149"/>
      <c r="H39" s="150"/>
      <c r="I39" s="151"/>
      <c r="J39" s="153"/>
      <c r="M39" s="148"/>
      <c r="N39" s="148"/>
      <c r="O39" s="148"/>
      <c r="P39" s="148"/>
      <c r="Q39" s="148"/>
      <c r="R39" s="149"/>
      <c r="S39" s="150"/>
      <c r="T39" s="151"/>
      <c r="U39" s="153"/>
      <c r="W39" s="148"/>
      <c r="X39" s="148"/>
      <c r="Y39" s="148"/>
      <c r="Z39" s="148"/>
      <c r="AA39" s="148"/>
      <c r="AB39" s="149"/>
      <c r="AC39" s="150"/>
      <c r="AD39" s="151"/>
      <c r="AE39" s="153"/>
      <c r="AG39" s="148"/>
      <c r="AH39" s="148"/>
      <c r="AI39" s="148"/>
      <c r="AJ39" s="148"/>
      <c r="AK39" s="148"/>
      <c r="AL39" s="149"/>
      <c r="AM39" s="150"/>
      <c r="AN39" s="151"/>
      <c r="AO39" s="153"/>
      <c r="AQ39" s="148"/>
      <c r="AR39" s="148"/>
      <c r="AS39" s="148"/>
      <c r="AT39" s="148"/>
      <c r="AU39" s="148"/>
      <c r="AV39" s="149"/>
      <c r="AW39" s="150"/>
      <c r="AX39" s="151"/>
      <c r="AY39" s="153"/>
    </row>
    <row r="40" spans="2:51" x14ac:dyDescent="0.2">
      <c r="B40" s="148"/>
      <c r="C40" s="148"/>
      <c r="D40" s="148"/>
      <c r="E40" s="148"/>
      <c r="F40" s="148"/>
      <c r="G40" s="149"/>
      <c r="H40" s="150"/>
      <c r="I40" s="151"/>
      <c r="J40" s="153"/>
      <c r="M40" s="148"/>
      <c r="N40" s="148"/>
      <c r="O40" s="148"/>
      <c r="P40" s="148"/>
      <c r="Q40" s="148"/>
      <c r="R40" s="149"/>
      <c r="S40" s="150"/>
      <c r="T40" s="151"/>
      <c r="U40" s="153"/>
      <c r="W40" s="148"/>
      <c r="X40" s="148"/>
      <c r="Y40" s="148"/>
      <c r="Z40" s="148"/>
      <c r="AA40" s="148"/>
      <c r="AB40" s="149"/>
      <c r="AC40" s="150"/>
      <c r="AD40" s="151"/>
      <c r="AE40" s="153"/>
      <c r="AG40" s="148"/>
      <c r="AH40" s="148"/>
      <c r="AI40" s="148"/>
      <c r="AJ40" s="148"/>
      <c r="AK40" s="148"/>
      <c r="AL40" s="149"/>
      <c r="AM40" s="150"/>
      <c r="AN40" s="151"/>
      <c r="AO40" s="153"/>
      <c r="AQ40" s="148"/>
      <c r="AR40" s="148"/>
      <c r="AS40" s="148"/>
      <c r="AT40" s="148"/>
      <c r="AU40" s="148"/>
      <c r="AV40" s="149"/>
      <c r="AW40" s="150"/>
      <c r="AX40" s="151"/>
      <c r="AY40" s="153"/>
    </row>
    <row r="41" spans="2:51" ht="15" x14ac:dyDescent="0.2">
      <c r="B41" s="861" t="s">
        <v>176</v>
      </c>
      <c r="C41" s="861"/>
      <c r="D41" s="861"/>
      <c r="E41" s="861"/>
      <c r="F41" s="861"/>
      <c r="G41" s="861"/>
      <c r="H41" s="861"/>
      <c r="I41" s="861"/>
      <c r="J41" s="861"/>
      <c r="M41" s="861" t="s">
        <v>176</v>
      </c>
      <c r="N41" s="861"/>
      <c r="O41" s="861"/>
      <c r="P41" s="861"/>
      <c r="Q41" s="861"/>
      <c r="R41" s="861"/>
      <c r="S41" s="861"/>
      <c r="T41" s="861"/>
      <c r="U41" s="861"/>
      <c r="W41" s="861" t="s">
        <v>176</v>
      </c>
      <c r="X41" s="861"/>
      <c r="Y41" s="861"/>
      <c r="Z41" s="861"/>
      <c r="AA41" s="861"/>
      <c r="AB41" s="861"/>
      <c r="AC41" s="861"/>
      <c r="AD41" s="861"/>
      <c r="AE41" s="861"/>
      <c r="AG41" s="861" t="s">
        <v>176</v>
      </c>
      <c r="AH41" s="861"/>
      <c r="AI41" s="861"/>
      <c r="AJ41" s="861"/>
      <c r="AK41" s="861"/>
      <c r="AL41" s="861"/>
      <c r="AM41" s="861"/>
      <c r="AN41" s="861"/>
      <c r="AO41" s="861"/>
      <c r="AQ41" s="861" t="s">
        <v>176</v>
      </c>
      <c r="AR41" s="861"/>
      <c r="AS41" s="861"/>
      <c r="AT41" s="861"/>
      <c r="AU41" s="861"/>
      <c r="AV41" s="861"/>
      <c r="AW41" s="861"/>
      <c r="AX41" s="861"/>
      <c r="AY41" s="861"/>
    </row>
    <row r="42" spans="2:51" x14ac:dyDescent="0.2">
      <c r="J42" s="319"/>
    </row>
    <row r="43" spans="2:51" x14ac:dyDescent="0.2">
      <c r="J43" s="319"/>
    </row>
    <row r="44" spans="2:51" x14ac:dyDescent="0.2">
      <c r="J44" s="319"/>
    </row>
    <row r="45" spans="2:51" x14ac:dyDescent="0.2">
      <c r="J45" s="319"/>
    </row>
    <row r="46" spans="2:51" ht="13.5" thickBot="1" x14ac:dyDescent="0.25">
      <c r="J46" s="319"/>
    </row>
    <row r="47" spans="2:51" ht="13.5" thickBot="1" x14ac:dyDescent="0.25">
      <c r="B47" s="866" t="str">
        <f>+B18</f>
        <v>General Service &gt; 50 kW - 4999 kW</v>
      </c>
      <c r="C47" s="867"/>
      <c r="D47" s="867"/>
      <c r="E47" s="867"/>
      <c r="F47" s="867"/>
      <c r="G47" s="867"/>
      <c r="H47" s="867"/>
      <c r="I47" s="867"/>
      <c r="J47" s="868"/>
      <c r="M47" s="866" t="str">
        <f>+M18</f>
        <v>Streetlighting</v>
      </c>
      <c r="N47" s="867"/>
      <c r="O47" s="867"/>
      <c r="P47" s="867"/>
      <c r="Q47" s="867"/>
      <c r="R47" s="867"/>
      <c r="S47" s="867"/>
      <c r="T47" s="867"/>
      <c r="U47" s="868"/>
      <c r="W47" s="866" t="str">
        <f>+W18</f>
        <v>Sentinel Lighting</v>
      </c>
      <c r="X47" s="867"/>
      <c r="Y47" s="867"/>
      <c r="Z47" s="867"/>
      <c r="AA47" s="867"/>
      <c r="AB47" s="867"/>
      <c r="AC47" s="867"/>
      <c r="AD47" s="867"/>
      <c r="AE47" s="868"/>
      <c r="AG47" s="866" t="str">
        <f>+AG18</f>
        <v>Unmetered Scattered Load</v>
      </c>
      <c r="AH47" s="867"/>
      <c r="AI47" s="867"/>
      <c r="AJ47" s="867"/>
      <c r="AK47" s="867"/>
      <c r="AL47" s="867"/>
      <c r="AM47" s="867"/>
      <c r="AN47" s="867"/>
      <c r="AO47" s="868"/>
      <c r="AQ47" s="866">
        <f>+AQ18</f>
        <v>0</v>
      </c>
      <c r="AR47" s="867"/>
      <c r="AS47" s="867"/>
      <c r="AT47" s="867"/>
      <c r="AU47" s="867"/>
      <c r="AV47" s="867"/>
      <c r="AW47" s="867"/>
      <c r="AX47" s="867"/>
      <c r="AY47" s="868"/>
    </row>
    <row r="48" spans="2:51" ht="29.25" customHeight="1" thickBot="1" x14ac:dyDescent="0.25">
      <c r="B48" s="347" t="s">
        <v>33</v>
      </c>
      <c r="C48" s="495"/>
      <c r="D48" s="495"/>
      <c r="E48" s="348" t="s">
        <v>40</v>
      </c>
      <c r="F48" s="348" t="s">
        <v>184</v>
      </c>
      <c r="G48" s="348" t="s">
        <v>185</v>
      </c>
      <c r="H48" s="354" t="s">
        <v>188</v>
      </c>
      <c r="I48" s="348" t="s">
        <v>186</v>
      </c>
      <c r="J48" s="349" t="s">
        <v>187</v>
      </c>
      <c r="K48" s="317"/>
      <c r="L48" s="317"/>
      <c r="M48" s="347" t="s">
        <v>33</v>
      </c>
      <c r="N48" s="495"/>
      <c r="O48" s="495"/>
      <c r="P48" s="348" t="s">
        <v>40</v>
      </c>
      <c r="Q48" s="348" t="s">
        <v>184</v>
      </c>
      <c r="R48" s="348" t="s">
        <v>185</v>
      </c>
      <c r="S48" s="354" t="s">
        <v>188</v>
      </c>
      <c r="T48" s="348" t="s">
        <v>186</v>
      </c>
      <c r="U48" s="349" t="s">
        <v>187</v>
      </c>
      <c r="W48" s="347" t="s">
        <v>33</v>
      </c>
      <c r="X48" s="495"/>
      <c r="Y48" s="495"/>
      <c r="Z48" s="348" t="s">
        <v>40</v>
      </c>
      <c r="AA48" s="348" t="s">
        <v>184</v>
      </c>
      <c r="AB48" s="348" t="s">
        <v>185</v>
      </c>
      <c r="AC48" s="354" t="s">
        <v>188</v>
      </c>
      <c r="AD48" s="348" t="s">
        <v>186</v>
      </c>
      <c r="AE48" s="349" t="s">
        <v>187</v>
      </c>
      <c r="AG48" s="347" t="s">
        <v>33</v>
      </c>
      <c r="AH48" s="495"/>
      <c r="AI48" s="495"/>
      <c r="AJ48" s="348" t="s">
        <v>40</v>
      </c>
      <c r="AK48" s="348" t="s">
        <v>184</v>
      </c>
      <c r="AL48" s="348" t="s">
        <v>185</v>
      </c>
      <c r="AM48" s="354" t="s">
        <v>188</v>
      </c>
      <c r="AN48" s="348" t="s">
        <v>186</v>
      </c>
      <c r="AO48" s="349" t="s">
        <v>187</v>
      </c>
      <c r="AQ48" s="347" t="s">
        <v>33</v>
      </c>
      <c r="AR48" s="495"/>
      <c r="AS48" s="495"/>
      <c r="AT48" s="348" t="s">
        <v>40</v>
      </c>
      <c r="AU48" s="348" t="s">
        <v>184</v>
      </c>
      <c r="AV48" s="348" t="s">
        <v>185</v>
      </c>
      <c r="AW48" s="354" t="s">
        <v>188</v>
      </c>
      <c r="AX48" s="348" t="s">
        <v>186</v>
      </c>
      <c r="AY48" s="349" t="s">
        <v>187</v>
      </c>
    </row>
    <row r="49" spans="2:51" ht="12.75" customHeight="1" x14ac:dyDescent="0.2">
      <c r="B49" s="9" t="str">
        <f>+B31</f>
        <v>2015</v>
      </c>
      <c r="C49" s="496"/>
      <c r="D49" s="496"/>
      <c r="E49" s="343">
        <f>+G31-G30</f>
        <v>-0.5</v>
      </c>
      <c r="F49" s="344">
        <f>+H34</f>
        <v>533171.13832862326</v>
      </c>
      <c r="G49" s="350">
        <f>+I34</f>
        <v>1465.8344450571449</v>
      </c>
      <c r="H49" s="872" t="s">
        <v>179</v>
      </c>
      <c r="I49" s="352">
        <f>IF(H49="Yes",+F49*E49+$E$31,$E$31)</f>
        <v>72299288.797186792</v>
      </c>
      <c r="J49" s="345">
        <f>IF(H49="Yes",+G49*E49+$F$31,$F$31)</f>
        <v>198917.84757842109</v>
      </c>
      <c r="M49" s="9" t="str">
        <f>+M31</f>
        <v>2015</v>
      </c>
      <c r="N49" s="496"/>
      <c r="O49" s="496"/>
      <c r="P49" s="343">
        <f>+R31-R30</f>
        <v>22.969225608215311</v>
      </c>
      <c r="Q49" s="344">
        <f>+S34</f>
        <v>897.49439266030117</v>
      </c>
      <c r="R49" s="350">
        <f>+T34</f>
        <v>2.498138854544107</v>
      </c>
      <c r="S49" s="872" t="s">
        <v>179</v>
      </c>
      <c r="T49" s="352">
        <f>IF(S49="Yes",+Q49*P49+$P$31,$P$31)</f>
        <v>2432606.0526600452</v>
      </c>
      <c r="U49" s="345">
        <f>IF(S49="Yes",+R49*P49+$Q$31,$Q$31)</f>
        <v>6772.6200970626942</v>
      </c>
      <c r="W49" s="9" t="str">
        <f>+W31</f>
        <v>2015</v>
      </c>
      <c r="X49" s="496"/>
      <c r="Y49" s="496"/>
      <c r="Z49" s="343">
        <f>+AB31-AB30</f>
        <v>-4.5573836038872173</v>
      </c>
      <c r="AA49" s="344">
        <f>+AC34</f>
        <v>1190.4669030287207</v>
      </c>
      <c r="AB49" s="350">
        <f>+AD34</f>
        <v>3.3831717918176158</v>
      </c>
      <c r="AC49" s="872" t="s">
        <v>179</v>
      </c>
      <c r="AD49" s="352">
        <f>IF(AC49="Yes",+AA49*Z49+$Z$31,$Z$31)</f>
        <v>244847.23163322191</v>
      </c>
      <c r="AE49" s="345">
        <f>IF(AC49="Yes",+AB49*Z49+$AA$31,$AA$31)</f>
        <v>697.71463936548889</v>
      </c>
      <c r="AG49" s="9" t="str">
        <f>+AG31</f>
        <v>2015</v>
      </c>
      <c r="AH49" s="496"/>
      <c r="AI49" s="496"/>
      <c r="AJ49" s="343">
        <f>+AL31-AL30</f>
        <v>0</v>
      </c>
      <c r="AK49" s="344">
        <f>+AM34</f>
        <v>22595.383161764705</v>
      </c>
      <c r="AL49" s="350">
        <f>+AN34</f>
        <v>0</v>
      </c>
      <c r="AM49" s="872" t="s">
        <v>179</v>
      </c>
      <c r="AN49" s="352">
        <f>IF(AM49="Yes",+AK49*AJ49+$AJ$31,$AJ$31)</f>
        <v>453067.96191469493</v>
      </c>
      <c r="AO49" s="345">
        <f>IF(AM49="Yes",+AL49*AJ49+$AK$31,$AK$31)</f>
        <v>0</v>
      </c>
      <c r="AQ49" s="9" t="str">
        <f>+AQ31</f>
        <v>2015</v>
      </c>
      <c r="AR49" s="496"/>
      <c r="AS49" s="496"/>
      <c r="AT49" s="343">
        <f>+AV31-AV30</f>
        <v>0</v>
      </c>
      <c r="AU49" s="344">
        <f>+AW34</f>
        <v>0</v>
      </c>
      <c r="AV49" s="350">
        <f>+AX34</f>
        <v>0</v>
      </c>
      <c r="AW49" s="872" t="s">
        <v>179</v>
      </c>
      <c r="AX49" s="352">
        <f>IF(AW49="Yes",+AU49*AT49+$AT$31,$AT$31)</f>
        <v>0</v>
      </c>
      <c r="AY49" s="345">
        <f>IF(AW49="Yes",+AV49*AT49+$AU$31,$AU$31)</f>
        <v>0</v>
      </c>
    </row>
    <row r="50" spans="2:51" ht="13.5" customHeight="1" thickBot="1" x14ac:dyDescent="0.25">
      <c r="B50" s="21" t="str">
        <f>+B32</f>
        <v>2016</v>
      </c>
      <c r="C50" s="497"/>
      <c r="D50" s="497"/>
      <c r="E50" s="339">
        <f>+G32-G30</f>
        <v>1.5</v>
      </c>
      <c r="F50" s="378">
        <f>+H34</f>
        <v>533171.13832862326</v>
      </c>
      <c r="G50" s="351">
        <f>+I34</f>
        <v>1465.8344450571449</v>
      </c>
      <c r="H50" s="873"/>
      <c r="I50" s="353">
        <f>IF(H49="Yes",+F50*E50+$E$32,$E$32)</f>
        <v>72142502.684401065</v>
      </c>
      <c r="J50" s="346">
        <f>IF(H49="Yes",+G50*E50+$F$32,$F$32)</f>
        <v>198486.48018042342</v>
      </c>
      <c r="M50" s="21" t="str">
        <f>+M32</f>
        <v>2016</v>
      </c>
      <c r="N50" s="497"/>
      <c r="O50" s="497"/>
      <c r="P50" s="339">
        <f>+R32-R30</f>
        <v>46.126706461761842</v>
      </c>
      <c r="Q50" s="378">
        <f>+S34</f>
        <v>897.49439266030117</v>
      </c>
      <c r="R50" s="351">
        <f>+T34</f>
        <v>2.498138854544107</v>
      </c>
      <c r="S50" s="873"/>
      <c r="T50" s="353">
        <f>IF(S49="Yes",+Q50*P50+$P$32,$P$32)</f>
        <v>1271330.774669338</v>
      </c>
      <c r="U50" s="346">
        <f>IF(S49="Yes",+R50*P50+$Q$32,$Q$32)</f>
        <v>3539.512838556238</v>
      </c>
      <c r="W50" s="21" t="str">
        <f>+W32</f>
        <v>2016</v>
      </c>
      <c r="X50" s="497"/>
      <c r="Y50" s="497"/>
      <c r="Z50" s="339">
        <f>+AB32-AB30</f>
        <v>-9.0129547307500388</v>
      </c>
      <c r="AA50" s="378">
        <f>+AC34</f>
        <v>1190.4669030287207</v>
      </c>
      <c r="AB50" s="351">
        <f>+AD34</f>
        <v>3.3831717918176158</v>
      </c>
      <c r="AC50" s="873"/>
      <c r="AD50" s="353">
        <f>IF(AC49="Yes",+AA50*Z50+$Z$32,$Z$32)</f>
        <v>244316.26312284268</v>
      </c>
      <c r="AE50" s="346">
        <f>IF(AC49="Yes",+AB50*Z50+$AA$32,$AA$32)</f>
        <v>696.20159590462345</v>
      </c>
      <c r="AG50" s="21" t="str">
        <f>+AG32</f>
        <v>2016</v>
      </c>
      <c r="AH50" s="497"/>
      <c r="AI50" s="497"/>
      <c r="AJ50" s="339">
        <f>+AL32-AL30</f>
        <v>0</v>
      </c>
      <c r="AK50" s="378">
        <f>+AM34</f>
        <v>22595.383161764705</v>
      </c>
      <c r="AL50" s="351">
        <f>+AN34</f>
        <v>0</v>
      </c>
      <c r="AM50" s="873"/>
      <c r="AN50" s="353">
        <f>IF(AM49="Yes",+AK50*AJ50+$AJ$32,$AJ$32)</f>
        <v>452085.45204830298</v>
      </c>
      <c r="AO50" s="346">
        <f>IF(AM49="Yes",+AL50*AJ50+$AK$32,$AK$32)</f>
        <v>0</v>
      </c>
      <c r="AQ50" s="21" t="str">
        <f>+AQ32</f>
        <v>2016</v>
      </c>
      <c r="AR50" s="497"/>
      <c r="AS50" s="497"/>
      <c r="AT50" s="339">
        <f>+AV32-AV30</f>
        <v>0</v>
      </c>
      <c r="AU50" s="378">
        <f>+AW34</f>
        <v>0</v>
      </c>
      <c r="AV50" s="351">
        <f>+AX34</f>
        <v>0</v>
      </c>
      <c r="AW50" s="873"/>
      <c r="AX50" s="353">
        <f>IF(AW49="Yes",+AU50*AT50+$AT$32,$AT$32)</f>
        <v>0</v>
      </c>
      <c r="AY50" s="346">
        <f>IF(AW49="Yes",+AV50*AT50+$AU$32,$AU$32)</f>
        <v>0</v>
      </c>
    </row>
    <row r="51" spans="2:51" x14ac:dyDescent="0.2">
      <c r="J51" s="319"/>
    </row>
    <row r="52" spans="2:51" x14ac:dyDescent="0.2">
      <c r="B52" s="356" t="s">
        <v>190</v>
      </c>
      <c r="C52" s="356"/>
      <c r="D52" s="356"/>
    </row>
    <row r="54" spans="2:51" x14ac:dyDescent="0.2">
      <c r="H54" s="355"/>
    </row>
    <row r="57" spans="2:51" ht="26.25" hidden="1" thickBot="1" x14ac:dyDescent="0.25">
      <c r="B57" s="869" t="s">
        <v>163</v>
      </c>
      <c r="C57" s="870"/>
      <c r="D57" s="870"/>
      <c r="E57" s="871"/>
      <c r="H57" s="320" t="s">
        <v>151</v>
      </c>
      <c r="I57" s="321" t="s">
        <v>148</v>
      </c>
    </row>
    <row r="58" spans="2:51" hidden="1" x14ac:dyDescent="0.2">
      <c r="B58" s="315">
        <v>1</v>
      </c>
      <c r="C58" s="324"/>
      <c r="D58" s="324"/>
      <c r="E58" s="324"/>
      <c r="F58" s="329">
        <f>+B21</f>
        <v>2005</v>
      </c>
      <c r="G58" s="333"/>
      <c r="H58" s="326">
        <f>SUM('6. WS Regression Analysis'!J20:K31)</f>
        <v>209875751.15141216</v>
      </c>
      <c r="I58" s="322">
        <f>SUM('6. WS Regression Analysis'!R20:R31)</f>
        <v>203844303.0754298</v>
      </c>
    </row>
    <row r="59" spans="2:51" hidden="1" x14ac:dyDescent="0.2">
      <c r="B59" s="315">
        <v>2</v>
      </c>
      <c r="C59" s="324"/>
      <c r="D59" s="324"/>
      <c r="E59" s="324"/>
      <c r="F59" s="329">
        <f t="shared" ref="F59:F67" si="24">+B22</f>
        <v>2006</v>
      </c>
      <c r="G59" s="334"/>
      <c r="H59" s="327">
        <f>SUM('6. WS Regression Analysis'!J32:J43)</f>
        <v>203367791.46020103</v>
      </c>
      <c r="I59" s="323">
        <f>SUM('6. WS Regression Analysis'!R32:R43)</f>
        <v>197556431.56635299</v>
      </c>
    </row>
    <row r="60" spans="2:51" hidden="1" x14ac:dyDescent="0.2">
      <c r="B60" s="315">
        <v>3</v>
      </c>
      <c r="C60" s="324"/>
      <c r="D60" s="324"/>
      <c r="E60" s="324"/>
      <c r="F60" s="329">
        <f t="shared" si="24"/>
        <v>2007</v>
      </c>
      <c r="G60" s="334"/>
      <c r="H60" s="327">
        <f>SUM('6. WS Regression Analysis'!J44:J55)</f>
        <v>205302856.46000004</v>
      </c>
      <c r="I60" s="323">
        <f>SUM('6. WS Regression Analysis'!R44:R55)</f>
        <v>200186936.8660098</v>
      </c>
    </row>
    <row r="61" spans="2:51" hidden="1" x14ac:dyDescent="0.2">
      <c r="B61" s="315">
        <v>4</v>
      </c>
      <c r="C61" s="324"/>
      <c r="D61" s="324"/>
      <c r="E61" s="324"/>
      <c r="F61" s="329">
        <f t="shared" si="24"/>
        <v>2008</v>
      </c>
      <c r="G61" s="334"/>
      <c r="H61" s="327">
        <f>SUM('6. WS Regression Analysis'!J56:J67)</f>
        <v>194146899.85907778</v>
      </c>
      <c r="I61" s="323">
        <f>SUM('6. WS Regression Analysis'!R56:R67)</f>
        <v>199277158.67089084</v>
      </c>
    </row>
    <row r="62" spans="2:51" hidden="1" x14ac:dyDescent="0.2">
      <c r="B62" s="315">
        <v>5</v>
      </c>
      <c r="C62" s="324"/>
      <c r="D62" s="324"/>
      <c r="E62" s="324"/>
      <c r="F62" s="329">
        <f t="shared" si="24"/>
        <v>2009</v>
      </c>
      <c r="G62" s="334"/>
      <c r="H62" s="327">
        <f>SUM('6. WS Regression Analysis'!J68:J79)</f>
        <v>201115656.45999998</v>
      </c>
      <c r="I62" s="323">
        <f>SUM('6. WS Regression Analysis'!R68:R79)</f>
        <v>198683586.06453371</v>
      </c>
    </row>
    <row r="63" spans="2:51" hidden="1" x14ac:dyDescent="0.2">
      <c r="B63" s="315">
        <v>6</v>
      </c>
      <c r="C63" s="324"/>
      <c r="D63" s="324"/>
      <c r="E63" s="324"/>
      <c r="F63" s="329">
        <f t="shared" si="24"/>
        <v>2010</v>
      </c>
      <c r="G63" s="334"/>
      <c r="H63" s="327">
        <f>SUM('6. WS Regression Analysis'!J80:J91)</f>
        <v>197081317.46300003</v>
      </c>
      <c r="I63" s="323">
        <f>SUM('6. WS Regression Analysis'!R80:R91)</f>
        <v>199197021.01412955</v>
      </c>
    </row>
    <row r="64" spans="2:51" hidden="1" x14ac:dyDescent="0.2">
      <c r="B64" s="315">
        <v>7</v>
      </c>
      <c r="C64" s="324"/>
      <c r="D64" s="324"/>
      <c r="E64" s="324"/>
      <c r="F64" s="329">
        <f t="shared" si="24"/>
        <v>2011</v>
      </c>
      <c r="G64" s="334"/>
      <c r="H64" s="327">
        <f>SUM('6. WS Regression Analysis'!J92:J103)</f>
        <v>199623009.43799999</v>
      </c>
      <c r="I64" s="323">
        <f>SUM('6. WS Regression Analysis'!R92:R103)</f>
        <v>197051606.59096599</v>
      </c>
    </row>
    <row r="65" spans="2:10" hidden="1" x14ac:dyDescent="0.2">
      <c r="B65" s="315">
        <v>8</v>
      </c>
      <c r="C65" s="324"/>
      <c r="D65" s="324"/>
      <c r="E65" s="324"/>
      <c r="F65" s="329">
        <f t="shared" si="24"/>
        <v>2012</v>
      </c>
      <c r="G65" s="334"/>
      <c r="H65" s="327">
        <f>SUM('6. WS Regression Analysis'!J104:J115)</f>
        <v>194771161.25000003</v>
      </c>
      <c r="I65" s="341">
        <f>SUM('6. WS Regression Analysis'!R104:R115)</f>
        <v>200061553.77745542</v>
      </c>
      <c r="J65" s="313" t="s">
        <v>189</v>
      </c>
    </row>
    <row r="66" spans="2:10" hidden="1" x14ac:dyDescent="0.2">
      <c r="B66" s="315">
        <v>9</v>
      </c>
      <c r="C66" s="324"/>
      <c r="D66" s="324"/>
      <c r="E66" s="324"/>
      <c r="F66" s="329">
        <f t="shared" si="24"/>
        <v>2013</v>
      </c>
      <c r="G66" s="334"/>
      <c r="H66" s="327">
        <f>SUM('6. WS Regression Analysis'!J116:J127)</f>
        <v>198259056.0149</v>
      </c>
      <c r="I66" s="341">
        <f>SUM('6. WS Regression Analysis'!R116:R117)</f>
        <v>40301949.722216293</v>
      </c>
      <c r="J66" s="313" t="s">
        <v>178</v>
      </c>
    </row>
    <row r="67" spans="2:10" ht="13.5" hidden="1" thickBot="1" x14ac:dyDescent="0.25">
      <c r="B67" s="316">
        <v>10</v>
      </c>
      <c r="C67" s="325"/>
      <c r="D67" s="325"/>
      <c r="E67" s="325"/>
      <c r="F67" s="329">
        <f t="shared" si="24"/>
        <v>2014</v>
      </c>
      <c r="G67" s="335"/>
      <c r="H67" s="328">
        <f>SUM('6. WS Regression Analysis'!J128:J139)</f>
        <v>191637148.35999998</v>
      </c>
      <c r="I67" s="340">
        <f>SUM('6. WS Regression Analysis'!R128:R139)</f>
        <v>200106964.7243894</v>
      </c>
      <c r="J67" s="313" t="s">
        <v>179</v>
      </c>
    </row>
    <row r="68" spans="2:10" hidden="1" x14ac:dyDescent="0.2"/>
  </sheetData>
  <mergeCells count="26">
    <mergeCell ref="AQ18:AY18"/>
    <mergeCell ref="AQ36:AY36"/>
    <mergeCell ref="AQ41:AY41"/>
    <mergeCell ref="AQ47:AY47"/>
    <mergeCell ref="AW49:AW50"/>
    <mergeCell ref="B18:J18"/>
    <mergeCell ref="M18:U18"/>
    <mergeCell ref="W18:AE18"/>
    <mergeCell ref="AG18:AO18"/>
    <mergeCell ref="B57:E57"/>
    <mergeCell ref="H49:H50"/>
    <mergeCell ref="S49:S50"/>
    <mergeCell ref="AC49:AC50"/>
    <mergeCell ref="AM49:AM50"/>
    <mergeCell ref="B36:J36"/>
    <mergeCell ref="B41:J41"/>
    <mergeCell ref="M36:U36"/>
    <mergeCell ref="M41:U41"/>
    <mergeCell ref="W36:AE36"/>
    <mergeCell ref="W41:AE41"/>
    <mergeCell ref="AG36:AO36"/>
    <mergeCell ref="AG41:AO41"/>
    <mergeCell ref="B47:J47"/>
    <mergeCell ref="M47:U47"/>
    <mergeCell ref="W47:AE47"/>
    <mergeCell ref="AG47:AO47"/>
  </mergeCells>
  <dataValidations count="2">
    <dataValidation type="list" allowBlank="1" showInputMessage="1" showErrorMessage="1" sqref="E34 Z34 P34 AJ34 AT34">
      <formula1>$B$58:$B$67</formula1>
    </dataValidation>
    <dataValidation type="list" allowBlank="1" showInputMessage="1" showErrorMessage="1" sqref="H49 AW49 S49 AC49 AM49">
      <formula1>$J$66:$J$67</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B18:J18 M18:U18 W18:AE18 AG18:AO18 AQ18:AY18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zoomScaleNormal="100" workbookViewId="0">
      <selection activeCell="E56" sqref="E56"/>
    </sheetView>
  </sheetViews>
  <sheetFormatPr defaultColWidth="10.5" defaultRowHeight="12.75" x14ac:dyDescent="0.2"/>
  <cols>
    <col min="1" max="1" width="13.6640625" style="1" customWidth="1"/>
    <col min="2" max="2" width="50.1640625" style="1" customWidth="1"/>
    <col min="3" max="3" width="50.1640625" style="1" hidden="1" customWidth="1"/>
    <col min="4" max="4" width="12.5" style="1" bestFit="1" customWidth="1"/>
    <col min="5" max="5" width="18" style="1" bestFit="1" customWidth="1"/>
    <col min="6" max="16" width="16.33203125" style="1" bestFit="1" customWidth="1"/>
    <col min="17" max="18" width="10.5" style="1"/>
    <col min="19" max="20" width="1.83203125" style="1" bestFit="1" customWidth="1"/>
    <col min="21" max="16384" width="10.5" style="1"/>
  </cols>
  <sheetData>
    <row r="1" spans="1:16" s="536" customFormat="1" x14ac:dyDescent="0.2">
      <c r="A1" s="758" t="s">
        <v>272</v>
      </c>
    </row>
    <row r="2" spans="1:16" s="536" customFormat="1" x14ac:dyDescent="0.2"/>
    <row r="3" spans="1:16" s="536" customFormat="1" x14ac:dyDescent="0.2"/>
    <row r="4" spans="1:16" s="536" customFormat="1" x14ac:dyDescent="0.2"/>
    <row r="5" spans="1:16" s="536" customFormat="1" x14ac:dyDescent="0.2"/>
    <row r="6" spans="1:16" s="536" customFormat="1" x14ac:dyDescent="0.2"/>
    <row r="7" spans="1:16" s="536" customFormat="1" x14ac:dyDescent="0.2"/>
    <row r="8" spans="1:16" s="536" customFormat="1" x14ac:dyDescent="0.2"/>
    <row r="9" spans="1:16" s="536" customFormat="1" x14ac:dyDescent="0.2"/>
    <row r="11" spans="1:16" ht="23.25" x14ac:dyDescent="0.2">
      <c r="B11" s="133" t="s">
        <v>103</v>
      </c>
      <c r="C11" s="133"/>
    </row>
    <row r="12" spans="1:16" ht="13.5" customHeight="1" x14ac:dyDescent="0.2">
      <c r="B12" s="63" t="s">
        <v>64</v>
      </c>
      <c r="C12" s="133"/>
    </row>
    <row r="13" spans="1:16" ht="13.5" customHeight="1" x14ac:dyDescent="0.2">
      <c r="B13" s="100" t="s">
        <v>262</v>
      </c>
      <c r="C13" s="133"/>
    </row>
    <row r="14" spans="1:16" ht="13.5" customHeight="1" thickBot="1" x14ac:dyDescent="0.25"/>
    <row r="15" spans="1:16" ht="13.5" thickBot="1" x14ac:dyDescent="0.25">
      <c r="B15" s="473"/>
      <c r="C15" s="474"/>
      <c r="D15" s="420" t="s">
        <v>33</v>
      </c>
      <c r="E15" s="418">
        <f>'4. Customer Growth'!B17</f>
        <v>2005</v>
      </c>
      <c r="F15" s="418">
        <f>'4. Customer Growth'!B18</f>
        <v>2006</v>
      </c>
      <c r="G15" s="418">
        <f>'4. Customer Growth'!B19</f>
        <v>2007</v>
      </c>
      <c r="H15" s="418">
        <f>'4. Customer Growth'!B20</f>
        <v>2008</v>
      </c>
      <c r="I15" s="418">
        <f>'4. Customer Growth'!B21</f>
        <v>2009</v>
      </c>
      <c r="J15" s="418">
        <f>'4. Customer Growth'!B22</f>
        <v>2010</v>
      </c>
      <c r="K15" s="418">
        <f>'4. Customer Growth'!B23</f>
        <v>2011</v>
      </c>
      <c r="L15" s="418">
        <f>'4. Customer Growth'!B24</f>
        <v>2012</v>
      </c>
      <c r="M15" s="418">
        <f>'4. Customer Growth'!B25</f>
        <v>2013</v>
      </c>
      <c r="N15" s="418">
        <f>'4. Customer Growth'!B26</f>
        <v>2014</v>
      </c>
      <c r="O15" s="418" t="str">
        <f>'4. Customer Growth'!B30</f>
        <v>2015</v>
      </c>
      <c r="P15" s="419" t="str">
        <f>'4. Customer Growth'!B31</f>
        <v>2016</v>
      </c>
    </row>
    <row r="16" spans="1:16" x14ac:dyDescent="0.2">
      <c r="B16" s="760" t="s">
        <v>195</v>
      </c>
      <c r="C16" s="777" t="str">
        <f>IF($B16=$F$65,+$B$65,+IF($B16=$F$66,+$B$66,+IF($B16=$F$67,+$B$67,+IF($B16=$F$67,$B$67,+IF($B16=$F$68,+$B$68,+IF($B16=$F$69,+$B$69,+IF($B16=$F$70,+$B$70,+IF($B16=$F$71,+$B$71,+IF($B16=$F$72,+$B$72,+IF($B16=$F$73,+$B$73,+IF($B16=$F$74,+$B$74)))))))))))</f>
        <v>Residential</v>
      </c>
      <c r="D16" s="401" t="s">
        <v>131</v>
      </c>
      <c r="E16" s="509">
        <f>IF($C16='4. Customer Growth'!$C$15,+'4. Customer Growth'!$C$17,+IF($C16='4. Customer Growth'!$E$15,+'4. Customer Growth'!$E$17,+IF($C16='4. Customer Growth'!$G$15,+'4. Customer Growth'!$G$17,+IF($C16='4. Customer Growth'!$I$15,+'4. Customer Growth'!$I$17,+IF($C16='4. Customer Growth'!$K$15,+'4. Customer Growth'!$K$17,+IF($C16='4. Customer Growth'!$M$15,+'4. Customer Growth'!$M$17,IF($C16='4. Customer Growth'!$O$15,+'4. Customer Growth'!$O$17)))))))</f>
        <v>8625</v>
      </c>
      <c r="F16" s="509">
        <f>IF($C16='4. Customer Growth'!$C$15,+'4. Customer Growth'!$C$18,+IF($C16='4. Customer Growth'!$E$15,+'4. Customer Growth'!$E$18,+IF($C16='4. Customer Growth'!$G$15,+'4. Customer Growth'!$G$18,+IF($C16='4. Customer Growth'!$I$15,+'4. Customer Growth'!$I$18,+IF($C16='4. Customer Growth'!$K$15,+'4. Customer Growth'!$K$18,+IF($C16='4. Customer Growth'!$M$15,+'4. Customer Growth'!$M$18,IF($C16='4. Customer Growth'!$O$15,+'4. Customer Growth'!$O$18)))))))</f>
        <v>8696</v>
      </c>
      <c r="G16" s="509">
        <f>IF($C16='4. Customer Growth'!$C$15,+'4. Customer Growth'!$C$19,+IF($C16='4. Customer Growth'!$E$15,+'4. Customer Growth'!$E$19,+IF($C16='4. Customer Growth'!$G$15,+'4. Customer Growth'!$G$19,+IF($C16='4. Customer Growth'!$I$15,+'4. Customer Growth'!$I$19,+IF($C16='4. Customer Growth'!$K$15,+'4. Customer Growth'!$K$19,+IF($C16='4. Customer Growth'!$M$15,+'4. Customer Growth'!$M$19,IF($C16='4. Customer Growth'!$O$15,+'4. Customer Growth'!$O$19)))))))</f>
        <v>8809</v>
      </c>
      <c r="H16" s="509">
        <f>IF($C16='4. Customer Growth'!$C$15,+'4. Customer Growth'!$C$20,+IF($C16='4. Customer Growth'!$E$15,+'4. Customer Growth'!$E$20,+IF($C16='4. Customer Growth'!$G$15,+'4. Customer Growth'!$G$20,+IF($C16='4. Customer Growth'!$I$15,+'4. Customer Growth'!$I$20,+IF($C16='4. Customer Growth'!$K$15,+'4. Customer Growth'!$K$20,+IF($C16='4. Customer Growth'!$M$15,+'4. Customer Growth'!$M$20,IF($C16='4. Customer Growth'!$O$15,+'4. Customer Growth'!$O$20)))))))</f>
        <v>8809</v>
      </c>
      <c r="I16" s="509">
        <f>IF($C16='4. Customer Growth'!$C$15,+'4. Customer Growth'!$C$21,+IF($C16='4. Customer Growth'!$E$15,+'4. Customer Growth'!$E$21,+IF($C16='4. Customer Growth'!$G$15,+'4. Customer Growth'!$G$21,+IF($C16='4. Customer Growth'!$I$15,+'4. Customer Growth'!$I$21,+IF($C16='4. Customer Growth'!$K$15,+'4. Customer Growth'!$K$21,+IF($C16='4. Customer Growth'!$M$15,+'4. Customer Growth'!$M$21,IF($C16='4. Customer Growth'!$O$15,+'4. Customer Growth'!$O$21)))))))</f>
        <v>8941</v>
      </c>
      <c r="J16" s="509">
        <f>IF($C16='4. Customer Growth'!$C$15,+'4. Customer Growth'!$C$22,+IF($C16='4. Customer Growth'!$E$15,+'4. Customer Growth'!$E$22,+IF($C16='4. Customer Growth'!$G$15,+'4. Customer Growth'!$G$22,+IF($C16='4. Customer Growth'!$I$15,+'4. Customer Growth'!$I$22,+IF($C16='4. Customer Growth'!$K$15,+'4. Customer Growth'!$K$22,+IF($C16='4. Customer Growth'!$M$15,+'4. Customer Growth'!$M$22,IF($C16='4. Customer Growth'!$O$15,+'4. Customer Growth'!$O$22)))))))</f>
        <v>8955</v>
      </c>
      <c r="K16" s="509">
        <f>IF($C16='4. Customer Growth'!$C$15,+'4. Customer Growth'!$C$23,+IF($C16='4. Customer Growth'!$E$15,+'4. Customer Growth'!$E$23,+IF($C16='4. Customer Growth'!$G$15,+'4. Customer Growth'!$G$23,+IF($C16='4. Customer Growth'!$I$15,+'4. Customer Growth'!$I$23,+IF($C16='4. Customer Growth'!$K$15,+'4. Customer Growth'!$K$23,+IF($C16='4. Customer Growth'!$M$15,+'4. Customer Growth'!$M$23,IF($C16='4. Customer Growth'!$O$15,+'4. Customer Growth'!$O$23)))))))</f>
        <v>9030</v>
      </c>
      <c r="L16" s="509">
        <f>IF($C16='4. Customer Growth'!$C$15,+'4. Customer Growth'!$C$24,+IF($C16='4. Customer Growth'!$E$15,+'4. Customer Growth'!$E$24,+IF($C16='4. Customer Growth'!$G$15,+'4. Customer Growth'!$G$24,+IF($C16='4. Customer Growth'!$I$15,+'4. Customer Growth'!$I$24,+IF($C16='4. Customer Growth'!$K$15,+'4. Customer Growth'!$K$24,+IF($C16='4. Customer Growth'!$M$15,+'4. Customer Growth'!$M$24,IF($C16='4. Customer Growth'!$O$15,+'4. Customer Growth'!$O$24)))))))</f>
        <v>9086.5</v>
      </c>
      <c r="M16" s="509">
        <f>IF($C16='4. Customer Growth'!$C$15,+'4. Customer Growth'!$C$25,+IF($C16='4. Customer Growth'!$E$15,+'4. Customer Growth'!$E$25,+IF($C16='4. Customer Growth'!$G$15,+'4. Customer Growth'!$G$25,+IF($C16='4. Customer Growth'!$I$15,+'4. Customer Growth'!$I$25,+IF($C16='4. Customer Growth'!$K$15,+'4. Customer Growth'!$K$25,+IF($C16='4. Customer Growth'!$M$15,+'4. Customer Growth'!$M$25,IF($C16='4. Customer Growth'!$O$15,+'4. Customer Growth'!$O$25)))))))</f>
        <v>9195</v>
      </c>
      <c r="N16" s="509">
        <f>IF($C16='4. Customer Growth'!$C$15,+'4. Customer Growth'!$C$26,+IF($C16='4. Customer Growth'!$E$15,+'4. Customer Growth'!$E$26,+IF($C16='4. Customer Growth'!$G$15,+'4. Customer Growth'!$G$26,+IF($C16='4. Customer Growth'!$I$15,+'4. Customer Growth'!$I$26,+IF($C16='4. Customer Growth'!$K$15,+'4. Customer Growth'!$K$26,+IF($C16='4. Customer Growth'!$M$15,+'4. Customer Growth'!$M$26,IF($C16='4. Customer Growth'!$O$15,+'4. Customer Growth'!$O$26)))))))</f>
        <v>9305</v>
      </c>
      <c r="O16" s="509">
        <f>IF($C16='4. Customer Growth'!$C$15,+'4. Customer Growth'!$C$42,+IF($C16='4. Customer Growth'!$E$15,+'4. Customer Growth'!$E$42,+IF($C16='4. Customer Growth'!$G$15,+'4. Customer Growth'!$G$42,+IF($C16='4. Customer Growth'!$I$15,+'4. Customer Growth'!$I$42,+IF($C16='4. Customer Growth'!$K$15,+'4. Customer Growth'!$K$42,+IF($C16='4. Customer Growth'!$M$15,+'4. Customer Growth'!$M$42,IF($C16='4. Customer Growth'!$O$15,+'4. Customer Growth'!$O$42)))))))</f>
        <v>9383.7903594694271</v>
      </c>
      <c r="P16" s="510">
        <f>IF($C16='4. Customer Growth'!$C$15,+'4. Customer Growth'!$C$43,+IF($C16='4. Customer Growth'!$E$15,+'4. Customer Growth'!$E$43,+IF($C16='4. Customer Growth'!$G$15,+'4. Customer Growth'!$G$43,+IF($C16='4. Customer Growth'!$I$15,+'4. Customer Growth'!$I$43,+IF($C16='4. Customer Growth'!$K$15,+'4. Customer Growth'!$K$43,+IF($C16='4. Customer Growth'!$M$15,+'4. Customer Growth'!$M$43,IF($C16='4. Customer Growth'!$O$15,+'4. Customer Growth'!$O$43)))))))</f>
        <v>9463.2478786105712</v>
      </c>
    </row>
    <row r="17" spans="2:16" x14ac:dyDescent="0.2">
      <c r="B17" s="89"/>
      <c r="C17" s="778"/>
      <c r="D17" s="59" t="s">
        <v>36</v>
      </c>
      <c r="E17" s="509">
        <f>IF($B16=$F$65,+'7. Weather Senstive Class'!$C$21,IF($B16=$F$66,+'7. Weather Senstive Class'!$O$21,IF($B16=$F$67,+'7. Weather Senstive Class'!$W$21,IF($B16=$F$68,+'7. Weather Senstive Class'!$AE$21,IF($B16=$F$69,+'7. Weather Senstive Class'!$AM$21,IF($B16=$F$70,+'8. KW and Non-Weather Sensitive'!$E$21,IF($B16=$F$71,+'8. KW and Non-Weather Sensitive'!$P$21,IF($B16=$F$72,+'8. KW and Non-Weather Sensitive'!$Z$21,IF($B16=$F$73,+'8. KW and Non-Weather Sensitive'!$AJ$21,IF($B16=$F$74,+'8. KW and Non-Weather Sensitive'!$AT$21))))))))))</f>
        <v>76867401</v>
      </c>
      <c r="F17" s="509">
        <f>IF($B16=$F$65,+'7. Weather Senstive Class'!$C$22,IF($B16=$F$66,+'7. Weather Senstive Class'!$O$22,IF($B16=$F$67,+'7. Weather Senstive Class'!$W$22,IF($B16=$F$68,+'7. Weather Senstive Class'!$AE$22,IF($B16=$F$69,+'7. Weather Senstive Class'!$AM$22,IF($B16=$F$70,+'8. KW and Non-Weather Sensitive'!$E$22,IF($B16=$F$71,+'8. KW and Non-Weather Sensitive'!$P$22,IF($B16=$F$72,+'8. KW and Non-Weather Sensitive'!$Z$22,IF($B16=$F$73,+'8. KW and Non-Weather Sensitive'!$AJ$22,IF($B16=$F$74,+'8. KW and Non-Weather Sensitive'!$AT$22))))))))))</f>
        <v>80301785</v>
      </c>
      <c r="G17" s="509">
        <f>IF($B16=$F$65,+'7. Weather Senstive Class'!$C$23,IF($B16=$F$66,+'7. Weather Senstive Class'!$O$23,IF($B16=$F$67,+'7. Weather Senstive Class'!$W$23,IF($B16=$F$68,+'7. Weather Senstive Class'!$AE$23,IF($B16=$F$69,+'7. Weather Senstive Class'!$AM$23,IF($B16=$F$70,+'8. KW and Non-Weather Sensitive'!$E$23,IF($B16=$F$71,+'8. KW and Non-Weather Sensitive'!$P$23,IF($B16=$F$72,+'8. KW and Non-Weather Sensitive'!$Z$23,IF($B16=$F$73,+'8. KW and Non-Weather Sensitive'!$AJ$23,IF($B16=$F$74,+'8. KW and Non-Weather Sensitive'!$AT$23))))))))))</f>
        <v>78894594</v>
      </c>
      <c r="H17" s="509">
        <f>IF($B16=$F$65,+'7. Weather Senstive Class'!$C$24,IF($B16=$F$66,+'7. Weather Senstive Class'!$O$24,IF($B16=$F$67,+'7. Weather Senstive Class'!$W$24,IF($B16=$F$68,+'7. Weather Senstive Class'!$AE$24,IF($B16=$F$69,+'7. Weather Senstive Class'!$AM$24,IF($B16=$F$70,+'8. KW and Non-Weather Sensitive'!$E$24,IF($B16=$F$71,+'8. KW and Non-Weather Sensitive'!$P$24,IF($B16=$F$72,+'8. KW and Non-Weather Sensitive'!$Z$24,IF($B16=$F$73,+'8. KW and Non-Weather Sensitive'!$AJ$24,IF($B16=$F$74,+'8. KW and Non-Weather Sensitive'!$AT$24))))))))))</f>
        <v>78894594</v>
      </c>
      <c r="I17" s="509">
        <f>IF($B16=$F$65,+'7. Weather Senstive Class'!$C$25,IF($B16=$F$66,+'7. Weather Senstive Class'!$O$25,IF($B16=$F$67,+'7. Weather Senstive Class'!$W$25,IF($B16=$F$68,+'7. Weather Senstive Class'!$AE$25,IF($B16=$F$69,+'7. Weather Senstive Class'!$AM$25,IF($B16=$F$70,+'8. KW and Non-Weather Sensitive'!$E$25,IF($B16=$F$71,+'8. KW and Non-Weather Sensitive'!$P$25,IF($B16=$F$72,+'8. KW and Non-Weather Sensitive'!$Z$25,IF($B16=$F$73,+'8. KW and Non-Weather Sensitive'!$AJ$25,IF($B16=$F$74,+'8. KW and Non-Weather Sensitive'!$AT$25))))))))))</f>
        <v>76058961.349999994</v>
      </c>
      <c r="J17" s="509">
        <f>IF($B16=$F$65,+'7. Weather Senstive Class'!$C$26,IF($B16=$F$66,+'7. Weather Senstive Class'!$O$26,IF($B16=$F$67,+'7. Weather Senstive Class'!$M$26,IF($B16=$F$68,+'7. Weather Senstive Class'!$AE$26,IF($B16=$F$69,+'7. Weather Senstive Class'!$AM$26,IF($B16=$F$70,+'8. KW and Non-Weather Sensitive'!$E$26,IF($B16=$F$71,+'8. KW and Non-Weather Sensitive'!$P$26,IF($B16=$F$72,+'8. KW and Non-Weather Sensitive'!$Z$26,IF($B16=$F$73,+'8. KW and Non-Weather Sensitive'!$AJ$26,IF($B16=$F$74,+'8. KW and Non-Weather Sensitive'!$AT$26))))))))))</f>
        <v>75301012.150000006</v>
      </c>
      <c r="K17" s="509">
        <f>IF($B16=$F$65,+'7. Weather Senstive Class'!$C$27,IF($B16=$F$66,+'7. Weather Senstive Class'!$O$27,IF($B16=$F$67,+'7. Weather Senstive Class'!$W$27,IF($B16=$F$68,+'7. Weather Senstive Class'!$AE$27,IF($B16=$F$69,+'7. Weather Senstive Class'!$AM$27,IF($B16=$F$70,+'8. KW and Non-Weather Sensitive'!$E$27,IF($B16=$F$71,+'8. KW and Non-Weather Sensitive'!$P$27,IF($B16=$F$72,+'8. KW and Non-Weather Sensitive'!$Z$27,IF($B16=$F$73,+'8. KW and Non-Weather Sensitive'!$AJ$27,IF($B16=$F$74,+'8. KW and Non-Weather Sensitive'!$AT$27))))))))))</f>
        <v>79270519.859999999</v>
      </c>
      <c r="L17" s="509">
        <f>IF($B16=$F$65,+'7. Weather Senstive Class'!$C$28,IF($B16=$F$66,+'7. Weather Senstive Class'!$O$28,IF($B16=$F$67,+'7. Weather Senstive Class'!$W$28,IF($B16=$F$68,+'7. Weather Senstive Class'!$AE$28,IF($B16=$F$69,+'7. Weather Senstive Class'!$AM$28,IF($B16=$F$70,+'8. KW and Non-Weather Sensitive'!$E$28,IF($B16=$F$71,+'8. KW and Non-Weather Sensitive'!$P$28,IF($B16=$F$72,+'8. KW and Non-Weather Sensitive'!$Z$28,IF($B16=$F$73,+'8. KW and Non-Weather Sensitive'!$AJ$28,IF($B16=$F$74,+'8. KW and Non-Weather Sensitive'!$AT$28))))))))))</f>
        <v>78553743.920000002</v>
      </c>
      <c r="M17" s="509">
        <f>IF($B16=$F$65,+'7. Weather Senstive Class'!$C$29,IF($B16=$F$66,+'7. Weather Senstive Class'!$O$29,IF($B16=$F$67,+'7. Weather Senstive Class'!$W$29,IF($B16=$F$68,+'7. Weather Senstive Class'!$AE$29,IF($B16=$F$69,+'7. Weather Senstive Class'!$AM$29,IF($B16=$F$70,+'8. KW and Non-Weather Sensitive'!$E$29,IF($B16=$F$71,+'8. KW and Non-Weather Sensitive'!$P$29,IF($B16=$F$72,+'8. KW and Non-Weather Sensitive'!$Z$29,IF($B16=$F$73,+'8. KW and Non-Weather Sensitive'!$AJ$29,IF($B16=$F$74,+'8. KW and Non-Weather Sensitive'!$AT$29))))))))))</f>
        <v>80138213.859999999</v>
      </c>
      <c r="N17" s="509">
        <f>IF($B16=$F$65,+'7. Weather Senstive Class'!$C$30,IF($B16=$F$66,+'7. Weather Senstive Class'!$O$30,IF($B16=$F$67,+'7. Weather Senstive Class'!$W$30,IF($B16=$F$68,+'7. Weather Senstive Class'!$AE$30,IF($B16=$F$69,+'7. Weather Senstive Class'!$AM$30,IF($B16=$F$70,+'8. KW and Non-Weather Sensitive'!$E$30,IF($B16=$F$71,+'8. KW and Non-Weather Sensitive'!$P$30,IF($B16=$F$72,+'8. KW and Non-Weather Sensitive'!$Z$30,IF($B16=$F$73,+'8. KW and Non-Weather Sensitive'!$AJ$30,IF($B16=$F$74,+'8. KW and Non-Weather Sensitive'!$AT$30))))))))))</f>
        <v>79483998.230000004</v>
      </c>
      <c r="O17" s="509">
        <f>IF($B16=$F$65,+'7. Weather Senstive Class'!$H$42,IF($B16=$F$66,+'7. Weather Senstive Class'!$P$42,IF($B16=$F$67,+'7. Weather Senstive Class'!$X$42,IF($B16=$F$68,+'7. Weather Senstive Class'!$AF$42,IF($B16=$F$69,+'7. Weather Senstive Class'!$AN$42,IF($B16=$F$70,+'8. KW and Non-Weather Sensitive'!$I$49,IF($B16=$F$71,+'8. KW and Non-Weather Sensitive'!$T$49,IF($B16=$F$72,+'8. KW and Non-Weather Sensitive'!$AD$49,IF($B16=$F$73,+'8. KW and Non-Weather Sensitive'!$AN$49,IF($B16=$F$74,+'8. KW and Non-Weather Sensitive'!$AX$49))))))))))</f>
        <v>78438793.189758614</v>
      </c>
      <c r="P17" s="510">
        <f>IF($B16=$F$65,+'7. Weather Senstive Class'!$H$43,IF($B16=$F$66,+'7. Weather Senstive Class'!$P$43,IF($B16=$F$67,+'7. Weather Senstive Class'!$X$43,IF($B16=$F$68,+'7. Weather Senstive Class'!$AF$43,IF($B16=$F$69,+'7. Weather Senstive Class'!$AN$43,IF($B16=$F$70,+'8. KW and Non-Weather Sensitive'!$I$50,IF($B16=$F$71,+'8. KW and Non-Weather Sensitive'!$T$50,IF($B16=$F$72,+'8. KW and Non-Weather Sensitive'!$AD$50,IF($B16=$F$73,+'8. KW and Non-Weather Sensitive'!$AN$50,IF($B16=$F$74,+'8. KW and Non-Weather Sensitive'!$AX$50))))))))))</f>
        <v>78268693.128189206</v>
      </c>
    </row>
    <row r="18" spans="2:16" x14ac:dyDescent="0.2">
      <c r="B18" s="89"/>
      <c r="C18" s="778"/>
      <c r="D18" s="59" t="s">
        <v>37</v>
      </c>
      <c r="E18" s="407">
        <f>IF(B$16=$F$70,+'8. KW and Non-Weather Sensitive'!$F$21,IF($B16=$F$71,+'8. KW and Non-Weather Sensitive'!$Q$21,IF($B16=$F$72,+'8. KW and Non-Weather Sensitive'!$AA$21,IF($B16=$F$73,+'8. KW and Non-Weather Sensitive'!$AK$21,+IF($B16=$F$74,+'8. KW and Non-Weather Sensitive'!$AU$21,0)))))</f>
        <v>0</v>
      </c>
      <c r="F18" s="407">
        <f>IF($B16=$F$70,+'8. KW and Non-Weather Sensitive'!$F$22,IF($B16=$F$71,+'8. KW and Non-Weather Sensitive'!$Q$22,IF($B16=$F$72,+'8. KW and Non-Weather Sensitive'!$AA$22,IF($B16=$F$73,+'8. KW and Non-Weather Sensitive'!$AK$22,+IF($B16=$F$74,+'8. KW and Non-Weather Sensitive'!$AU$22,0)))))</f>
        <v>0</v>
      </c>
      <c r="G18" s="407">
        <f>IF($B16=$F$70,+'8. KW and Non-Weather Sensitive'!$F$23,IF($B16=$F$71,+'8. KW and Non-Weather Sensitive'!$Q$23,IF($B16=$F$72,+'8. KW and Non-Weather Sensitive'!$AA$23,IF($B16=$F$73,+'8. KW and Non-Weather Sensitive'!$AK$23,+IF($B16=$F$74,+'8. KW and Non-Weather Sensitive'!$AU$23,0)))))</f>
        <v>0</v>
      </c>
      <c r="H18" s="407">
        <f>IF($B16=$F$70,+'8. KW and Non-Weather Sensitive'!$F$24,IF($B16=$F$71,+'8. KW and Non-Weather Sensitive'!$Q$24,IF($B16=$F$72,+'8. KW and Non-Weather Sensitive'!$AA$24,IF($B16=$F$73,+'8. KW and Non-Weather Sensitive'!$AK$24,+IF($B16=$F$74,+'8. KW and Non-Weather Sensitive'!$AU$24,0)))))</f>
        <v>0</v>
      </c>
      <c r="I18" s="407">
        <f>IF($B16=$F$70,+'8. KW and Non-Weather Sensitive'!$F$25,IF($B16=$F$71,+'8. KW and Non-Weather Sensitive'!$Q$25,IF($B16=$F$72,+'8. KW and Non-Weather Sensitive'!$AA$25,IF($B16=$F$73,+'8. KW and Non-Weather Sensitive'!$AK$25,+IF($B16=$F$74,+'8. KW and Non-Weather Sensitive'!$AU$25,0)))))</f>
        <v>0</v>
      </c>
      <c r="J18" s="407">
        <f>IF($B16=$F$70,+'8. KW and Non-Weather Sensitive'!$F$26,IF($B16=$F$71,+'8. KW and Non-Weather Sensitive'!$Q$26,IF($B16=$F$72,+'8. KW and Non-Weather Sensitive'!$AA$26,IF($B16=$F$73,+'8. KW and Non-Weather Sensitive'!$AK$26,+IF($B16=$F$74,+'8. KW and Non-Weather Sensitive'!$AU$26,0)))))</f>
        <v>0</v>
      </c>
      <c r="K18" s="407">
        <f>IF($B16=$F$70,+'8. KW and Non-Weather Sensitive'!$F$27,IF($B16=$F$71,+'8. KW and Non-Weather Sensitive'!$Q$27,IF($B16=$F$72,+'8. KW and Non-Weather Sensitive'!$AA$27,IF($B16=$F$73,+'8. KW and Non-Weather Sensitive'!$AK$27,+IF($B16=$F$74,+'8. KW and Non-Weather Sensitive'!$AU$27,0)))))</f>
        <v>0</v>
      </c>
      <c r="L18" s="407">
        <f>IF($B16=$F$70,+'8. KW and Non-Weather Sensitive'!$F$28,IF($B16=$F$71,+'8. KW and Non-Weather Sensitive'!$Q$28,IF($B16=$F$72,+'8. KW and Non-Weather Sensitive'!$AA$28,IF($B16=$F$73,+'8. KW and Non-Weather Sensitive'!$AK$28,+IF($B16=$F$74,+'8. KW and Non-Weather Sensitive'!$AU$28,0)))))</f>
        <v>0</v>
      </c>
      <c r="M18" s="407">
        <f>IF($B16=$F$70,+'8. KW and Non-Weather Sensitive'!$F$29,IF($B16=$F$71,+'8. KW and Non-Weather Sensitive'!$Q$29,IF($B16=$F$72,+'8. KW and Non-Weather Sensitive'!$AA$29,IF($B16=$F$73,+'8. KW and Non-Weather Sensitive'!$AK$29,+IF($B16=$F$74,+'8. KW and Non-Weather Sensitive'!$AU$29,0)))))</f>
        <v>0</v>
      </c>
      <c r="N18" s="407">
        <f>IF($B16=$F$70,+'8. KW and Non-Weather Sensitive'!$F$30,IF($B16=$F$71,+'8. KW and Non-Weather Sensitive'!$Q$30,IF($B16=$F$72,+'8. KW and Non-Weather Sensitive'!$AA$30,IF($B16=$F$73,+'8. KW and Non-Weather Sensitive'!$AK$30,+IF($B16=$F$74,+'8. KW and Non-Weather Sensitive'!$AU$30,0)))))</f>
        <v>0</v>
      </c>
      <c r="O18" s="407">
        <f>IF($B16=$F$70,+'8. KW and Non-Weather Sensitive'!$J$49,IF($B16=$F$71,+'8. KW and Non-Weather Sensitive'!$U$49,IF($B16=$F$72,+'8. KW and Non-Weather Sensitive'!$AE$49,IF($B16=$F$73,+'8. KW and Non-Weather Sensitive'!$AO$49,+IF($B16=$F$74,+'8. KW and Non-Weather Sensitive'!$AY$49,0)))))</f>
        <v>0</v>
      </c>
      <c r="P18" s="511">
        <f>IF($B16=$F$70,+'8. KW and Non-Weather Sensitive'!$J$50,IF($B16=$F$71,+'8. KW and Non-Weather Sensitive'!$U$50,IF($B16=$F$72,+'8. KW and Non-Weather Sensitive'!$AE$50,IF($B16=$F$73,+'8. KW and Non-Weather Sensitive'!$AO$50,+IF($B16=$F$74,+'8. KW and Non-Weather Sensitive'!$AY$50,0)))))</f>
        <v>0</v>
      </c>
    </row>
    <row r="19" spans="2:16" x14ac:dyDescent="0.2">
      <c r="B19" s="89"/>
      <c r="C19" s="778"/>
      <c r="D19" s="59"/>
      <c r="E19" s="407"/>
      <c r="F19" s="407"/>
      <c r="G19" s="407"/>
      <c r="H19" s="407"/>
      <c r="I19" s="407"/>
      <c r="J19" s="407"/>
      <c r="K19" s="407"/>
      <c r="L19" s="407"/>
      <c r="M19" s="407"/>
      <c r="N19" s="407"/>
      <c r="O19" s="408"/>
      <c r="P19" s="409"/>
    </row>
    <row r="20" spans="2:16" x14ac:dyDescent="0.2">
      <c r="B20" s="762" t="s">
        <v>194</v>
      </c>
      <c r="C20" s="777" t="str">
        <f>IF($B20=$F$65,+$B$65,+IF($B20=$F$66,+$B$66,+IF($B20=$F$67,+$B$67,+IF($B20=$F$67,$B$67,+IF($B20=$F$68,+$B$68,+IF($B20=$F$69,+$B$69,+IF($B20=$F$70,+$B$70,+IF($B20=$F$71,+$B$71,+IF($B20=$F$72,+$B$72,+IF($B20=$F$73,+$B$73,+IF($B20=$F$74,+$B$74)))))))))))</f>
        <v>General Service &lt; 50 kW</v>
      </c>
      <c r="D20" s="88" t="s">
        <v>131</v>
      </c>
      <c r="E20" s="509">
        <f>IF($C20='4. Customer Growth'!$C$15,+'4. Customer Growth'!$C$17,+IF($C20='4. Customer Growth'!$E$15,+'4. Customer Growth'!$E$17,+IF($C20='4. Customer Growth'!$G$15,+'4. Customer Growth'!$G$17,+IF($C20='4. Customer Growth'!$I$15,+'4. Customer Growth'!$I$17,+IF($C20='4. Customer Growth'!$K$15,+'4. Customer Growth'!$K$17,+IF($C20='4. Customer Growth'!$M$15,+'4. Customer Growth'!$M$17,IF($C20='4. Customer Growth'!$O$15,+'4. Customer Growth'!$O$17)))))))</f>
        <v>1496</v>
      </c>
      <c r="F20" s="509">
        <f>IF($C20='4. Customer Growth'!$C$15,+'4. Customer Growth'!$C$18,+IF($C20='4. Customer Growth'!$E$15,+'4. Customer Growth'!$E$18,+IF($C20='4. Customer Growth'!$G$15,+'4. Customer Growth'!$G$18,+IF($C20='4. Customer Growth'!$I$15,+'4. Customer Growth'!$I$18,+IF($C20='4. Customer Growth'!$K$15,+'4. Customer Growth'!$K$18,+IF($C20='4. Customer Growth'!$M$15,+'4. Customer Growth'!$M$18,IF($C20='4. Customer Growth'!$O$15,+'4. Customer Growth'!$O$18)))))))</f>
        <v>1449</v>
      </c>
      <c r="G20" s="509">
        <f>IF($C20='4. Customer Growth'!$C$15,+'4. Customer Growth'!$C$19,+IF($C20='4. Customer Growth'!$E$15,+'4. Customer Growth'!$E$19,+IF($C20='4. Customer Growth'!$G$15,+'4. Customer Growth'!$G$19,+IF($C20='4. Customer Growth'!$I$15,+'4. Customer Growth'!$I$19,+IF($C20='4. Customer Growth'!$K$15,+'4. Customer Growth'!$K$19,+IF($C20='4. Customer Growth'!$M$15,+'4. Customer Growth'!$M$19,IF($C20='4. Customer Growth'!$O$15,+'4. Customer Growth'!$O$19)))))))</f>
        <v>1442</v>
      </c>
      <c r="H20" s="509">
        <f>IF($C20='4. Customer Growth'!$C$15,+'4. Customer Growth'!$C$20,+IF($C20='4. Customer Growth'!$E$15,+'4. Customer Growth'!$E$20,+IF($C20='4. Customer Growth'!$G$15,+'4. Customer Growth'!$G$20,+IF($C20='4. Customer Growth'!$I$15,+'4. Customer Growth'!$I$20,+IF($C20='4. Customer Growth'!$K$15,+'4. Customer Growth'!$K$20,+IF($C20='4. Customer Growth'!$M$15,+'4. Customer Growth'!$M$20,IF($C20='4. Customer Growth'!$O$15,+'4. Customer Growth'!$O$20)))))))</f>
        <v>1409</v>
      </c>
      <c r="I20" s="509">
        <f>IF($C20='4. Customer Growth'!$C$15,+'4. Customer Growth'!$C$21,+IF($C20='4. Customer Growth'!$E$15,+'4. Customer Growth'!$E$21,+IF($C20='4. Customer Growth'!$G$15,+'4. Customer Growth'!$G$21,+IF($C20='4. Customer Growth'!$I$15,+'4. Customer Growth'!$I$21,+IF($C20='4. Customer Growth'!$K$15,+'4. Customer Growth'!$K$21,+IF($C20='4. Customer Growth'!$M$15,+'4. Customer Growth'!$M$21,IF($C20='4. Customer Growth'!$O$15,+'4. Customer Growth'!$O$21)))))))</f>
        <v>1394</v>
      </c>
      <c r="J20" s="509">
        <f>IF($C20='4. Customer Growth'!$C$15,+'4. Customer Growth'!$C$22,+IF($C20='4. Customer Growth'!$E$15,+'4. Customer Growth'!$E$22,+IF($C20='4. Customer Growth'!$G$15,+'4. Customer Growth'!$G$22,+IF($C20='4. Customer Growth'!$I$15,+'4. Customer Growth'!$I$22,+IF($C20='4. Customer Growth'!$K$15,+'4. Customer Growth'!$K$22,+IF($C20='4. Customer Growth'!$M$15,+'4. Customer Growth'!$M$22,IF($C20='4. Customer Growth'!$O$15,+'4. Customer Growth'!$O$22)))))))</f>
        <v>1372</v>
      </c>
      <c r="K20" s="509">
        <f>IF($C20='4. Customer Growth'!$C$15,+'4. Customer Growth'!$C$23,+IF($C20='4. Customer Growth'!$E$15,+'4. Customer Growth'!$E$23,+IF($C20='4. Customer Growth'!$G$15,+'4. Customer Growth'!$G$23,+IF($C20='4. Customer Growth'!$I$15,+'4. Customer Growth'!$I$23,+IF($C20='4. Customer Growth'!$K$15,+'4. Customer Growth'!$K$23,+IF($C20='4. Customer Growth'!$M$15,+'4. Customer Growth'!$M$23,IF($C20='4. Customer Growth'!$O$15,+'4. Customer Growth'!$O$23)))))))</f>
        <v>1370</v>
      </c>
      <c r="L20" s="509">
        <f>IF($C20='4. Customer Growth'!$C$15,+'4. Customer Growth'!$C$24,+IF($C20='4. Customer Growth'!$E$15,+'4. Customer Growth'!$E$24,+IF($C20='4. Customer Growth'!$G$15,+'4. Customer Growth'!$G$24,+IF($C20='4. Customer Growth'!$I$15,+'4. Customer Growth'!$I$24,+IF($C20='4. Customer Growth'!$K$15,+'4. Customer Growth'!$K$24,+IF($C20='4. Customer Growth'!$M$15,+'4. Customer Growth'!$M$24,IF($C20='4. Customer Growth'!$O$15,+'4. Customer Growth'!$O$24)))))))</f>
        <v>1361.5</v>
      </c>
      <c r="M20" s="509">
        <f>IF($C20='4. Customer Growth'!$C$15,+'4. Customer Growth'!$C$25,+IF($C20='4. Customer Growth'!$E$15,+'4. Customer Growth'!$E$25,+IF($C20='4. Customer Growth'!$G$15,+'4. Customer Growth'!$G$25,+IF($C20='4. Customer Growth'!$I$15,+'4. Customer Growth'!$I$25,+IF($C20='4. Customer Growth'!$K$15,+'4. Customer Growth'!$K$25,+IF($C20='4. Customer Growth'!$M$15,+'4. Customer Growth'!$M$25,IF($C20='4. Customer Growth'!$O$15,+'4. Customer Growth'!$O$25)))))))</f>
        <v>1332.5</v>
      </c>
      <c r="N20" s="509">
        <f>IF($C20='4. Customer Growth'!$C$15,+'4. Customer Growth'!$C$26,+IF($C20='4. Customer Growth'!$E$15,+'4. Customer Growth'!$E$26,+IF($C20='4. Customer Growth'!$G$15,+'4. Customer Growth'!$G$26,+IF($C20='4. Customer Growth'!$I$15,+'4. Customer Growth'!$I$26,+IF($C20='4. Customer Growth'!$K$15,+'4. Customer Growth'!$K$26,+IF($C20='4. Customer Growth'!$M$15,+'4. Customer Growth'!$M$26,IF($C20='4. Customer Growth'!$O$15,+'4. Customer Growth'!$O$26)))))))</f>
        <v>1318</v>
      </c>
      <c r="O20" s="509">
        <f>IF($C20='4. Customer Growth'!$C$15,+'4. Customer Growth'!$C$42,+IF($C20='4. Customer Growth'!$E$15,+'4. Customer Growth'!$E$42,+IF($C20='4. Customer Growth'!$G$15,+'4. Customer Growth'!$G$42,+IF($C20='4. Customer Growth'!$I$15,+'4. Customer Growth'!$I$42,+IF($C20='4. Customer Growth'!$K$15,+'4. Customer Growth'!$K$42,+IF($C20='4. Customer Growth'!$M$15,+'4. Customer Growth'!$M$42,IF($C20='4. Customer Growth'!$O$15,+'4. Customer Growth'!$O$42)))))))</f>
        <v>1299.5784496245794</v>
      </c>
      <c r="P20" s="510">
        <f>IF($C20='4. Customer Growth'!$C$15,+'4. Customer Growth'!$C$43,+IF($C20='4. Customer Growth'!$E$15,+'4. Customer Growth'!$E$43,+IF($C20='4. Customer Growth'!$G$15,+'4. Customer Growth'!$G$43,+IF($C20='4. Customer Growth'!$I$15,+'4. Customer Growth'!$I$43,+IF($C20='4. Customer Growth'!$K$15,+'4. Customer Growth'!$K$43,+IF($C20='4. Customer Growth'!$M$15,+'4. Customer Growth'!$M$43,IF($C20='4. Customer Growth'!$O$15,+'4. Customer Growth'!$O$43)))))))</f>
        <v>1281.4143753631454</v>
      </c>
    </row>
    <row r="21" spans="2:16" x14ac:dyDescent="0.2">
      <c r="B21" s="89"/>
      <c r="C21" s="778"/>
      <c r="D21" s="59" t="s">
        <v>36</v>
      </c>
      <c r="E21" s="509">
        <f>IF($B20=$F$65,+'7. Weather Senstive Class'!$G$21,IF($B20=$F$66,+'7. Weather Senstive Class'!$K$21,IF($B20=$F$67,+'7. Weather Senstive Class'!$W$21,IF($B20=$F$68,+'7. Weather Senstive Class'!$AE$21,IF($B20=$F$69,+'7. Weather Senstive Class'!$AM$21,IF($B20=$F$70,+'8. KW and Non-Weather Sensitive'!$E$21,IF($B20=$F$71,+'8. KW and Non-Weather Sensitive'!$P$21,IF($B20=$F$72,+'8. KW and Non-Weather Sensitive'!$Z$21,IF($B20=$F$73,+'8. KW and Non-Weather Sensitive'!$AJ$21,IF($B20=$F$74,+'8. KW and Non-Weather Sensitive'!$AT$21))))))))))</f>
        <v>43814909</v>
      </c>
      <c r="F21" s="509">
        <f>IF($B20=$F$65,+'7. Weather Senstive Class'!$G$22,IF($B20=$F$66,+'7. Weather Senstive Class'!$K$22,IF($B20=$F$67,+'7. Weather Senstive Class'!$W$22,IF($B20=$F$68,+'7. Weather Senstive Class'!$AE$22,IF($B20=$F$69,+'7. Weather Senstive Class'!$AM$22,IF($B20=$F$70,+'8. KW and Non-Weather Sensitive'!$E$22,IF($B20=$F$71,+'8. KW and Non-Weather Sensitive'!$P$22,IF($B20=$F$72,+'8. KW and Non-Weather Sensitive'!$Z$22,IF($B20=$F$73,+'8. KW and Non-Weather Sensitive'!$AJ$22,IF($B20=$F$74,+'8. KW and Non-Weather Sensitive'!$AT$22))))))))))</f>
        <v>39580098</v>
      </c>
      <c r="G21" s="509">
        <f>IF($B20=$F$65,+'7. Weather Senstive Class'!$G$23,IF($B20=$F$66,+'7. Weather Senstive Class'!$K$23,IF($B20=$F$67,+'7. Weather Senstive Class'!$W$23,IF($B20=$F$68,+'7. Weather Senstive Class'!$AE$23,IF($B20=$F$69,+'7. Weather Senstive Class'!$AM$23,IF($B20=$F$70,+'8. KW and Non-Weather Sensitive'!$E$23,IF($B20=$F$71,+'8. KW and Non-Weather Sensitive'!$P$23,IF($B20=$F$72,+'8. KW and Non-Weather Sensitive'!$Z$23,IF($B20=$F$73,+'8. KW and Non-Weather Sensitive'!$AJ$23,IF($B20=$F$74,+'8. KW and Non-Weather Sensitive'!$AT$23))))))))))</f>
        <v>35721757</v>
      </c>
      <c r="H21" s="509">
        <f>IF($B20=$F$65,+'7. Weather Senstive Class'!$G$24,IF($B20=$F$66,+'7. Weather Senstive Class'!$K$24,IF($B20=$F$67,+'7. Weather Senstive Class'!$W$24,IF($B20=$F$68,+'7. Weather Senstive Class'!$AE$24,IF($B20=$F$69,+'7. Weather Senstive Class'!$AM$24,IF($B20=$F$70,+'8. KW and Non-Weather Sensitive'!$E$24,IF($B20=$F$71,+'8. KW and Non-Weather Sensitive'!$P$24,IF($B20=$F$72,+'8. KW and Non-Weather Sensitive'!$Z$24,IF($B20=$F$73,+'8. KW and Non-Weather Sensitive'!$AJ$24,IF($B20=$F$74,+'8. KW and Non-Weather Sensitive'!$AT$24))))))))))</f>
        <v>35801702</v>
      </c>
      <c r="I21" s="509">
        <f>IF($B20=$F$65,+'7. Weather Senstive Class'!$G$25,IF($B20=$F$66,+'7. Weather Senstive Class'!$K$25,IF($B20=$F$67,+'7. Weather Senstive Class'!$W$25,IF($B20=$F$68,+'7. Weather Senstive Class'!$AE$25,IF($B20=$F$69,+'7. Weather Senstive Class'!$AM$25,IF($B20=$F$70,+'8. KW and Non-Weather Sensitive'!$E$25,IF($B20=$F$71,+'8. KW and Non-Weather Sensitive'!$P$25,IF($B20=$F$72,+'8. KW and Non-Weather Sensitive'!$Z$25,IF($B20=$F$73,+'8. KW and Non-Weather Sensitive'!$AJ$25,IF($B20=$F$74,+'8. KW and Non-Weather Sensitive'!$AT$25))))))))))</f>
        <v>34198078.359999999</v>
      </c>
      <c r="J21" s="509">
        <f>IF($B20=$F$65,+'7. Weather Senstive Class'!$G$26,IF($B20=$F$66,+'7. Weather Senstive Class'!$K$26,IF($B20=$F$67,+'7. Weather Senstive Class'!$M$26,IF($B20=$F$68,+'7. Weather Senstive Class'!$AE$26,IF($B20=$F$69,+'7. Weather Senstive Class'!$AM$26,IF($B20=$F$70,+'8. KW and Non-Weather Sensitive'!$E$26,IF($B20=$F$71,+'8. KW and Non-Weather Sensitive'!$P$26,IF($B20=$F$72,+'8. KW and Non-Weather Sensitive'!$Z$26,IF($B20=$F$73,+'8. KW and Non-Weather Sensitive'!$AJ$26,IF($B20=$F$74,+'8. KW and Non-Weather Sensitive'!$AT$26))))))))))</f>
        <v>33358216.629999999</v>
      </c>
      <c r="K21" s="509">
        <f>IF($B20=$F$65,+'7. Weather Senstive Class'!$G$27,IF($B20=$F$66,+'7. Weather Senstive Class'!$K$27,IF($B20=$F$67,+'7. Weather Senstive Class'!$W$27,IF($B20=$F$68,+'7. Weather Senstive Class'!$AE$27,IF($B20=$F$69,+'7. Weather Senstive Class'!$AM$27,IF($B20=$F$70,+'8. KW and Non-Weather Sensitive'!$E$27,IF($B20=$F$71,+'8. KW and Non-Weather Sensitive'!$P$27,IF($B20=$F$72,+'8. KW and Non-Weather Sensitive'!$Z$27,IF($B20=$F$73,+'8. KW and Non-Weather Sensitive'!$AJ$27,IF($B20=$F$74,+'8. KW and Non-Weather Sensitive'!$AT$27))))))))))</f>
        <v>32279016.170000002</v>
      </c>
      <c r="L21" s="509">
        <f>IF($B20=$F$65,+'7. Weather Senstive Class'!$G$28,IF($B20=$F$66,+'7. Weather Senstive Class'!$K$28,IF($B20=$F$67,+'7. Weather Senstive Class'!$W$28,IF($B20=$F$68,+'7. Weather Senstive Class'!$AE$28,IF($B20=$F$69,+'7. Weather Senstive Class'!$AM$28,IF($B20=$F$70,+'8. KW and Non-Weather Sensitive'!$E$28,IF($B20=$F$71,+'8. KW and Non-Weather Sensitive'!$P$28,IF($B20=$F$72,+'8. KW and Non-Weather Sensitive'!$Z$28,IF($B20=$F$73,+'8. KW and Non-Weather Sensitive'!$AJ$28,IF($B20=$F$74,+'8. KW and Non-Weather Sensitive'!$AT$28))))))))))</f>
        <v>31948521.120000001</v>
      </c>
      <c r="M21" s="509">
        <f>IF($B20=$F$65,+'7. Weather Senstive Class'!$G$29,IF($B20=$F$66,+'7. Weather Senstive Class'!$K$29,IF($B20=$F$67,+'7. Weather Senstive Class'!$W$29,IF($B20=$F$68,+'7. Weather Senstive Class'!$AE$29,IF($B20=$F$69,+'7. Weather Senstive Class'!$AM$29,IF($B20=$F$70,+'8. KW and Non-Weather Sensitive'!$E$29,IF($B20=$F$71,+'8. KW and Non-Weather Sensitive'!$P$29,IF($B20=$F$72,+'8. KW and Non-Weather Sensitive'!$Z$29,IF($B20=$F$73,+'8. KW and Non-Weather Sensitive'!$AJ$29,IF($B20=$F$74,+'8. KW and Non-Weather Sensitive'!$AT$29))))))))))</f>
        <v>31708039.23</v>
      </c>
      <c r="N21" s="509">
        <f>IF($B20=$F$65,+'7. Weather Senstive Class'!$G$30,IF($B20=$F$66,+'7. Weather Senstive Class'!$K$30,IF($B20=$F$67,+'7. Weather Senstive Class'!$W$30,IF($B20=$F$68,+'7. Weather Senstive Class'!$AE$30,IF($B20=$F$69,+'7. Weather Senstive Class'!$AM$30,IF($B20=$F$70,+'8. KW and Non-Weather Sensitive'!$E$30,IF($B20=$F$71,+'8. KW and Non-Weather Sensitive'!$P$30,IF($B20=$F$72,+'8. KW and Non-Weather Sensitive'!$Z$30,IF($B20=$F$73,+'8. KW and Non-Weather Sensitive'!$AJ$30,IF($B20=$F$74,+'8. KW and Non-Weather Sensitive'!$AT$30))))))))))</f>
        <v>31649726.120000001</v>
      </c>
      <c r="O21" s="509">
        <f>IF($B20=$F$65,+'7. Weather Senstive Class'!$H$42,IF($B20=$F$66,+'7. Weather Senstive Class'!$P$42,IF($B20=$F$67,+'7. Weather Senstive Class'!$X$42,IF($B20=$F$68,+'7. Weather Senstive Class'!$AF$42,IF($B20=$F$69,+'7. Weather Senstive Class'!$AN$42,IF($B20=$F$70,+'8. KW and Non-Weather Sensitive'!$I$49,IF($B20=$F$71,+'8. KW and Non-Weather Sensitive'!$T$49,IF($B20=$F$72,+'8. KW and Non-Weather Sensitive'!$AD$49,IF($B20=$F$73,+'8. KW and Non-Weather Sensitive'!$AN$49,IF($B20=$F$74,+'8. KW and Non-Weather Sensitive'!$AX$49))))))))))</f>
        <v>34953791.57291279</v>
      </c>
      <c r="P21" s="510">
        <f>IF($B20=$F$65,+'7. Weather Senstive Class'!$H$43,IF($B20=$F$66,+'7. Weather Senstive Class'!$P$43,IF($B20=$F$67,+'7. Weather Senstive Class'!$X$43,IF($B20=$F$68,+'7. Weather Senstive Class'!$AF$43,IF($B20=$F$69,+'7. Weather Senstive Class'!$AN$43,IF($B20=$F$70,+'8. KW and Non-Weather Sensitive'!$I$50,IF($B20=$F$71,+'8. KW and Non-Weather Sensitive'!$T$50,IF($B20=$F$72,+'8. KW and Non-Weather Sensitive'!$AD$50,IF($B20=$F$73,+'8. KW and Non-Weather Sensitive'!$AN$50,IF($B20=$F$74,+'8. KW and Non-Weather Sensitive'!$AX$50))))))))))</f>
        <v>34877991.807811193</v>
      </c>
    </row>
    <row r="22" spans="2:16" x14ac:dyDescent="0.2">
      <c r="B22" s="89"/>
      <c r="C22" s="778"/>
      <c r="D22" s="59" t="s">
        <v>37</v>
      </c>
      <c r="E22" s="407">
        <f>IF(B$16=$F$70,+'8. KW and Non-Weather Sensitive'!$F$21,IF($B20=$F$71,+'8. KW and Non-Weather Sensitive'!$Q$21,IF($B20=$F$72,+'8. KW and Non-Weather Sensitive'!$AA$21,IF($B20=$F$73,+'8. KW and Non-Weather Sensitive'!$AK$21,+IF($B20=$F$74,+'8. KW and Non-Weather Sensitive'!$AU$21,0)))))</f>
        <v>0</v>
      </c>
      <c r="F22" s="407">
        <f>IF($B20=$F$70,+'8. KW and Non-Weather Sensitive'!$F$22,IF($B20=$F$71,+'8. KW and Non-Weather Sensitive'!$Q$22,IF($B20=$F$72,+'8. KW and Non-Weather Sensitive'!$AA$22,IF($B20=$F$73,+'8. KW and Non-Weather Sensitive'!$AK$22,+IF($B20=$F$74,+'8. KW and Non-Weather Sensitive'!$AU$22,0)))))</f>
        <v>0</v>
      </c>
      <c r="G22" s="407">
        <f>IF($B20=$F$70,+'8. KW and Non-Weather Sensitive'!$F$23,IF($B20=$F$71,+'8. KW and Non-Weather Sensitive'!$Q$23,IF($B20=$F$72,+'8. KW and Non-Weather Sensitive'!$AA$23,IF($B20=$F$73,+'8. KW and Non-Weather Sensitive'!$AK$23,+IF($B20=$F$74,+'8. KW and Non-Weather Sensitive'!$AU$23,0)))))</f>
        <v>0</v>
      </c>
      <c r="H22" s="407">
        <f>IF($B20=$F$70,+'8. KW and Non-Weather Sensitive'!$F$24,IF($B20=$F$71,+'8. KW and Non-Weather Sensitive'!$Q$24,IF($B20=$F$72,+'8. KW and Non-Weather Sensitive'!$AA$24,IF($B20=$F$73,+'8. KW and Non-Weather Sensitive'!$AK$24,+IF($B20=$F$74,+'8. KW and Non-Weather Sensitive'!$AU$24,0)))))</f>
        <v>0</v>
      </c>
      <c r="I22" s="407">
        <f>IF($B20=$F$70,+'8. KW and Non-Weather Sensitive'!$F$25,IF($B20=$F$71,+'8. KW and Non-Weather Sensitive'!$Q$25,IF($B20=$F$72,+'8. KW and Non-Weather Sensitive'!$AA$25,IF($B20=$F$73,+'8. KW and Non-Weather Sensitive'!$AK$25,+IF($B20=$F$74,+'8. KW and Non-Weather Sensitive'!$AU$25,0)))))</f>
        <v>0</v>
      </c>
      <c r="J22" s="407">
        <f>IF($B20=$F$70,+'8. KW and Non-Weather Sensitive'!$F$26,IF($B20=$F$71,+'8. KW and Non-Weather Sensitive'!$Q$26,IF($B20=$F$72,+'8. KW and Non-Weather Sensitive'!$AA$26,IF($B20=$F$73,+'8. KW and Non-Weather Sensitive'!$AK$26,+IF($B20=$F$74,+'8. KW and Non-Weather Sensitive'!$AU$26,0)))))</f>
        <v>0</v>
      </c>
      <c r="K22" s="407">
        <f>IF($B20=$F$70,+'8. KW and Non-Weather Sensitive'!$F$27,IF($B20=$F$71,+'8. KW and Non-Weather Sensitive'!$Q$27,IF($B20=$F$72,+'8. KW and Non-Weather Sensitive'!$AA$27,IF($B20=$F$73,+'8. KW and Non-Weather Sensitive'!$AK$27,+IF($B20=$F$74,+'8. KW and Non-Weather Sensitive'!$AU$27,0)))))</f>
        <v>0</v>
      </c>
      <c r="L22" s="407">
        <f>IF($B20=$F$70,+'8. KW and Non-Weather Sensitive'!$F$28,IF($B20=$F$71,+'8. KW and Non-Weather Sensitive'!$Q$28,IF($B20=$F$72,+'8. KW and Non-Weather Sensitive'!$AA$28,IF($B20=$F$73,+'8. KW and Non-Weather Sensitive'!$AK$28,+IF($B20=$F$74,+'8. KW and Non-Weather Sensitive'!$AU$28,0)))))</f>
        <v>0</v>
      </c>
      <c r="M22" s="407">
        <f>IF($B20=$F$70,+'8. KW and Non-Weather Sensitive'!$F$29,IF($B20=$F$71,+'8. KW and Non-Weather Sensitive'!$Q$29,IF($B20=$F$72,+'8. KW and Non-Weather Sensitive'!$AA$29,IF($B20=$F$73,+'8. KW and Non-Weather Sensitive'!$AK$29,+IF($B20=$F$74,+'8. KW and Non-Weather Sensitive'!$AU$29,0)))))</f>
        <v>0</v>
      </c>
      <c r="N22" s="407">
        <f>IF($B20=$F$70,+'8. KW and Non-Weather Sensitive'!$F$30,IF($B20=$F$71,+'8. KW and Non-Weather Sensitive'!$Q$30,IF($B20=$F$72,+'8. KW and Non-Weather Sensitive'!$AA$30,IF($B20=$F$73,+'8. KW and Non-Weather Sensitive'!$AK$30,+IF($B20=$F$74,+'8. KW and Non-Weather Sensitive'!$AU$30,0)))))</f>
        <v>0</v>
      </c>
      <c r="O22" s="407">
        <f>IF($B20=$F$70,+'8. KW and Non-Weather Sensitive'!$J$49,IF($B20=$F$71,+'8. KW and Non-Weather Sensitive'!$U$49,IF($B20=$F$72,+'8. KW and Non-Weather Sensitive'!$AE$49,IF($B20=$F$73,+'8. KW and Non-Weather Sensitive'!$AO$49,+IF($B20=$F$74,+'8. KW and Non-Weather Sensitive'!$AY$49,0)))))</f>
        <v>0</v>
      </c>
      <c r="P22" s="511">
        <f>IF($B20=$F$70,+'8. KW and Non-Weather Sensitive'!$J$50,IF($B20=$F$71,+'8. KW and Non-Weather Sensitive'!$U$50,IF($B20=$F$72,+'8. KW and Non-Weather Sensitive'!$AE$50,IF($B20=$F$73,+'8. KW and Non-Weather Sensitive'!$AO$50,+IF($B20=$F$74,+'8. KW and Non-Weather Sensitive'!$AY$50,0)))))</f>
        <v>0</v>
      </c>
    </row>
    <row r="23" spans="2:16" x14ac:dyDescent="0.2">
      <c r="B23" s="89"/>
      <c r="C23" s="778"/>
      <c r="D23" s="59"/>
      <c r="E23" s="407"/>
      <c r="F23" s="407"/>
      <c r="G23" s="407"/>
      <c r="H23" s="407"/>
      <c r="I23" s="407"/>
      <c r="J23" s="407"/>
      <c r="K23" s="407"/>
      <c r="L23" s="407"/>
      <c r="M23" s="407"/>
      <c r="N23" s="407"/>
      <c r="O23" s="408"/>
      <c r="P23" s="409"/>
    </row>
    <row r="24" spans="2:16" x14ac:dyDescent="0.2">
      <c r="B24" s="762" t="s">
        <v>276</v>
      </c>
      <c r="C24" s="777" t="str">
        <f>IF($B24=$F$65,+$B$65,+IF($B24=$F$66,+$B$66,+IF($B24=$F$67,+$B$67,+IF($B24=$F$67,$B$67,+IF($B24=$F$68,+$B$68,+IF($B24=$F$69,+$B$69,+IF($B24=$F$70,+$B$70,+IF($B24=$F$71,+$B$71,+IF($B24=$F$72,+$B$72,+IF($B24=$F$73,+$B$73,+IF($B24=$F$74,+$B$74)))))))))))</f>
        <v>Unmetered Scattered Load</v>
      </c>
      <c r="D24" s="88" t="s">
        <v>131</v>
      </c>
      <c r="E24" s="509">
        <f>IF($C24='4. Customer Growth'!$C$15,+'4. Customer Growth'!$C$17,+IF($C24='4. Customer Growth'!$E$15,+'4. Customer Growth'!$E$17,+IF($C24='4. Customer Growth'!$G$15,+'4. Customer Growth'!$G$17,+IF($C24='4. Customer Growth'!$I$15,+'4. Customer Growth'!$I$17,+IF($C24='4. Customer Growth'!$K$15,+'4. Customer Growth'!$K$17,+IF($C24='4. Customer Growth'!$M$15,+'4. Customer Growth'!$M$17,IF($C24='4. Customer Growth'!$O$15,+'4. Customer Growth'!$O$17)))))))</f>
        <v>17</v>
      </c>
      <c r="F24" s="509">
        <f>IF($C24='4. Customer Growth'!$C$15,+'4. Customer Growth'!$C$18,+IF($C24='4. Customer Growth'!$E$15,+'4. Customer Growth'!$E$18,+IF($C24='4. Customer Growth'!$G$15,+'4. Customer Growth'!$G$18,+IF($C24='4. Customer Growth'!$I$15,+'4. Customer Growth'!$I$18,+IF($C24='4. Customer Growth'!$K$15,+'4. Customer Growth'!$K$18,+IF($C24='4. Customer Growth'!$M$15,+'4. Customer Growth'!$M$18,IF($C24='4. Customer Growth'!$O$15,+'4. Customer Growth'!$O$18)))))))</f>
        <v>20</v>
      </c>
      <c r="G24" s="509">
        <f>IF($C24='4. Customer Growth'!$C$15,+'4. Customer Growth'!$C$19,+IF($C24='4. Customer Growth'!$E$15,+'4. Customer Growth'!$E$19,+IF($C24='4. Customer Growth'!$G$15,+'4. Customer Growth'!$G$19,+IF($C24='4. Customer Growth'!$I$15,+'4. Customer Growth'!$I$19,+IF($C24='4. Customer Growth'!$K$15,+'4. Customer Growth'!$K$19,+IF($C24='4. Customer Growth'!$M$15,+'4. Customer Growth'!$M$19,IF($C24='4. Customer Growth'!$O$15,+'4. Customer Growth'!$O$19)))))))</f>
        <v>20</v>
      </c>
      <c r="H24" s="509">
        <f>IF($C24='4. Customer Growth'!$C$15,+'4. Customer Growth'!$C$20,+IF($C24='4. Customer Growth'!$E$15,+'4. Customer Growth'!$E$20,+IF($C24='4. Customer Growth'!$G$15,+'4. Customer Growth'!$G$20,+IF($C24='4. Customer Growth'!$I$15,+'4. Customer Growth'!$I$20,+IF($C24='4. Customer Growth'!$K$15,+'4. Customer Growth'!$K$20,+IF($C24='4. Customer Growth'!$M$15,+'4. Customer Growth'!$M$20,IF($C24='4. Customer Growth'!$O$15,+'4. Customer Growth'!$O$20)))))))</f>
        <v>20</v>
      </c>
      <c r="I24" s="509">
        <f>IF($C24='4. Customer Growth'!$C$15,+'4. Customer Growth'!$C$21,+IF($C24='4. Customer Growth'!$E$15,+'4. Customer Growth'!$E$21,+IF($C24='4. Customer Growth'!$G$15,+'4. Customer Growth'!$G$21,+IF($C24='4. Customer Growth'!$I$15,+'4. Customer Growth'!$I$21,+IF($C24='4. Customer Growth'!$K$15,+'4. Customer Growth'!$K$21,+IF($C24='4. Customer Growth'!$M$15,+'4. Customer Growth'!$M$21,IF($C24='4. Customer Growth'!$O$15,+'4. Customer Growth'!$O$21)))))))</f>
        <v>20</v>
      </c>
      <c r="J24" s="509">
        <f>IF($C24='4. Customer Growth'!$C$15,+'4. Customer Growth'!$C$22,+IF($C24='4. Customer Growth'!$E$15,+'4. Customer Growth'!$E$22,+IF($C24='4. Customer Growth'!$G$15,+'4. Customer Growth'!$G$22,+IF($C24='4. Customer Growth'!$I$15,+'4. Customer Growth'!$I$22,+IF($C24='4. Customer Growth'!$K$15,+'4. Customer Growth'!$K$22,+IF($C24='4. Customer Growth'!$M$15,+'4. Customer Growth'!$M$22,IF($C24='4. Customer Growth'!$O$15,+'4. Customer Growth'!$O$22)))))))</f>
        <v>20</v>
      </c>
      <c r="K24" s="509">
        <f>IF($C24='4. Customer Growth'!$C$15,+'4. Customer Growth'!$C$23,+IF($C24='4. Customer Growth'!$E$15,+'4. Customer Growth'!$E$23,+IF($C24='4. Customer Growth'!$G$15,+'4. Customer Growth'!$G$23,+IF($C24='4. Customer Growth'!$I$15,+'4. Customer Growth'!$I$23,+IF($C24='4. Customer Growth'!$K$15,+'4. Customer Growth'!$K$23,+IF($C24='4. Customer Growth'!$M$15,+'4. Customer Growth'!$M$23,IF($C24='4. Customer Growth'!$O$15,+'4. Customer Growth'!$O$23)))))))</f>
        <v>20</v>
      </c>
      <c r="L24" s="509">
        <f>IF($C24='4. Customer Growth'!$C$15,+'4. Customer Growth'!$C$24,+IF($C24='4. Customer Growth'!$E$15,+'4. Customer Growth'!$E$24,+IF($C24='4. Customer Growth'!$G$15,+'4. Customer Growth'!$G$24,+IF($C24='4. Customer Growth'!$I$15,+'4. Customer Growth'!$I$24,+IF($C24='4. Customer Growth'!$K$15,+'4. Customer Growth'!$K$24,+IF($C24='4. Customer Growth'!$M$15,+'4. Customer Growth'!$M$24,IF($C24='4. Customer Growth'!$O$15,+'4. Customer Growth'!$O$24)))))))</f>
        <v>20</v>
      </c>
      <c r="M24" s="509">
        <f>IF($C24='4. Customer Growth'!$C$15,+'4. Customer Growth'!$C$25,+IF($C24='4. Customer Growth'!$E$15,+'4. Customer Growth'!$E$25,+IF($C24='4. Customer Growth'!$G$15,+'4. Customer Growth'!$G$25,+IF($C24='4. Customer Growth'!$I$15,+'4. Customer Growth'!$I$25,+IF($C24='4. Customer Growth'!$K$15,+'4. Customer Growth'!$K$25,+IF($C24='4. Customer Growth'!$M$15,+'4. Customer Growth'!$M$25,IF($C24='4. Customer Growth'!$O$15,+'4. Customer Growth'!$O$25)))))))</f>
        <v>20</v>
      </c>
      <c r="N24" s="509">
        <f>IF($C24='4. Customer Growth'!$C$15,+'4. Customer Growth'!$C$26,+IF($C24='4. Customer Growth'!$E$15,+'4. Customer Growth'!$E$26,+IF($C24='4. Customer Growth'!$G$15,+'4. Customer Growth'!$G$26,+IF($C24='4. Customer Growth'!$I$15,+'4. Customer Growth'!$I$26,+IF($C24='4. Customer Growth'!$K$15,+'4. Customer Growth'!$K$26,+IF($C24='4. Customer Growth'!$M$15,+'4. Customer Growth'!$M$26,IF($C24='4. Customer Growth'!$O$15,+'4. Customer Growth'!$O$26)))))))</f>
        <v>20</v>
      </c>
      <c r="O24" s="509">
        <f>IF($C24='4. Customer Growth'!$C$15,+'4. Customer Growth'!$C$42,+IF($C24='4. Customer Growth'!$E$15,+'4. Customer Growth'!$E$42,+IF($C24='4. Customer Growth'!$G$15,+'4. Customer Growth'!$G$42,+IF($C24='4. Customer Growth'!$I$15,+'4. Customer Growth'!$I$42,+IF($C24='4. Customer Growth'!$K$15,+'4. Customer Growth'!$K$42,+IF($C24='4. Customer Growth'!$M$15,+'4. Customer Growth'!$M$42,IF($C24='4. Customer Growth'!$O$15,+'4. Customer Growth'!$O$42)))))))</f>
        <v>20</v>
      </c>
      <c r="P24" s="510">
        <f>IF($C24='4. Customer Growth'!$C$15,+'4. Customer Growth'!$C$43,+IF($C24='4. Customer Growth'!$E$15,+'4. Customer Growth'!$E$43,+IF($C24='4. Customer Growth'!$G$15,+'4. Customer Growth'!$G$43,+IF($C24='4. Customer Growth'!$I$15,+'4. Customer Growth'!$I$43,+IF($C24='4. Customer Growth'!$K$15,+'4. Customer Growth'!$K$43,+IF($C24='4. Customer Growth'!$M$15,+'4. Customer Growth'!$M$43,IF($C24='4. Customer Growth'!$O$15,+'4. Customer Growth'!$O$43)))))))</f>
        <v>20</v>
      </c>
    </row>
    <row r="25" spans="2:16" x14ac:dyDescent="0.2">
      <c r="B25" s="89"/>
      <c r="C25" s="778"/>
      <c r="D25" s="59" t="s">
        <v>36</v>
      </c>
      <c r="E25" s="509">
        <f>IF($B24=$F$65,+'7. Weather Senstive Class'!$G$21,IF($B24=$F$66,+'7. Weather Senstive Class'!$O$21,IF($B24=$F$67,+'7. Weather Senstive Class'!$W$21,IF($B24=$F$68,+'7. Weather Senstive Class'!$AE$21,IF($B24=$F$69,+'7. Weather Senstive Class'!$AM$21,IF($B24=$F$70,+'8. KW and Non-Weather Sensitive'!$E$21,IF($B24=$F$71,+'8. KW and Non-Weather Sensitive'!$P$21,IF($B24=$F$72,+'8. KW and Non-Weather Sensitive'!$Z$21,IF($B24=$F$73,+'8. KW and Non-Weather Sensitive'!$AJ$21,IF($B24=$F$74,+'8. KW and Non-Weather Sensitive'!$AT$21))))))))))</f>
        <v>593390</v>
      </c>
      <c r="F25" s="509">
        <f>IF($B24=$F$65,+'7. Weather Senstive Class'!$G$22,IF($B24=$F$66,+'7. Weather Senstive Class'!$O$22,IF($B24=$F$67,+'7. Weather Senstive Class'!$W$22,IF($B24=$F$68,+'7. Weather Senstive Class'!$AE$22,IF($B24=$F$69,+'7. Weather Senstive Class'!$AM$22,IF($B24=$F$70,+'8. KW and Non-Weather Sensitive'!$E$22,IF($B24=$F$71,+'8. KW and Non-Weather Sensitive'!$P$22,IF($B24=$F$72,+'8. KW and Non-Weather Sensitive'!$Z$22,IF($B24=$F$73,+'8. KW and Non-Weather Sensitive'!$AJ$22,IF($B24=$F$74,+'8. KW and Non-Weather Sensitive'!$AT$22))))))))))</f>
        <v>364006</v>
      </c>
      <c r="G25" s="509">
        <f>IF($B24=$F$65,+'7. Weather Senstive Class'!$G$23,IF($B24=$F$66,+'7. Weather Senstive Class'!$O$23,IF($B24=$F$67,+'7. Weather Senstive Class'!$W$23,IF($B24=$F$68,+'7. Weather Senstive Class'!$AE$23,IF($B24=$F$69,+'7. Weather Senstive Class'!$AM$23,IF($B24=$F$70,+'8. KW and Non-Weather Sensitive'!$E$23,IF($B24=$F$71,+'8. KW and Non-Weather Sensitive'!$P$23,IF($B24=$F$72,+'8. KW and Non-Weather Sensitive'!$Z$23,IF($B24=$F$73,+'8. KW and Non-Weather Sensitive'!$AJ$23,IF($B24=$F$74,+'8. KW and Non-Weather Sensitive'!$AT$23))))))))))</f>
        <v>348199</v>
      </c>
      <c r="H25" s="509">
        <f>IF($B24=$F$65,+'7. Weather Senstive Class'!$G$24,IF($B24=$F$66,+'7. Weather Senstive Class'!$O$24,IF($B24=$F$67,+'7. Weather Senstive Class'!$W$24,IF($B24=$F$68,+'7. Weather Senstive Class'!$AE$24,IF($B24=$F$69,+'7. Weather Senstive Class'!$AM$24,IF($B24=$F$70,+'8. KW and Non-Weather Sensitive'!$E$24,IF($B24=$F$71,+'8. KW and Non-Weather Sensitive'!$P$24,IF($B24=$F$72,+'8. KW and Non-Weather Sensitive'!$Z$24,IF($B24=$F$73,+'8. KW and Non-Weather Sensitive'!$AJ$24,IF($B24=$F$74,+'8. KW and Non-Weather Sensitive'!$AT$24))))))))))</f>
        <v>386944</v>
      </c>
      <c r="I25" s="509">
        <f>IF($B24=$F$65,+'7. Weather Senstive Class'!$G$25,IF($B24=$F$66,+'7. Weather Senstive Class'!$O$25,IF($B24=$F$67,+'7. Weather Senstive Class'!$W$25,IF($B24=$F$68,+'7. Weather Senstive Class'!$AE$25,IF($B24=$F$69,+'7. Weather Senstive Class'!$AM$25,IF($B24=$F$70,+'8. KW and Non-Weather Sensitive'!$E$25,IF($B24=$F$71,+'8. KW and Non-Weather Sensitive'!$P$25,IF($B24=$F$72,+'8. KW and Non-Weather Sensitive'!$Z$25,IF($B24=$F$73,+'8. KW and Non-Weather Sensitive'!$AJ$25,IF($B24=$F$74,+'8. KW and Non-Weather Sensitive'!$AT$25))))))))))</f>
        <v>437952.27</v>
      </c>
      <c r="J25" s="509">
        <f>IF($B24=$F$65,+'7. Weather Senstive Class'!$G$26,IF($B24=$F$66,+'7. Weather Senstive Class'!$O$26,IF($B24=$F$67,+'7. Weather Senstive Class'!$M$26,IF($B24=$F$68,+'7. Weather Senstive Class'!$AE$26,IF($B24=$F$69,+'7. Weather Senstive Class'!$AM$26,IF($B24=$F$70,+'8. KW and Non-Weather Sensitive'!$E$26,IF($B24=$F$71,+'8. KW and Non-Weather Sensitive'!$P$26,IF($B24=$F$72,+'8. KW and Non-Weather Sensitive'!$Z$26,IF($B24=$F$73,+'8. KW and Non-Weather Sensitive'!$AJ$26,IF($B24=$F$74,+'8. KW and Non-Weather Sensitive'!$AT$26))))))))))</f>
        <v>458526.4</v>
      </c>
      <c r="K25" s="509">
        <f>IF($B24=$F$65,+'7. Weather Senstive Class'!$G$27,IF($B24=$F$66,+'7. Weather Senstive Class'!$O$27,IF($B24=$F$67,+'7. Weather Senstive Class'!$W$27,IF($B24=$F$68,+'7. Weather Senstive Class'!$AE$27,IF($B24=$F$69,+'7. Weather Senstive Class'!$AM$27,IF($B24=$F$70,+'8. KW and Non-Weather Sensitive'!$E$27,IF($B24=$F$71,+'8. KW and Non-Weather Sensitive'!$P$27,IF($B24=$F$72,+'8. KW and Non-Weather Sensitive'!$Z$27,IF($B24=$F$73,+'8. KW and Non-Weather Sensitive'!$AJ$27,IF($B24=$F$74,+'8. KW and Non-Weather Sensitive'!$AT$27))))))))))</f>
        <v>469307.04</v>
      </c>
      <c r="L25" s="509">
        <f>IF($B24=$F$65,+'7. Weather Senstive Class'!$G$28,IF($B24=$F$66,+'7. Weather Senstive Class'!$O$28,IF($B24=$F$67,+'7. Weather Senstive Class'!$W$28,IF($B24=$F$68,+'7. Weather Senstive Class'!$AE$28,IF($B24=$F$69,+'7. Weather Senstive Class'!$AM$28,IF($B24=$F$70,+'8. KW and Non-Weather Sensitive'!$E$28,IF($B24=$F$71,+'8. KW and Non-Weather Sensitive'!$P$28,IF($B24=$F$72,+'8. KW and Non-Weather Sensitive'!$Z$28,IF($B24=$F$73,+'8. KW and Non-Weather Sensitive'!$AJ$28,IF($B24=$F$74,+'8. KW and Non-Weather Sensitive'!$AT$28))))))))))</f>
        <v>448159.09</v>
      </c>
      <c r="M25" s="509">
        <f>IF($B24=$F$65,+'7. Weather Senstive Class'!$G$29,IF($B24=$F$66,+'7. Weather Senstive Class'!$O$29,IF($B24=$F$67,+'7. Weather Senstive Class'!$W$29,IF($B24=$F$68,+'7. Weather Senstive Class'!$AE$29,IF($B24=$F$69,+'7. Weather Senstive Class'!$AM$29,IF($B24=$F$70,+'8. KW and Non-Weather Sensitive'!$E$29,IF($B24=$F$71,+'8. KW and Non-Weather Sensitive'!$P$29,IF($B24=$F$72,+'8. KW and Non-Weather Sensitive'!$Z$29,IF($B24=$F$73,+'8. KW and Non-Weather Sensitive'!$AJ$29,IF($B24=$F$74,+'8. KW and Non-Weather Sensitive'!$AT$29))))))))))</f>
        <v>453470.7</v>
      </c>
      <c r="N25" s="509">
        <f>IF($B24=$F$65,+'7. Weather Senstive Class'!$G$30,IF($B24=$F$66,+'7. Weather Senstive Class'!$O$30,IF($B24=$F$67,+'7. Weather Senstive Class'!$W$30,IF($B24=$F$68,+'7. Weather Senstive Class'!$AE$30,IF($B24=$F$69,+'7. Weather Senstive Class'!$AM$30,IF($B24=$F$70,+'8. KW and Non-Weather Sensitive'!$E$30,IF($B24=$F$71,+'8. KW and Non-Weather Sensitive'!$P$30,IF($B24=$F$72,+'8. KW and Non-Weather Sensitive'!$Z$30,IF($B24=$F$73,+'8. KW and Non-Weather Sensitive'!$AJ$30,IF($B24=$F$74,+'8. KW and Non-Weather Sensitive'!$AT$30))))))))))</f>
        <v>454406.25</v>
      </c>
      <c r="O25" s="509">
        <f>IF($B24=$F$65,+'7. Weather Senstive Class'!$H$42,IF($B24=$F$66,+'7. Weather Senstive Class'!$P$42,IF($B24=$F$67,+'7. Weather Senstive Class'!$X$42,IF($B24=$F$68,+'7. Weather Senstive Class'!$AF$42,IF($B24=$F$69,+'7. Weather Senstive Class'!$AN$42,IF($B24=$F$70,+'8. KW and Non-Weather Sensitive'!$I$49,IF($B24=$F$71,+'8. KW and Non-Weather Sensitive'!$T$49,IF($B24=$F$72,+'8. KW and Non-Weather Sensitive'!$AD$49,IF($B24=$F$73,+'8. KW and Non-Weather Sensitive'!$AN$49,IF($B24=$F$74,+'8. KW and Non-Weather Sensitive'!$AX$49))))))))))</f>
        <v>453067.96191469493</v>
      </c>
      <c r="P25" s="510">
        <f>IF($B24=$F$65,+'7. Weather Senstive Class'!$H$43,IF($B24=$F$66,+'7. Weather Senstive Class'!$P$43,IF($B24=$F$67,+'7. Weather Senstive Class'!$X$43,IF($B24=$F$68,+'7. Weather Senstive Class'!$AF$43,IF($B24=$F$69,+'7. Weather Senstive Class'!$AN$43,IF($B24=$F$70,+'8. KW and Non-Weather Sensitive'!$I$50,IF($B24=$F$71,+'8. KW and Non-Weather Sensitive'!$T$50,IF($B24=$F$72,+'8. KW and Non-Weather Sensitive'!$AD$50,IF($B24=$F$73,+'8. KW and Non-Weather Sensitive'!$AN$50,IF($B24=$F$74,+'8. KW and Non-Weather Sensitive'!$AX$50))))))))))</f>
        <v>452085.45204830298</v>
      </c>
    </row>
    <row r="26" spans="2:16" x14ac:dyDescent="0.2">
      <c r="B26" s="89"/>
      <c r="C26" s="778"/>
      <c r="D26" s="59" t="s">
        <v>37</v>
      </c>
      <c r="E26" s="407">
        <f>IF(B$24=$F$70,+'8. KW and Non-Weather Sensitive'!$F$21,IF($B24=$F$71,+'8. KW and Non-Weather Sensitive'!$Q$21,IF($B24=$F$72,+'8. KW and Non-Weather Sensitive'!$AA$21,IF($B24=$F$73,+'8. KW and Non-Weather Sensitive'!$AK$21,+IF($B24=$F$74,+'8. KW and Non-Weather Sensitive'!$AU$21,0)))))</f>
        <v>0</v>
      </c>
      <c r="F26" s="407">
        <f>IF($B24=$F$70,+'8. KW and Non-Weather Sensitive'!$F$22,IF($B24=$F$71,+'8. KW and Non-Weather Sensitive'!$Q$22,IF($B24=$F$72,+'8. KW and Non-Weather Sensitive'!$AA$22,IF($B24=$F$73,+'8. KW and Non-Weather Sensitive'!$AK$22,+IF($B24=$F$74,+'8. KW and Non-Weather Sensitive'!$AU$22,0)))))</f>
        <v>0</v>
      </c>
      <c r="G26" s="407">
        <f>IF($B24=$F$70,+'8. KW and Non-Weather Sensitive'!$F$23,IF($B24=$F$71,+'8. KW and Non-Weather Sensitive'!$Q$23,IF($B24=$F$72,+'8. KW and Non-Weather Sensitive'!$AA$23,IF($B24=$F$73,+'8. KW and Non-Weather Sensitive'!$AK$23,+IF($B24=$F$74,+'8. KW and Non-Weather Sensitive'!$AU$23,0)))))</f>
        <v>0</v>
      </c>
      <c r="H26" s="407">
        <f>IF($B24=$F$70,+'8. KW and Non-Weather Sensitive'!$F$24,IF($B24=$F$71,+'8. KW and Non-Weather Sensitive'!$Q$24,IF($B24=$F$72,+'8. KW and Non-Weather Sensitive'!$AA$24,IF($B24=$F$73,+'8. KW and Non-Weather Sensitive'!$AK$24,+IF($B24=$F$74,+'8. KW and Non-Weather Sensitive'!$AU$24,0)))))</f>
        <v>0</v>
      </c>
      <c r="I26" s="407">
        <f>IF($B24=$F$70,+'8. KW and Non-Weather Sensitive'!$F$25,IF($B24=$F$71,+'8. KW and Non-Weather Sensitive'!$Q$25,IF($B24=$F$72,+'8. KW and Non-Weather Sensitive'!$AA$25,IF($B24=$F$73,+'8. KW and Non-Weather Sensitive'!$AK$25,+IF($B24=$F$74,+'8. KW and Non-Weather Sensitive'!$AU$25,0)))))</f>
        <v>0</v>
      </c>
      <c r="J26" s="407">
        <f>IF($B24=$F$70,+'8. KW and Non-Weather Sensitive'!$F$26,IF($B24=$F$71,+'8. KW and Non-Weather Sensitive'!$Q$26,IF($B24=$F$72,+'8. KW and Non-Weather Sensitive'!$AA$26,IF($B24=$F$73,+'8. KW and Non-Weather Sensitive'!$AK$26,+IF($B24=$F$74,+'8. KW and Non-Weather Sensitive'!$AU$26,0)))))</f>
        <v>0</v>
      </c>
      <c r="K26" s="407">
        <f>IF($B24=$F$70,+'8. KW and Non-Weather Sensitive'!$F$27,IF($B24=$F$71,+'8. KW and Non-Weather Sensitive'!$Q$27,IF($B24=$F$72,+'8. KW and Non-Weather Sensitive'!$AA$27,IF($B24=$F$73,+'8. KW and Non-Weather Sensitive'!$AK$27,+IF($B24=$F$74,+'8. KW and Non-Weather Sensitive'!$AU$27,0)))))</f>
        <v>0</v>
      </c>
      <c r="L26" s="407">
        <f>IF($B24=$F$70,+'8. KW and Non-Weather Sensitive'!$F$28,IF($B24=$F$71,+'8. KW and Non-Weather Sensitive'!$Q$28,IF($B24=$F$72,+'8. KW and Non-Weather Sensitive'!$AA$28,IF($B24=$F$73,+'8. KW and Non-Weather Sensitive'!$AK$28,+IF($B24=$F$74,+'8. KW and Non-Weather Sensitive'!$AU$28,0)))))</f>
        <v>0</v>
      </c>
      <c r="M26" s="407">
        <f>IF($B24=$F$70,+'8. KW and Non-Weather Sensitive'!$F$29,IF($B24=$F$71,+'8. KW and Non-Weather Sensitive'!$Q$29,IF($B24=$F$72,+'8. KW and Non-Weather Sensitive'!$AA$29,IF($B24=$F$73,+'8. KW and Non-Weather Sensitive'!$AK$29,+IF($B24=$F$74,+'8. KW and Non-Weather Sensitive'!$AU$29,0)))))</f>
        <v>0</v>
      </c>
      <c r="N26" s="407">
        <f>IF($B24=$F$70,+'8. KW and Non-Weather Sensitive'!$F$30,IF($B24=$F$71,+'8. KW and Non-Weather Sensitive'!$Q$30,IF($B24=$F$72,+'8. KW and Non-Weather Sensitive'!$AA$30,IF($B24=$F$73,+'8. KW and Non-Weather Sensitive'!$AK$30,+IF($B24=$F$74,+'8. KW and Non-Weather Sensitive'!$AU$30,0)))))</f>
        <v>0</v>
      </c>
      <c r="O26" s="407">
        <f>IF($B24=$F$70,+'8. KW and Non-Weather Sensitive'!$J$49,IF($B24=$F$71,+'8. KW and Non-Weather Sensitive'!$U$49,IF($B24=$F$72,+'8. KW and Non-Weather Sensitive'!$AE$49,IF($B24=$F$73,+'8. KW and Non-Weather Sensitive'!$AO$49,+IF($B24=$F$74,+'8. KW and Non-Weather Sensitive'!$AY$49,0)))))</f>
        <v>0</v>
      </c>
      <c r="P26" s="511">
        <f>IF($B24=$F$70,+'8. KW and Non-Weather Sensitive'!$J$50,IF($B24=$F$71,+'8. KW and Non-Weather Sensitive'!$U$50,IF($B24=$F$72,+'8. KW and Non-Weather Sensitive'!$AE$50,IF($B24=$F$73,+'8. KW and Non-Weather Sensitive'!$AO$50,+IF($B24=$F$74,+'8. KW and Non-Weather Sensitive'!$AY$50,0)))))</f>
        <v>0</v>
      </c>
    </row>
    <row r="27" spans="2:16" x14ac:dyDescent="0.2">
      <c r="B27" s="89"/>
      <c r="C27" s="778"/>
      <c r="D27" s="59"/>
      <c r="E27" s="407"/>
      <c r="F27" s="407"/>
      <c r="G27" s="407"/>
      <c r="H27" s="407"/>
      <c r="I27" s="407"/>
      <c r="J27" s="407"/>
      <c r="K27" s="407"/>
      <c r="L27" s="407"/>
      <c r="M27" s="407"/>
      <c r="N27" s="407"/>
      <c r="O27" s="408"/>
      <c r="P27" s="409"/>
    </row>
    <row r="28" spans="2:16" x14ac:dyDescent="0.2">
      <c r="B28" s="762" t="s">
        <v>269</v>
      </c>
      <c r="C28" s="777" t="str">
        <f>IF($B28=$F$65,+$B$65,+IF($B28=$F$66,+$B$66,+IF($B28=$F$67,+$B$67,+IF($B28=$F$67,$B$67,+IF($B28=$F$68,+$B$68,+IF($B28=$F$69,+$B$69,+IF($B28=$F$70,+$B$70,+IF($B28=$F$71,+$B$71,+IF($B28=$F$72,+$B$72,+IF($B28=$F$73,+$B$73,+IF($B28=$F$74,+$B$74)))))))))))</f>
        <v>General Service &gt; 50 kW - 4999 kW</v>
      </c>
      <c r="D28" s="59" t="s">
        <v>131</v>
      </c>
      <c r="E28" s="509">
        <f>IF($C28='4. Customer Growth'!$C$15,+'4. Customer Growth'!$C$17,+IF($C28='4. Customer Growth'!$E$15,+'4. Customer Growth'!$E$17,+IF($C28='4. Customer Growth'!$G$15,+'4. Customer Growth'!$G$17,+IF($C28='4. Customer Growth'!$I$15,+'4. Customer Growth'!$I$17,+IF($C28='4. Customer Growth'!$K$15,+'4. Customer Growth'!$K$17,+IF($C28='4. Customer Growth'!$M$15,+'4. Customer Growth'!$M$17,IF($C28='4. Customer Growth'!$O$15,+'4. Customer Growth'!$O$17)))))))</f>
        <v>134</v>
      </c>
      <c r="F28" s="509">
        <f>IF($C28='4. Customer Growth'!$C$15,+'4. Customer Growth'!$C$18,+IF($C28='4. Customer Growth'!$E$15,+'4. Customer Growth'!$E$18,+IF($C28='4. Customer Growth'!$G$15,+'4. Customer Growth'!$G$18,+IF($C28='4. Customer Growth'!$I$15,+'4. Customer Growth'!$I$18,+IF($C28='4. Customer Growth'!$K$15,+'4. Customer Growth'!$K$18,+IF($C28='4. Customer Growth'!$M$15,+'4. Customer Growth'!$M$18,IF($C28='4. Customer Growth'!$O$15,+'4. Customer Growth'!$O$18)))))))</f>
        <v>136</v>
      </c>
      <c r="G28" s="509">
        <f>IF($C28='4. Customer Growth'!$C$15,+'4. Customer Growth'!$C$19,+IF($C28='4. Customer Growth'!$E$15,+'4. Customer Growth'!$E$19,+IF($C28='4. Customer Growth'!$G$15,+'4. Customer Growth'!$G$19,+IF($C28='4. Customer Growth'!$I$15,+'4. Customer Growth'!$I$19,+IF($C28='4. Customer Growth'!$K$15,+'4. Customer Growth'!$K$19,+IF($C28='4. Customer Growth'!$M$15,+'4. Customer Growth'!$M$19,IF($C28='4. Customer Growth'!$O$15,+'4. Customer Growth'!$O$19)))))))</f>
        <v>136</v>
      </c>
      <c r="H28" s="509">
        <f>IF($C28='4. Customer Growth'!$C$15,+'4. Customer Growth'!$C$20,+IF($C28='4. Customer Growth'!$E$15,+'4. Customer Growth'!$E$20,+IF($C28='4. Customer Growth'!$G$15,+'4. Customer Growth'!$G$20,+IF($C28='4. Customer Growth'!$I$15,+'4. Customer Growth'!$I$20,+IF($C28='4. Customer Growth'!$K$15,+'4. Customer Growth'!$K$20,+IF($C28='4. Customer Growth'!$M$15,+'4. Customer Growth'!$M$20,IF($C28='4. Customer Growth'!$O$15,+'4. Customer Growth'!$O$20)))))))</f>
        <v>143</v>
      </c>
      <c r="I28" s="509">
        <f>IF($C28='4. Customer Growth'!$C$15,+'4. Customer Growth'!$C$21,+IF($C28='4. Customer Growth'!$E$15,+'4. Customer Growth'!$E$21,+IF($C28='4. Customer Growth'!$G$15,+'4. Customer Growth'!$G$21,+IF($C28='4. Customer Growth'!$I$15,+'4. Customer Growth'!$I$21,+IF($C28='4. Customer Growth'!$K$15,+'4. Customer Growth'!$K$21,+IF($C28='4. Customer Growth'!$M$15,+'4. Customer Growth'!$M$21,IF($C28='4. Customer Growth'!$O$15,+'4. Customer Growth'!$O$21)))))))</f>
        <v>144</v>
      </c>
      <c r="J28" s="509">
        <f>IF($C28='4. Customer Growth'!$C$15,+'4. Customer Growth'!$C$22,+IF($C28='4. Customer Growth'!$E$15,+'4. Customer Growth'!$E$22,+IF($C28='4. Customer Growth'!$G$15,+'4. Customer Growth'!$G$22,+IF($C28='4. Customer Growth'!$I$15,+'4. Customer Growth'!$I$22,+IF($C28='4. Customer Growth'!$K$15,+'4. Customer Growth'!$K$22,+IF($C28='4. Customer Growth'!$M$15,+'4. Customer Growth'!$M$22,IF($C28='4. Customer Growth'!$O$15,+'4. Customer Growth'!$O$22)))))))</f>
        <v>148</v>
      </c>
      <c r="K28" s="509">
        <f>IF($C28='4. Customer Growth'!$C$15,+'4. Customer Growth'!$C$23,+IF($C28='4. Customer Growth'!$E$15,+'4. Customer Growth'!$E$23,+IF($C28='4. Customer Growth'!$G$15,+'4. Customer Growth'!$G$23,+IF($C28='4. Customer Growth'!$I$15,+'4. Customer Growth'!$I$23,+IF($C28='4. Customer Growth'!$K$15,+'4. Customer Growth'!$K$23,+IF($C28='4. Customer Growth'!$M$15,+'4. Customer Growth'!$M$23,IF($C28='4. Customer Growth'!$O$15,+'4. Customer Growth'!$O$23)))))))</f>
        <v>145</v>
      </c>
      <c r="L28" s="509">
        <f>IF($C28='4. Customer Growth'!$C$15,+'4. Customer Growth'!$C$24,+IF($C28='4. Customer Growth'!$E$15,+'4. Customer Growth'!$E$24,+IF($C28='4. Customer Growth'!$G$15,+'4. Customer Growth'!$G$24,+IF($C28='4. Customer Growth'!$I$15,+'4. Customer Growth'!$I$24,+IF($C28='4. Customer Growth'!$K$15,+'4. Customer Growth'!$K$24,+IF($C28='4. Customer Growth'!$M$15,+'4. Customer Growth'!$M$24,IF($C28='4. Customer Growth'!$O$15,+'4. Customer Growth'!$O$24)))))))</f>
        <v>145</v>
      </c>
      <c r="M28" s="509">
        <f>IF($C28='4. Customer Growth'!$C$15,+'4. Customer Growth'!$C$25,+IF($C28='4. Customer Growth'!$E$15,+'4. Customer Growth'!$E$25,+IF($C28='4. Customer Growth'!$G$15,+'4. Customer Growth'!$G$25,+IF($C28='4. Customer Growth'!$I$15,+'4. Customer Growth'!$I$25,+IF($C28='4. Customer Growth'!$K$15,+'4. Customer Growth'!$K$25,+IF($C28='4. Customer Growth'!$M$15,+'4. Customer Growth'!$M$25,IF($C28='4. Customer Growth'!$O$15,+'4. Customer Growth'!$O$25)))))))</f>
        <v>145.5</v>
      </c>
      <c r="N28" s="509">
        <f>IF($C28='4. Customer Growth'!$C$15,+'4. Customer Growth'!$C$26,+IF($C28='4. Customer Growth'!$E$15,+'4. Customer Growth'!$E$26,+IF($C28='4. Customer Growth'!$G$15,+'4. Customer Growth'!$G$26,+IF($C28='4. Customer Growth'!$I$15,+'4. Customer Growth'!$I$26,+IF($C28='4. Customer Growth'!$K$15,+'4. Customer Growth'!$K$26,+IF($C28='4. Customer Growth'!$M$15,+'4. Customer Growth'!$M$26,IF($C28='4. Customer Growth'!$O$15,+'4. Customer Growth'!$O$26)))))))</f>
        <v>146.5</v>
      </c>
      <c r="O28" s="509">
        <f>IF($C28='4. Customer Growth'!$C$15,+'4. Customer Growth'!$C$42,+IF($C28='4. Customer Growth'!$E$15,+'4. Customer Growth'!$E$42,+IF($C28='4. Customer Growth'!$G$15,+'4. Customer Growth'!$G$42,+IF($C28='4. Customer Growth'!$I$15,+'4. Customer Growth'!$I$42,+IF($C28='4. Customer Growth'!$K$15,+'4. Customer Growth'!$K$42,+IF($C28='4. Customer Growth'!$M$15,+'4. Customer Growth'!$M$42,IF($C28='4. Customer Growth'!$O$15,+'4. Customer Growth'!$O$42)))))))</f>
        <v>146</v>
      </c>
      <c r="P28" s="510">
        <f>IF($C28='4. Customer Growth'!$C$15,+'4. Customer Growth'!$C$43,+IF($C28='4. Customer Growth'!$E$15,+'4. Customer Growth'!$E$43,+IF($C28='4. Customer Growth'!$G$15,+'4. Customer Growth'!$G$43,+IF($C28='4. Customer Growth'!$I$15,+'4. Customer Growth'!$I$43,+IF($C28='4. Customer Growth'!$K$15,+'4. Customer Growth'!$K$43,+IF($C28='4. Customer Growth'!$M$15,+'4. Customer Growth'!$M$43,IF($C28='4. Customer Growth'!$O$15,+'4. Customer Growth'!$O$43)))))))</f>
        <v>148</v>
      </c>
    </row>
    <row r="29" spans="2:16" x14ac:dyDescent="0.2">
      <c r="B29" s="89"/>
      <c r="C29" s="778"/>
      <c r="D29" s="59" t="s">
        <v>36</v>
      </c>
      <c r="E29" s="509">
        <f>IF($B28=$F$65,+'7. Weather Senstive Class'!$G$21,IF($B28=$F$66,+'7. Weather Senstive Class'!$O$21,IF($B28=$F$67,+'7. Weather Senstive Class'!$W$21,IF($B28=$F$68,+'7. Weather Senstive Class'!$AE$21,IF($B28=$F$69,+'7. Weather Senstive Class'!$AM$21,IF($B28=$F$70,+'8. KW and Non-Weather Sensitive'!$E$21,IF($B28=$F$71,+'8. KW and Non-Weather Sensitive'!$P$21,IF($B28=$F$72,+'8. KW and Non-Weather Sensitive'!$Z$21,IF($B28=$F$73,+'8. KW and Non-Weather Sensitive'!$AJ$21,IF($B28=$F$74,+'8. KW and Non-Weather Sensitive'!$AT$21))))))))))</f>
        <v>74429057</v>
      </c>
      <c r="F29" s="509">
        <f>IF($B28=$F$65,+'7. Weather Senstive Class'!$G$22,IF($B28=$F$66,+'7. Weather Senstive Class'!$O$22,IF($B28=$F$67,+'7. Weather Senstive Class'!$W$22,IF($B28=$F$68,+'7. Weather Senstive Class'!$AE$22,IF($B28=$F$69,+'7. Weather Senstive Class'!$AM$22,IF($B28=$F$70,+'8. KW and Non-Weather Sensitive'!$E$22,IF($B28=$F$71,+'8. KW and Non-Weather Sensitive'!$P$22,IF($B28=$F$72,+'8. KW and Non-Weather Sensitive'!$Z$22,IF($B28=$F$73,+'8. KW and Non-Weather Sensitive'!$AJ$22,IF($B28=$F$74,+'8. KW and Non-Weather Sensitive'!$AT$22))))))))))</f>
        <v>75435895</v>
      </c>
      <c r="G29" s="509">
        <f>IF($B28=$F$65,+'7. Weather Senstive Class'!$G$23,IF($B28=$F$66,+'7. Weather Senstive Class'!$O$23,IF($B28=$F$67,+'7. Weather Senstive Class'!$W$23,IF($B28=$F$68,+'7. Weather Senstive Class'!$AE$23,IF($B28=$F$69,+'7. Weather Senstive Class'!$AM$23,IF($B28=$F$70,+'8. KW and Non-Weather Sensitive'!$E$23,IF($B28=$F$71,+'8. KW and Non-Weather Sensitive'!$P$23,IF($B28=$F$72,+'8. KW and Non-Weather Sensitive'!$Z$23,IF($B28=$F$73,+'8. KW and Non-Weather Sensitive'!$AJ$23,IF($B28=$F$74,+'8. KW and Non-Weather Sensitive'!$AT$23))))))))))</f>
        <v>78527667</v>
      </c>
      <c r="H29" s="509">
        <f>IF($B28=$F$65,+'7. Weather Senstive Class'!$G$24,IF($B28=$F$66,+'7. Weather Senstive Class'!$O$24,IF($B28=$F$67,+'7. Weather Senstive Class'!$W$24,IF($B28=$F$68,+'7. Weather Senstive Class'!$AE$24,IF($B28=$F$69,+'7. Weather Senstive Class'!$AM$24,IF($B28=$F$70,+'8. KW and Non-Weather Sensitive'!$E$24,IF($B28=$F$71,+'8. KW and Non-Weather Sensitive'!$P$24,IF($B28=$F$72,+'8. KW and Non-Weather Sensitive'!$Z$24,IF($B28=$F$73,+'8. KW and Non-Weather Sensitive'!$AJ$24,IF($B28=$F$74,+'8. KW and Non-Weather Sensitive'!$AT$24))))))))))</f>
        <v>78693630</v>
      </c>
      <c r="I29" s="509">
        <f>IF($B28=$F$65,+'7. Weather Senstive Class'!$G$25,IF($B28=$F$66,+'7. Weather Senstive Class'!$O$25,IF($B28=$F$67,+'7. Weather Senstive Class'!$W$25,IF($B28=$F$68,+'7. Weather Senstive Class'!$AE$25,IF($B28=$F$69,+'7. Weather Senstive Class'!$AM$25,IF($B28=$F$70,+'8. KW and Non-Weather Sensitive'!$E$25,IF($B28=$F$71,+'8. KW and Non-Weather Sensitive'!$P$25,IF($B28=$F$72,+'8. KW and Non-Weather Sensitive'!$Z$25,IF($B28=$F$73,+'8. KW and Non-Weather Sensitive'!$AJ$25,IF($B28=$F$74,+'8. KW and Non-Weather Sensitive'!$AT$25))))))))))</f>
        <v>78622635.780000001</v>
      </c>
      <c r="J29" s="509">
        <f>IF($B28=$F$65,+'7. Weather Senstive Class'!$G$26,IF($B28=$F$66,+'7. Weather Senstive Class'!$O$26,IF($B28=$F$67,+'7. Weather Senstive Class'!$M$26,IF($B28=$F$68,+'7. Weather Senstive Class'!$AE$26,IF($B28=$F$69,+'7. Weather Senstive Class'!$AM$26,IF($B28=$F$70,+'8. KW and Non-Weather Sensitive'!$E$26,IF($B28=$F$71,+'8. KW and Non-Weather Sensitive'!$P$26,IF($B28=$F$72,+'8. KW and Non-Weather Sensitive'!$Z$26,IF($B28=$F$73,+'8. KW and Non-Weather Sensitive'!$AJ$26,IF($B28=$F$74,+'8. KW and Non-Weather Sensitive'!$AT$26))))))))))</f>
        <v>76510234.719999999</v>
      </c>
      <c r="K29" s="509">
        <f>IF($B28=$F$65,+'7. Weather Senstive Class'!$G$27,IF($B28=$F$66,+'7. Weather Senstive Class'!$O$27,IF($B28=$F$67,+'7. Weather Senstive Class'!$W$27,IF($B28=$F$68,+'7. Weather Senstive Class'!$AE$27,IF($B28=$F$69,+'7. Weather Senstive Class'!$AM$27,IF($B28=$F$70,+'8. KW and Non-Weather Sensitive'!$E$27,IF($B28=$F$71,+'8. KW and Non-Weather Sensitive'!$P$27,IF($B28=$F$72,+'8. KW and Non-Weather Sensitive'!$Z$27,IF($B28=$F$73,+'8. KW and Non-Weather Sensitive'!$AJ$27,IF($B28=$F$74,+'8. KW and Non-Weather Sensitive'!$AT$27))))))))))</f>
        <v>74853997.430000007</v>
      </c>
      <c r="L29" s="509">
        <f>IF($B28=$F$65,+'7. Weather Senstive Class'!$G$28,IF($B28=$F$66,+'7. Weather Senstive Class'!$O$28,IF($B28=$F$67,+'7. Weather Senstive Class'!$W$28,IF($B28=$F$68,+'7. Weather Senstive Class'!$AE$28,IF($B28=$F$69,+'7. Weather Senstive Class'!$AM$28,IF($B28=$F$70,+'8. KW and Non-Weather Sensitive'!$E$28,IF($B28=$F$71,+'8. KW and Non-Weather Sensitive'!$P$28,IF($B28=$F$72,+'8. KW and Non-Weather Sensitive'!$Z$28,IF($B28=$F$73,+'8. KW and Non-Weather Sensitive'!$AJ$28,IF($B28=$F$74,+'8. KW and Non-Weather Sensitive'!$AT$28))))))))))</f>
        <v>74516293.329999998</v>
      </c>
      <c r="M29" s="509">
        <f>IF($B28=$F$65,+'7. Weather Senstive Class'!$G$29,IF($B28=$F$66,+'7. Weather Senstive Class'!$O$29,IF($B28=$F$67,+'7. Weather Senstive Class'!$W$29,IF($B28=$F$68,+'7. Weather Senstive Class'!$AE$29,IF($B28=$F$69,+'7. Weather Senstive Class'!$AM$29,IF($B28=$F$70,+'8. KW and Non-Weather Sensitive'!$E$29,IF($B28=$F$71,+'8. KW and Non-Weather Sensitive'!$P$29,IF($B28=$F$72,+'8. KW and Non-Weather Sensitive'!$Z$29,IF($B28=$F$73,+'8. KW and Non-Weather Sensitive'!$AJ$29,IF($B28=$F$74,+'8. KW and Non-Weather Sensitive'!$AT$29))))))))))</f>
        <v>73596923.409999996</v>
      </c>
      <c r="N29" s="509">
        <f>IF($B28=$F$65,+'7. Weather Senstive Class'!$G$30,IF($B28=$F$66,+'7. Weather Senstive Class'!$O$30,IF($B28=$F$67,+'7. Weather Senstive Class'!$W$30,IF($B28=$F$68,+'7. Weather Senstive Class'!$AE$30,IF($B28=$F$69,+'7. Weather Senstive Class'!$AM$30,IF($B28=$F$70,+'8. KW and Non-Weather Sensitive'!$E$30,IF($B28=$F$71,+'8. KW and Non-Weather Sensitive'!$P$30,IF($B28=$F$72,+'8. KW and Non-Weather Sensitive'!$Z$30,IF($B28=$F$73,+'8. KW and Non-Weather Sensitive'!$AJ$30,IF($B28=$F$74,+'8. KW and Non-Weather Sensitive'!$AT$30))))))))))</f>
        <v>72512848.979999989</v>
      </c>
      <c r="O29" s="509">
        <f>IF($B28=$F$65,+'7. Weather Senstive Class'!$H$42,IF($B28=$F$66,+'7. Weather Senstive Class'!$P$42,IF($B28=$F$67,+'7. Weather Senstive Class'!$X$42,IF($B28=$F$68,+'7. Weather Senstive Class'!$AF$42,IF($B28=$F$69,+'7. Weather Senstive Class'!$AN$42,IF($B28=$F$70,+'8. KW and Non-Weather Sensitive'!$I$49,IF($B28=$F$71,+'8. KW and Non-Weather Sensitive'!$T$49,IF($B28=$F$72,+'8. KW and Non-Weather Sensitive'!$AD$49,IF($B28=$F$73,+'8. KW and Non-Weather Sensitive'!$AN$49,IF($B28=$F$74,+'8. KW and Non-Weather Sensitive'!$AX$49))))))))))</f>
        <v>72299288.797186792</v>
      </c>
      <c r="P29" s="510">
        <f>IF($B28=$F$65,+'7. Weather Senstive Class'!$H$43,IF($B28=$F$66,+'7. Weather Senstive Class'!$P$43,IF($B28=$F$67,+'7. Weather Senstive Class'!$X$43,IF($B28=$F$68,+'7. Weather Senstive Class'!$AF$43,IF($B28=$F$69,+'7. Weather Senstive Class'!$AN$43,IF($B28=$F$70,+'8. KW and Non-Weather Sensitive'!$I$50,IF($B28=$F$71,+'8. KW and Non-Weather Sensitive'!$T$50,IF($B28=$F$72,+'8. KW and Non-Weather Sensitive'!$AD$50,IF($B28=$F$73,+'8. KW and Non-Weather Sensitive'!$AN$50,IF($B28=$F$74,+'8. KW and Non-Weather Sensitive'!$AX$50))))))))))</f>
        <v>72142502.684401065</v>
      </c>
    </row>
    <row r="30" spans="2:16" x14ac:dyDescent="0.2">
      <c r="B30" s="89"/>
      <c r="C30" s="778"/>
      <c r="D30" s="59" t="s">
        <v>37</v>
      </c>
      <c r="E30" s="407">
        <f>IF(B$28=$F$70,+'8. KW and Non-Weather Sensitive'!$F$21,IF($B28=$F$71,+'8. KW and Non-Weather Sensitive'!$Q$21,IF($B28=$F$72,+'8. KW and Non-Weather Sensitive'!$AA$21,IF($B28=$F$73,+'8. KW and Non-Weather Sensitive'!$AK$21,+IF($B28=$F$74,+'8. KW and Non-Weather Sensitive'!$AU$21,0)))))</f>
        <v>212943</v>
      </c>
      <c r="F30" s="407">
        <f>IF($B28=$F$70,+'8. KW and Non-Weather Sensitive'!$F$22,IF($B28=$F$71,+'8. KW and Non-Weather Sensitive'!$Q$22,IF($B28=$F$72,+'8. KW and Non-Weather Sensitive'!$AA$22,IF($B28=$F$73,+'8. KW and Non-Weather Sensitive'!$AK$22,+IF($B28=$F$74,+'8. KW and Non-Weather Sensitive'!$AU$22,0)))))</f>
        <v>207000</v>
      </c>
      <c r="G30" s="407">
        <f>IF($B28=$F$70,+'8. KW and Non-Weather Sensitive'!$F$23,IF($B28=$F$71,+'8. KW and Non-Weather Sensitive'!$Q$23,IF($B28=$F$72,+'8. KW and Non-Weather Sensitive'!$AA$23,IF($B28=$F$73,+'8. KW and Non-Weather Sensitive'!$AK$23,+IF($B28=$F$74,+'8. KW and Non-Weather Sensitive'!$AU$23,0)))))</f>
        <v>213039</v>
      </c>
      <c r="H30" s="407">
        <f>IF($B28=$F$70,+'8. KW and Non-Weather Sensitive'!$F$24,IF($B28=$F$71,+'8. KW and Non-Weather Sensitive'!$Q$24,IF($B28=$F$72,+'8. KW and Non-Weather Sensitive'!$AA$24,IF($B28=$F$73,+'8. KW and Non-Weather Sensitive'!$AK$24,+IF($B28=$F$74,+'8. KW and Non-Weather Sensitive'!$AU$24,0)))))</f>
        <v>202855</v>
      </c>
      <c r="I30" s="407">
        <f>IF($B28=$F$70,+'8. KW and Non-Weather Sensitive'!$F$25,IF($B28=$F$71,+'8. KW and Non-Weather Sensitive'!$Q$25,IF($B28=$F$72,+'8. KW and Non-Weather Sensitive'!$AA$25,IF($B28=$F$73,+'8. KW and Non-Weather Sensitive'!$AK$25,+IF($B28=$F$74,+'8. KW and Non-Weather Sensitive'!$AU$25,0)))))</f>
        <v>209853</v>
      </c>
      <c r="J30" s="407">
        <f>IF($B28=$F$70,+'8. KW and Non-Weather Sensitive'!$F$26,IF($B28=$F$71,+'8. KW and Non-Weather Sensitive'!$Q$26,IF($B28=$F$72,+'8. KW and Non-Weather Sensitive'!$AA$26,IF($B28=$F$73,+'8. KW and Non-Weather Sensitive'!$AK$26,+IF($B28=$F$74,+'8. KW and Non-Weather Sensitive'!$AU$26,0)))))</f>
        <v>202775</v>
      </c>
      <c r="K30" s="407">
        <f>IF($B28=$F$70,+'8. KW and Non-Weather Sensitive'!$F$27,IF($B28=$F$71,+'8. KW and Non-Weather Sensitive'!$Q$27,IF($B28=$F$72,+'8. KW and Non-Weather Sensitive'!$AA$27,IF($B28=$F$73,+'8. KW and Non-Weather Sensitive'!$AK$27,+IF($B28=$F$74,+'8. KW and Non-Weather Sensitive'!$AU$27,0)))))</f>
        <v>203575</v>
      </c>
      <c r="L30" s="407">
        <f>IF($B28=$F$70,+'8. KW and Non-Weather Sensitive'!$F$28,IF($B28=$F$71,+'8. KW and Non-Weather Sensitive'!$Q$28,IF($B28=$F$72,+'8. KW and Non-Weather Sensitive'!$AA$28,IF($B28=$F$73,+'8. KW and Non-Weather Sensitive'!$AK$28,+IF($B28=$F$74,+'8. KW and Non-Weather Sensitive'!$AU$28,0)))))</f>
        <v>207916</v>
      </c>
      <c r="M30" s="407">
        <f>IF($B28=$F$70,+'8. KW and Non-Weather Sensitive'!$F$29,IF($B28=$F$71,+'8. KW and Non-Weather Sensitive'!$Q$29,IF($B28=$F$72,+'8. KW and Non-Weather Sensitive'!$AA$29,IF($B28=$F$73,+'8. KW and Non-Weather Sensitive'!$AK$29,+IF($B28=$F$74,+'8. KW and Non-Weather Sensitive'!$AU$29,0)))))</f>
        <v>216501</v>
      </c>
      <c r="N30" s="407">
        <f>IF($B28=$F$70,+'8. KW and Non-Weather Sensitive'!$F$30,IF($B28=$F$71,+'8. KW and Non-Weather Sensitive'!$Q$30,IF($B28=$F$72,+'8. KW and Non-Weather Sensitive'!$AA$30,IF($B28=$F$73,+'8. KW and Non-Weather Sensitive'!$AK$30,+IF($B28=$F$74,+'8. KW and Non-Weather Sensitive'!$AU$30,0)))))</f>
        <v>206399</v>
      </c>
      <c r="O30" s="407">
        <f>IF($B28=$F$70,+'8. KW and Non-Weather Sensitive'!$J$49,IF($B28=$F$71,+'8. KW and Non-Weather Sensitive'!$U$49,IF($B28=$F$72,+'8. KW and Non-Weather Sensitive'!$AE$49,IF($B28=$F$73,+'8. KW and Non-Weather Sensitive'!$AO$49,+IF($B28=$F$74,+'8. KW and Non-Weather Sensitive'!$AY$49,0)))))</f>
        <v>198917.84757842109</v>
      </c>
      <c r="P30" s="511">
        <f>IF($B28=$F$70,+'8. KW and Non-Weather Sensitive'!$J$50,IF($B28=$F$71,+'8. KW and Non-Weather Sensitive'!$U$50,IF($B28=$F$72,+'8. KW and Non-Weather Sensitive'!$AE$50,IF($B28=$F$73,+'8. KW and Non-Weather Sensitive'!$AO$50,+IF($B28=$F$74,+'8. KW and Non-Weather Sensitive'!$AY$50,0)))))</f>
        <v>198486.48018042342</v>
      </c>
    </row>
    <row r="31" spans="2:16" x14ac:dyDescent="0.2">
      <c r="B31" s="89"/>
      <c r="C31" s="778"/>
      <c r="D31" s="59"/>
      <c r="E31" s="407"/>
      <c r="F31" s="407"/>
      <c r="G31" s="407"/>
      <c r="H31" s="407"/>
      <c r="I31" s="407"/>
      <c r="J31" s="407"/>
      <c r="K31" s="407"/>
      <c r="L31" s="407"/>
      <c r="M31" s="407"/>
      <c r="N31" s="407"/>
      <c r="O31" s="408"/>
      <c r="P31" s="409"/>
    </row>
    <row r="32" spans="2:16" x14ac:dyDescent="0.2">
      <c r="B32" s="762" t="s">
        <v>241</v>
      </c>
      <c r="C32" s="777" t="str">
        <f>IF($B32=$F$65,+$B$65,+IF($B32=$F$66,+$B$66,+IF($B32=$F$67,+$B$67,+IF($B32=$F$67,$B$67,+IF($B32=$F$68,+$B$68,+IF($B32=$F$69,+$B$69,+IF($B32=$F$70,+$B$70,+IF($B32=$F$71,+$B$71,+IF($B32=$F$72,+$B$72,+IF($B32=$F$73,+$B$73,+IF($B32=$F$74,+$B$74)))))))))))</f>
        <v>Streetlighting</v>
      </c>
      <c r="D32" s="59" t="s">
        <v>131</v>
      </c>
      <c r="E32" s="509">
        <f>IF($C32='4. Customer Growth'!$C$15,+'4. Customer Growth'!$C$17,+IF($C32='4. Customer Growth'!$E$15,+'4. Customer Growth'!$E$17,+IF($C32='4. Customer Growth'!$G$15,+'4. Customer Growth'!$G$17,+IF($C32='4. Customer Growth'!$I$15,+'4. Customer Growth'!$I$17,+IF($C32='4. Customer Growth'!$K$15,+'4. Customer Growth'!$K$17,+IF($C32='4. Customer Growth'!$M$15,+'4. Customer Growth'!$M$17,IF($C32='4. Customer Growth'!$O$15,+'4. Customer Growth'!$O$17)))))))</f>
        <v>2604</v>
      </c>
      <c r="F32" s="509">
        <f>IF($C32='4. Customer Growth'!$C$15,+'4. Customer Growth'!$C$18,+IF($C32='4. Customer Growth'!$E$15,+'4. Customer Growth'!$E$18,+IF($C32='4. Customer Growth'!$G$15,+'4. Customer Growth'!$G$18,+IF($C32='4. Customer Growth'!$I$15,+'4. Customer Growth'!$I$18,+IF($C32='4. Customer Growth'!$K$15,+'4. Customer Growth'!$K$18,+IF($C32='4. Customer Growth'!$M$15,+'4. Customer Growth'!$M$18,IF($C32='4. Customer Growth'!$O$15,+'4. Customer Growth'!$O$18)))))))</f>
        <v>2635</v>
      </c>
      <c r="G32" s="509">
        <f>IF($C32='4. Customer Growth'!$C$15,+'4. Customer Growth'!$C$19,+IF($C32='4. Customer Growth'!$E$15,+'4. Customer Growth'!$E$19,+IF($C32='4. Customer Growth'!$G$15,+'4. Customer Growth'!$G$19,+IF($C32='4. Customer Growth'!$I$15,+'4. Customer Growth'!$I$19,+IF($C32='4. Customer Growth'!$K$15,+'4. Customer Growth'!$K$19,+IF($C32='4. Customer Growth'!$M$15,+'4. Customer Growth'!$M$19,IF($C32='4. Customer Growth'!$O$15,+'4. Customer Growth'!$O$19)))))))</f>
        <v>2648</v>
      </c>
      <c r="H32" s="509">
        <f>IF($C32='4. Customer Growth'!$C$15,+'4. Customer Growth'!$C$20,+IF($C32='4. Customer Growth'!$E$15,+'4. Customer Growth'!$E$20,+IF($C32='4. Customer Growth'!$G$15,+'4. Customer Growth'!$G$20,+IF($C32='4. Customer Growth'!$I$15,+'4. Customer Growth'!$I$20,+IF($C32='4. Customer Growth'!$K$15,+'4. Customer Growth'!$K$20,+IF($C32='4. Customer Growth'!$M$15,+'4. Customer Growth'!$M$20,IF($C32='4. Customer Growth'!$O$15,+'4. Customer Growth'!$O$20)))))))</f>
        <v>2653</v>
      </c>
      <c r="I32" s="509">
        <f>IF($C32='4. Customer Growth'!$C$15,+'4. Customer Growth'!$C$21,+IF($C32='4. Customer Growth'!$E$15,+'4. Customer Growth'!$E$21,+IF($C32='4. Customer Growth'!$G$15,+'4. Customer Growth'!$G$21,+IF($C32='4. Customer Growth'!$I$15,+'4. Customer Growth'!$I$21,+IF($C32='4. Customer Growth'!$K$15,+'4. Customer Growth'!$K$21,+IF($C32='4. Customer Growth'!$M$15,+'4. Customer Growth'!$M$21,IF($C32='4. Customer Growth'!$O$15,+'4. Customer Growth'!$O$21)))))))</f>
        <v>2701</v>
      </c>
      <c r="J32" s="509">
        <f>IF($C32='4. Customer Growth'!$C$15,+'4. Customer Growth'!$C$22,+IF($C32='4. Customer Growth'!$E$15,+'4. Customer Growth'!$E$22,+IF($C32='4. Customer Growth'!$G$15,+'4. Customer Growth'!$G$22,+IF($C32='4. Customer Growth'!$I$15,+'4. Customer Growth'!$I$22,+IF($C32='4. Customer Growth'!$K$15,+'4. Customer Growth'!$K$22,+IF($C32='4. Customer Growth'!$M$15,+'4. Customer Growth'!$M$22,IF($C32='4. Customer Growth'!$O$15,+'4. Customer Growth'!$O$22)))))))</f>
        <v>2713</v>
      </c>
      <c r="K32" s="509">
        <f>IF($C32='4. Customer Growth'!$C$15,+'4. Customer Growth'!$C$23,+IF($C32='4. Customer Growth'!$E$15,+'4. Customer Growth'!$E$23,+IF($C32='4. Customer Growth'!$G$15,+'4. Customer Growth'!$G$23,+IF($C32='4. Customer Growth'!$I$15,+'4. Customer Growth'!$I$23,+IF($C32='4. Customer Growth'!$K$15,+'4. Customer Growth'!$K$23,+IF($C32='4. Customer Growth'!$M$15,+'4. Customer Growth'!$M$23,IF($C32='4. Customer Growth'!$O$15,+'4. Customer Growth'!$O$23)))))))</f>
        <v>2769</v>
      </c>
      <c r="L32" s="509">
        <f>IF($C32='4. Customer Growth'!$C$15,+'4. Customer Growth'!$C$24,+IF($C32='4. Customer Growth'!$E$15,+'4. Customer Growth'!$E$24,+IF($C32='4. Customer Growth'!$G$15,+'4. Customer Growth'!$G$24,+IF($C32='4. Customer Growth'!$I$15,+'4. Customer Growth'!$I$24,+IF($C32='4. Customer Growth'!$K$15,+'4. Customer Growth'!$K$24,+IF($C32='4. Customer Growth'!$M$15,+'4. Customer Growth'!$M$24,IF($C32='4. Customer Growth'!$O$15,+'4. Customer Growth'!$O$24)))))))</f>
        <v>2774.5</v>
      </c>
      <c r="M32" s="509">
        <f>IF($C32='4. Customer Growth'!$C$15,+'4. Customer Growth'!$C$25,+IF($C32='4. Customer Growth'!$E$15,+'4. Customer Growth'!$E$25,+IF($C32='4. Customer Growth'!$G$15,+'4. Customer Growth'!$G$25,+IF($C32='4. Customer Growth'!$I$15,+'4. Customer Growth'!$I$25,+IF($C32='4. Customer Growth'!$K$15,+'4. Customer Growth'!$K$25,+IF($C32='4. Customer Growth'!$M$15,+'4. Customer Growth'!$M$25,IF($C32='4. Customer Growth'!$O$15,+'4. Customer Growth'!$O$25)))))))</f>
        <v>2787</v>
      </c>
      <c r="N32" s="509">
        <f>IF($C32='4. Customer Growth'!$C$15,+'4. Customer Growth'!$C$26,+IF($C32='4. Customer Growth'!$E$15,+'4. Customer Growth'!$E$26,+IF($C32='4. Customer Growth'!$G$15,+'4. Customer Growth'!$G$26,+IF($C32='4. Customer Growth'!$I$15,+'4. Customer Growth'!$I$26,+IF($C32='4. Customer Growth'!$K$15,+'4. Customer Growth'!$K$26,+IF($C32='4. Customer Growth'!$M$15,+'4. Customer Growth'!$M$26,IF($C32='4. Customer Growth'!$O$15,+'4. Customer Growth'!$O$26)))))))</f>
        <v>2802.5</v>
      </c>
      <c r="O32" s="509">
        <f>IF($C32='4. Customer Growth'!$C$15,+'4. Customer Growth'!$C$42,+IF($C32='4. Customer Growth'!$E$15,+'4. Customer Growth'!$E$42,+IF($C32='4. Customer Growth'!$G$15,+'4. Customer Growth'!$G$42,+IF($C32='4. Customer Growth'!$I$15,+'4. Customer Growth'!$I$42,+IF($C32='4. Customer Growth'!$K$15,+'4. Customer Growth'!$K$42,+IF($C32='4. Customer Growth'!$M$15,+'4. Customer Growth'!$M$42,IF($C32='4. Customer Growth'!$O$15,+'4. Customer Growth'!$O$42)))))))</f>
        <v>2825.4692256082153</v>
      </c>
      <c r="P32" s="510">
        <f>IF($C32='4. Customer Growth'!$C$15,+'4. Customer Growth'!$C$43,+IF($C32='4. Customer Growth'!$E$15,+'4. Customer Growth'!$E$43,+IF($C32='4. Customer Growth'!$G$15,+'4. Customer Growth'!$G$43,+IF($C32='4. Customer Growth'!$I$15,+'4. Customer Growth'!$I$43,+IF($C32='4. Customer Growth'!$K$15,+'4. Customer Growth'!$K$43,+IF($C32='4. Customer Growth'!$M$15,+'4. Customer Growth'!$M$43,IF($C32='4. Customer Growth'!$O$15,+'4. Customer Growth'!$O$43)))))))</f>
        <v>2848.6267064617618</v>
      </c>
    </row>
    <row r="33" spans="2:16" x14ac:dyDescent="0.2">
      <c r="B33" s="89"/>
      <c r="C33" s="778"/>
      <c r="D33" s="59" t="s">
        <v>36</v>
      </c>
      <c r="E33" s="509">
        <f>IF($B32=$F$65,+'7. Weather Senstive Class'!$G$21,IF($B32=$F$66,+'7. Weather Senstive Class'!$O$21,IF($B32=$F$67,+'7. Weather Senstive Class'!$W$21,IF($B32=$F$68,+'7. Weather Senstive Class'!$AE$21,IF($B32=$F$69,+'7. Weather Senstive Class'!$AM$21,IF($B32=$F$70,+'8. KW and Non-Weather Sensitive'!$E$21,IF($B32=$F$71,+'8. KW and Non-Weather Sensitive'!$P$21,IF($B32=$F$72,+'8. KW and Non-Weather Sensitive'!$Z$21,IF($B32=$F$73,+'8. KW and Non-Weather Sensitive'!$AJ$21,IF($B32=$F$74,+'8. KW and Non-Weather Sensitive'!$AT$21))))))))))</f>
        <v>2426613</v>
      </c>
      <c r="F33" s="509">
        <f>IF($B32=$F$65,+'7. Weather Senstive Class'!$G$22,IF($B32=$F$66,+'7. Weather Senstive Class'!$O$22,IF($B32=$F$67,+'7. Weather Senstive Class'!$W$22,IF($B32=$F$68,+'7. Weather Senstive Class'!$AE$22,IF($B32=$F$69,+'7. Weather Senstive Class'!$AM$22,IF($B32=$F$70,+'8. KW and Non-Weather Sensitive'!$E$22,IF($B32=$F$71,+'8. KW and Non-Weather Sensitive'!$P$22,IF($B32=$F$72,+'8. KW and Non-Weather Sensitive'!$Z$22,IF($B32=$F$73,+'8. KW and Non-Weather Sensitive'!$AJ$22,IF($B32=$F$74,+'8. KW and Non-Weather Sensitive'!$AT$22))))))))))</f>
        <v>2517491</v>
      </c>
      <c r="G33" s="509">
        <f>IF($B32=$F$65,+'7. Weather Senstive Class'!$G$23,IF($B32=$F$66,+'7. Weather Senstive Class'!$O$23,IF($B32=$F$67,+'7. Weather Senstive Class'!$W$23,IF($B32=$F$68,+'7. Weather Senstive Class'!$AE$23,IF($B32=$F$69,+'7. Weather Senstive Class'!$AM$23,IF($B32=$F$70,+'8. KW and Non-Weather Sensitive'!$E$23,IF($B32=$F$71,+'8. KW and Non-Weather Sensitive'!$P$23,IF($B32=$F$72,+'8. KW and Non-Weather Sensitive'!$Z$23,IF($B32=$F$73,+'8. KW and Non-Weather Sensitive'!$AJ$23,IF($B32=$F$74,+'8. KW and Non-Weather Sensitive'!$AT$23))))))))))</f>
        <v>2426477</v>
      </c>
      <c r="H33" s="509">
        <f>IF($B32=$F$65,+'7. Weather Senstive Class'!$G$24,IF($B32=$F$66,+'7. Weather Senstive Class'!$O$24,IF($B32=$F$67,+'7. Weather Senstive Class'!$W$24,IF($B32=$F$68,+'7. Weather Senstive Class'!$AE$24,IF($B32=$F$69,+'7. Weather Senstive Class'!$AM$24,IF($B32=$F$70,+'8. KW and Non-Weather Sensitive'!$E$24,IF($B32=$F$71,+'8. KW and Non-Weather Sensitive'!$P$24,IF($B32=$F$72,+'8. KW and Non-Weather Sensitive'!$Z$24,IF($B32=$F$73,+'8. KW and Non-Weather Sensitive'!$AJ$24,IF($B32=$F$74,+'8. KW and Non-Weather Sensitive'!$AT$24))))))))))</f>
        <v>2370504</v>
      </c>
      <c r="I33" s="509">
        <f>IF($B32=$F$65,+'7. Weather Senstive Class'!$G$25,IF($B32=$F$66,+'7. Weather Senstive Class'!$O$25,IF($B32=$F$67,+'7. Weather Senstive Class'!$W$25,IF($B32=$F$68,+'7. Weather Senstive Class'!$AE$25,IF($B32=$F$69,+'7. Weather Senstive Class'!$AM$25,IF($B32=$F$70,+'8. KW and Non-Weather Sensitive'!$E$25,IF($B32=$F$71,+'8. KW and Non-Weather Sensitive'!$P$25,IF($B32=$F$72,+'8. KW and Non-Weather Sensitive'!$Z$25,IF($B32=$F$73,+'8. KW and Non-Weather Sensitive'!$AJ$25,IF($B32=$F$74,+'8. KW and Non-Weather Sensitive'!$AT$25))))))))))</f>
        <v>2414486.62</v>
      </c>
      <c r="J33" s="509">
        <f>IF($B32=$F$65,+'7. Weather Senstive Class'!$G$26,IF($B32=$F$66,+'7. Weather Senstive Class'!$O$26,IF($B32=$F$67,+'7. Weather Senstive Class'!$M$26,IF($B32=$F$68,+'7. Weather Senstive Class'!$AE$26,IF($B32=$F$69,+'7. Weather Senstive Class'!$AM$26,IF($B32=$F$70,+'8. KW and Non-Weather Sensitive'!$E$26,IF($B32=$F$71,+'8. KW and Non-Weather Sensitive'!$P$26,IF($B32=$F$72,+'8. KW and Non-Weather Sensitive'!$Z$26,IF($B32=$F$73,+'8. KW and Non-Weather Sensitive'!$AJ$26,IF($B32=$F$74,+'8. KW and Non-Weather Sensitive'!$AT$26))))))))))</f>
        <v>2383707.0499999998</v>
      </c>
      <c r="K33" s="509">
        <f>IF($B32=$F$65,+'7. Weather Senstive Class'!$G$27,IF($B32=$F$66,+'7. Weather Senstive Class'!$O$27,IF($B32=$F$67,+'7. Weather Senstive Class'!$W$27,IF($B32=$F$68,+'7. Weather Senstive Class'!$AE$27,IF($B32=$F$69,+'7. Weather Senstive Class'!$AM$27,IF($B32=$F$70,+'8. KW and Non-Weather Sensitive'!$E$27,IF($B32=$F$71,+'8. KW and Non-Weather Sensitive'!$P$27,IF($B32=$F$72,+'8. KW and Non-Weather Sensitive'!$Z$27,IF($B32=$F$73,+'8. KW and Non-Weather Sensitive'!$AJ$27,IF($B32=$F$74,+'8. KW and Non-Weather Sensitive'!$AT$27))))))))))</f>
        <v>2458955</v>
      </c>
      <c r="L33" s="509">
        <f>IF($B32=$F$65,+'7. Weather Senstive Class'!$G$28,IF($B32=$F$66,+'7. Weather Senstive Class'!$O$28,IF($B32=$F$67,+'7. Weather Senstive Class'!$W$28,IF($B32=$F$68,+'7. Weather Senstive Class'!$AE$28,IF($B32=$F$69,+'7. Weather Senstive Class'!$AM$28,IF($B32=$F$70,+'8. KW and Non-Weather Sensitive'!$E$28,IF($B32=$F$71,+'8. KW and Non-Weather Sensitive'!$P$28,IF($B32=$F$72,+'8. KW and Non-Weather Sensitive'!$Z$28,IF($B32=$F$73,+'8. KW and Non-Weather Sensitive'!$AJ$28,IF($B32=$F$74,+'8. KW and Non-Weather Sensitive'!$AT$28))))))))))</f>
        <v>2432689.94</v>
      </c>
      <c r="M33" s="509">
        <f>IF($B32=$F$65,+'7. Weather Senstive Class'!$G$29,IF($B32=$F$66,+'7. Weather Senstive Class'!$O$29,IF($B32=$F$67,+'7. Weather Senstive Class'!$W$29,IF($B32=$F$68,+'7. Weather Senstive Class'!$AE$29,IF($B32=$F$69,+'7. Weather Senstive Class'!$AM$29,IF($B32=$F$70,+'8. KW and Non-Weather Sensitive'!$E$29,IF($B32=$F$71,+'8. KW and Non-Weather Sensitive'!$P$29,IF($B32=$F$72,+'8. KW and Non-Weather Sensitive'!$Z$29,IF($B32=$F$73,+'8. KW and Non-Weather Sensitive'!$AJ$29,IF($B32=$F$74,+'8. KW and Non-Weather Sensitive'!$AT$29))))))))))</f>
        <v>2424248.81</v>
      </c>
      <c r="N33" s="509">
        <f>IF($B32=$F$65,+'7. Weather Senstive Class'!$G$30,IF($B32=$F$66,+'7. Weather Senstive Class'!$O$30,IF($B32=$F$67,+'7. Weather Senstive Class'!$W$30,IF($B32=$F$68,+'7. Weather Senstive Class'!$AE$30,IF($B32=$F$69,+'7. Weather Senstive Class'!$AM$30,IF($B32=$F$70,+'8. KW and Non-Weather Sensitive'!$E$30,IF($B32=$F$71,+'8. KW and Non-Weather Sensitive'!$P$30,IF($B32=$F$72,+'8. KW and Non-Weather Sensitive'!$Z$30,IF($B32=$F$73,+'8. KW and Non-Weather Sensitive'!$AJ$30,IF($B32=$F$74,+'8. KW and Non-Weather Sensitive'!$AT$30))))))))))</f>
        <v>2439791.5699999998</v>
      </c>
      <c r="O33" s="509">
        <f>IF($B32=$F$65,+'7. Weather Senstive Class'!$H$42,IF($B32=$F$66,+'7. Weather Senstive Class'!$P$42,IF($B32=$F$67,+'7. Weather Senstive Class'!$X$42,IF($B32=$F$68,+'7. Weather Senstive Class'!$AF$42,IF($B32=$F$69,+'7. Weather Senstive Class'!$AN$42,IF($B32=$F$70,+'8. KW and Non-Weather Sensitive'!$I$49,IF($B32=$F$71,+'8. KW and Non-Weather Sensitive'!$T$49,IF($B32=$F$72,+'8. KW and Non-Weather Sensitive'!$AD$49,IF($B32=$F$73,+'8. KW and Non-Weather Sensitive'!$AN$49,IF($B32=$F$74,+'8. KW and Non-Weather Sensitive'!$AX$49))))))))))</f>
        <v>2432606.0526600452</v>
      </c>
      <c r="P33" s="510">
        <f>IF($B32=$F$65,+'7. Weather Senstive Class'!$H$43,IF($B32=$F$66,+'7. Weather Senstive Class'!$P$43,IF($B32=$F$67,+'7. Weather Senstive Class'!$X$43,IF($B32=$F$68,+'7. Weather Senstive Class'!$AF$43,IF($B32=$F$69,+'7. Weather Senstive Class'!$AN$43,IF($B32=$F$70,+'8. KW and Non-Weather Sensitive'!$I$50,IF($B32=$F$71,+'8. KW and Non-Weather Sensitive'!$T$50,IF($B32=$F$72,+'8. KW and Non-Weather Sensitive'!$AD$50,IF($B32=$F$73,+'8. KW and Non-Weather Sensitive'!$AN$50,IF($B32=$F$74,+'8. KW and Non-Weather Sensitive'!$AX$50))))))))))</f>
        <v>1271330.774669338</v>
      </c>
    </row>
    <row r="34" spans="2:16" x14ac:dyDescent="0.2">
      <c r="B34" s="89"/>
      <c r="C34" s="778"/>
      <c r="D34" s="59" t="s">
        <v>37</v>
      </c>
      <c r="E34" s="407">
        <f>IF(B$16=$F$70,+'8. KW and Non-Weather Sensitive'!$F$21,IF($B32=$F$71,+'8. KW and Non-Weather Sensitive'!$Q$21,IF($B32=$F$72,+'8. KW and Non-Weather Sensitive'!$AA$21,IF($B32=$F$73,+'8. KW and Non-Weather Sensitive'!$AK$21,+IF($B32=$F$74,+'8. KW and Non-Weather Sensitive'!$AU$21,0)))))</f>
        <v>6774</v>
      </c>
      <c r="F34" s="407">
        <f>IF($B32=$F$70,+'8. KW and Non-Weather Sensitive'!$F$22,IF($B32=$F$71,+'8. KW and Non-Weather Sensitive'!$Q$22,IF($B32=$F$72,+'8. KW and Non-Weather Sensitive'!$AA$22,IF($B32=$F$73,+'8. KW and Non-Weather Sensitive'!$AK$22,+IF($B32=$F$74,+'8. KW and Non-Weather Sensitive'!$AU$22,0)))))</f>
        <v>6784</v>
      </c>
      <c r="G34" s="407">
        <f>IF($B32=$F$70,+'8. KW and Non-Weather Sensitive'!$F$23,IF($B32=$F$71,+'8. KW and Non-Weather Sensitive'!$Q$23,IF($B32=$F$72,+'8. KW and Non-Weather Sensitive'!$AA$23,IF($B32=$F$73,+'8. KW and Non-Weather Sensitive'!$AK$23,+IF($B32=$F$74,+'8. KW and Non-Weather Sensitive'!$AU$23,0)))))</f>
        <v>6778</v>
      </c>
      <c r="H34" s="407">
        <f>IF($B32=$F$70,+'8. KW and Non-Weather Sensitive'!$F$24,IF($B32=$F$71,+'8. KW and Non-Weather Sensitive'!$Q$24,IF($B32=$F$72,+'8. KW and Non-Weather Sensitive'!$AA$24,IF($B32=$F$73,+'8. KW and Non-Weather Sensitive'!$AK$24,+IF($B32=$F$74,+'8. KW and Non-Weather Sensitive'!$AU$24,0)))))</f>
        <v>6728</v>
      </c>
      <c r="I34" s="407">
        <f>IF($B32=$F$70,+'8. KW and Non-Weather Sensitive'!$F$25,IF($B32=$F$71,+'8. KW and Non-Weather Sensitive'!$Q$25,IF($B32=$F$72,+'8. KW and Non-Weather Sensitive'!$AA$25,IF($B32=$F$73,+'8. KW and Non-Weather Sensitive'!$AK$25,+IF($B32=$F$74,+'8. KW and Non-Weather Sensitive'!$AU$25,0)))))</f>
        <v>6652</v>
      </c>
      <c r="J34" s="407">
        <f>IF($B32=$F$70,+'8. KW and Non-Weather Sensitive'!$F$26,IF($B32=$F$71,+'8. KW and Non-Weather Sensitive'!$Q$26,IF($B32=$F$72,+'8. KW and Non-Weather Sensitive'!$AA$26,IF($B32=$F$73,+'8. KW and Non-Weather Sensitive'!$AK$26,+IF($B32=$F$74,+'8. KW and Non-Weather Sensitive'!$AU$26,0)))))</f>
        <v>6766</v>
      </c>
      <c r="K34" s="407">
        <f>IF($B32=$F$70,+'8. KW and Non-Weather Sensitive'!$F$27,IF($B32=$F$71,+'8. KW and Non-Weather Sensitive'!$Q$27,IF($B32=$F$72,+'8. KW and Non-Weather Sensitive'!$AA$27,IF($B32=$F$73,+'8. KW and Non-Weather Sensitive'!$AK$27,+IF($B32=$F$74,+'8. KW and Non-Weather Sensitive'!$AU$27,0)))))</f>
        <v>6840</v>
      </c>
      <c r="L34" s="407">
        <f>IF($B32=$F$70,+'8. KW and Non-Weather Sensitive'!$F$28,IF($B32=$F$71,+'8. KW and Non-Weather Sensitive'!$Q$28,IF($B32=$F$72,+'8. KW and Non-Weather Sensitive'!$AA$28,IF($B32=$F$73,+'8. KW and Non-Weather Sensitive'!$AK$28,+IF($B32=$F$74,+'8. KW and Non-Weather Sensitive'!$AU$28,0)))))</f>
        <v>6768.3999999999987</v>
      </c>
      <c r="M34" s="407">
        <f>IF($B32=$F$70,+'8. KW and Non-Weather Sensitive'!$F$29,IF($B32=$F$71,+'8. KW and Non-Weather Sensitive'!$Q$29,IF($B32=$F$72,+'8. KW and Non-Weather Sensitive'!$AA$29,IF($B32=$F$73,+'8. KW and Non-Weather Sensitive'!$AK$29,+IF($B32=$F$74,+'8. KW and Non-Weather Sensitive'!$AU$29,0)))))</f>
        <v>6765.9000000000005</v>
      </c>
      <c r="N34" s="407">
        <f>IF($B32=$F$70,+'8. KW and Non-Weather Sensitive'!$F$30,IF($B32=$F$71,+'8. KW and Non-Weather Sensitive'!$Q$30,IF($B32=$F$72,+'8. KW and Non-Weather Sensitive'!$AA$30,IF($B32=$F$73,+'8. KW and Non-Weather Sensitive'!$AK$30,+IF($B32=$F$74,+'8. KW and Non-Weather Sensitive'!$AU$30,0)))))</f>
        <v>6769.9599999999991</v>
      </c>
      <c r="O34" s="407">
        <f>IF($B32=$F$70,+'8. KW and Non-Weather Sensitive'!$J$49,IF($B32=$F$71,+'8. KW and Non-Weather Sensitive'!$U$49,IF($B32=$F$72,+'8. KW and Non-Weather Sensitive'!$AE$49,IF($B32=$F$73,+'8. KW and Non-Weather Sensitive'!$AO$49,+IF($B32=$F$74,+'8. KW and Non-Weather Sensitive'!$AY$49,0)))))</f>
        <v>6772.6200970626942</v>
      </c>
      <c r="P34" s="511">
        <f>IF($B32=$F$70,+'8. KW and Non-Weather Sensitive'!$J$50,IF($B32=$F$71,+'8. KW and Non-Weather Sensitive'!$U$50,IF($B32=$F$72,+'8. KW and Non-Weather Sensitive'!$AE$50,IF($B32=$F$73,+'8. KW and Non-Weather Sensitive'!$AO$50,+IF($B32=$F$74,+'8. KW and Non-Weather Sensitive'!$AY$50,0)))))</f>
        <v>3539.512838556238</v>
      </c>
    </row>
    <row r="35" spans="2:16" x14ac:dyDescent="0.2">
      <c r="B35" s="89"/>
      <c r="C35" s="778"/>
      <c r="D35" s="59"/>
      <c r="E35" s="407"/>
      <c r="F35" s="407"/>
      <c r="G35" s="407"/>
      <c r="H35" s="407"/>
      <c r="I35" s="407"/>
      <c r="J35" s="407"/>
      <c r="K35" s="407"/>
      <c r="L35" s="407"/>
      <c r="M35" s="407"/>
      <c r="N35" s="407"/>
      <c r="O35" s="408"/>
      <c r="P35" s="409"/>
    </row>
    <row r="36" spans="2:16" x14ac:dyDescent="0.2">
      <c r="B36" s="762" t="s">
        <v>242</v>
      </c>
      <c r="C36" s="777" t="str">
        <f>IF($B36=$F$65,+$B$65,+IF($B36=$F$66,+$B$66,+IF($B36=$F$67,+$B$67,+IF($B36=$F$67,$B$67,+IF($B36=$F$68,+$B$68,+IF($B36=$F$69,+$B$69,+IF($B36=$F$70,+$B$70,+IF($B36=$F$71,+$B$71,+IF($B36=$F$72,+$B$72,+IF($B36=$F$73,+$B$73,+IF($B36=$F$74,+$B$74)))))))))))</f>
        <v>Sentinel Lighting</v>
      </c>
      <c r="D36" s="59" t="s">
        <v>131</v>
      </c>
      <c r="E36" s="509">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Growth'!$O$17)))))))</f>
        <v>250</v>
      </c>
      <c r="F36" s="509">
        <f>IF($C36='4. Customer Growth'!$C$15,+'4. Customer Growth'!$C$18,+IF($C36='4. Customer Growth'!$E$15,+'4. Customer Growth'!$E$18,+IF($C36='4. Customer Growth'!$G$15,+'4. Customer Growth'!$G$18,+IF($C36='4. Customer Growth'!$I$15,+'4. Customer Growth'!$I$18,+IF($C36='4. Customer Growth'!$K$15,+'4. Customer Growth'!$K$18,+IF($C36='4. Customer Growth'!$M$15,+'4. Customer Growth'!$M$18,IF($C36='4. Customer Growth'!$O$15,+'4. Customer Growth'!$O$18)))))))</f>
        <v>225</v>
      </c>
      <c r="G36" s="509">
        <f>IF($C36='4. Customer Growth'!$C$15,+'4. Customer Growth'!$C$19,+IF($C36='4. Customer Growth'!$E$15,+'4. Customer Growth'!$E$19,+IF($C36='4. Customer Growth'!$G$15,+'4. Customer Growth'!$G$19,+IF($C36='4. Customer Growth'!$I$15,+'4. Customer Growth'!$I$19,+IF($C36='4. Customer Growth'!$K$15,+'4. Customer Growth'!$K$19,+IF($C36='4. Customer Growth'!$M$15,+'4. Customer Growth'!$M$19,IF($C36='4. Customer Growth'!$O$15,+'4. Customer Growth'!$O$19)))))))</f>
        <v>225</v>
      </c>
      <c r="H36" s="509">
        <f>IF($C36='4. Customer Growth'!$C$15,+'4. Customer Growth'!$C$20,+IF($C36='4. Customer Growth'!$E$15,+'4. Customer Growth'!$E$20,+IF($C36='4. Customer Growth'!$G$15,+'4. Customer Growth'!$G$20,+IF($C36='4. Customer Growth'!$I$15,+'4. Customer Growth'!$I$20,+IF($C36='4. Customer Growth'!$K$15,+'4. Customer Growth'!$K$20,+IF($C36='4. Customer Growth'!$M$15,+'4. Customer Growth'!$M$20,IF($C36='4. Customer Growth'!$O$15,+'4. Customer Growth'!$O$20)))))))</f>
        <v>226</v>
      </c>
      <c r="I36" s="509">
        <f>IF($C36='4. Customer Growth'!$C$15,+'4. Customer Growth'!$C$21,+IF($C36='4. Customer Growth'!$E$15,+'4. Customer Growth'!$E$21,+IF($C36='4. Customer Growth'!$G$15,+'4. Customer Growth'!$G$21,+IF($C36='4. Customer Growth'!$I$15,+'4. Customer Growth'!$I$21,+IF($C36='4. Customer Growth'!$K$15,+'4. Customer Growth'!$K$21,+IF($C36='4. Customer Growth'!$M$15,+'4. Customer Growth'!$M$21,IF($C36='4. Customer Growth'!$O$15,+'4. Customer Growth'!$O$21)))))))</f>
        <v>226</v>
      </c>
      <c r="J36" s="509">
        <f>IF($C36='4. Customer Growth'!$C$15,+'4. Customer Growth'!$C$22,+IF($C36='4. Customer Growth'!$E$15,+'4. Customer Growth'!$E$22,+IF($C36='4. Customer Growth'!$G$15,+'4. Customer Growth'!$G$22,+IF($C36='4. Customer Growth'!$I$15,+'4. Customer Growth'!$I$22,+IF($C36='4. Customer Growth'!$K$15,+'4. Customer Growth'!$K$22,+IF($C36='4. Customer Growth'!$M$15,+'4. Customer Growth'!$M$22,IF($C36='4. Customer Growth'!$O$15,+'4. Customer Growth'!$O$22)))))))</f>
        <v>216</v>
      </c>
      <c r="K36" s="509">
        <f>IF($C36='4. Customer Growth'!$C$15,+'4. Customer Growth'!$C$23,+IF($C36='4. Customer Growth'!$E$15,+'4. Customer Growth'!$E$23,+IF($C36='4. Customer Growth'!$G$15,+'4. Customer Growth'!$G$23,+IF($C36='4. Customer Growth'!$I$15,+'4. Customer Growth'!$I$23,+IF($C36='4. Customer Growth'!$K$15,+'4. Customer Growth'!$K$23,+IF($C36='4. Customer Growth'!$M$15,+'4. Customer Growth'!$M$23,IF($C36='4. Customer Growth'!$O$15,+'4. Customer Growth'!$O$23)))))))</f>
        <v>209</v>
      </c>
      <c r="L36" s="509">
        <f>IF($C36='4. Customer Growth'!$C$15,+'4. Customer Growth'!$C$24,+IF($C36='4. Customer Growth'!$E$15,+'4. Customer Growth'!$E$24,+IF($C36='4. Customer Growth'!$G$15,+'4. Customer Growth'!$G$24,+IF($C36='4. Customer Growth'!$I$15,+'4. Customer Growth'!$I$24,+IF($C36='4. Customer Growth'!$K$15,+'4. Customer Growth'!$K$24,+IF($C36='4. Customer Growth'!$M$15,+'4. Customer Growth'!$M$24,IF($C36='4. Customer Growth'!$O$15,+'4. Customer Growth'!$O$24)))))))</f>
        <v>208.5</v>
      </c>
      <c r="M36" s="509">
        <f>IF($C36='4. Customer Growth'!$C$15,+'4. Customer Growth'!$C$25,+IF($C36='4. Customer Growth'!$E$15,+'4. Customer Growth'!$E$25,+IF($C36='4. Customer Growth'!$G$15,+'4. Customer Growth'!$G$25,+IF($C36='4. Customer Growth'!$I$15,+'4. Customer Growth'!$I$25,+IF($C36='4. Customer Growth'!$K$15,+'4. Customer Growth'!$K$25,+IF($C36='4. Customer Growth'!$M$15,+'4. Customer Growth'!$M$25,IF($C36='4. Customer Growth'!$O$15,+'4. Customer Growth'!$O$25)))))))</f>
        <v>206.5</v>
      </c>
      <c r="N36" s="509">
        <f>IF($C36='4. Customer Growth'!$C$15,+'4. Customer Growth'!$C$26,+IF($C36='4. Customer Growth'!$E$15,+'4. Customer Growth'!$E$26,+IF($C36='4. Customer Growth'!$G$15,+'4. Customer Growth'!$G$26,+IF($C36='4. Customer Growth'!$I$15,+'4. Customer Growth'!$I$26,+IF($C36='4. Customer Growth'!$K$15,+'4. Customer Growth'!$K$26,+IF($C36='4. Customer Growth'!$M$15,+'4. Customer Growth'!$M$26,IF($C36='4. Customer Growth'!$O$15,+'4. Customer Growth'!$O$26)))))))</f>
        <v>204</v>
      </c>
      <c r="O36" s="509">
        <f>IF($C36='4. Customer Growth'!$C$15,+'4. Customer Growth'!$C$42,+IF($C36='4. Customer Growth'!$E$15,+'4. Customer Growth'!$E$42,+IF($C36='4. Customer Growth'!$G$15,+'4. Customer Growth'!$G$42,+IF($C36='4. Customer Growth'!$I$15,+'4. Customer Growth'!$I$42,+IF($C36='4. Customer Growth'!$K$15,+'4. Customer Growth'!$K$42,+IF($C36='4. Customer Growth'!$M$15,+'4. Customer Growth'!$M$42,IF($C36='4. Customer Growth'!$O$15,+'4. Customer Growth'!$O$42)))))))</f>
        <v>199.44261639611278</v>
      </c>
      <c r="P36" s="510">
        <f>IF($C36='4. Customer Growth'!$C$15,+'4. Customer Growth'!$C$43,+IF($C36='4. Customer Growth'!$E$15,+'4. Customer Growth'!$E$43,+IF($C36='4. Customer Growth'!$G$15,+'4. Customer Growth'!$G$43,+IF($C36='4. Customer Growth'!$I$15,+'4. Customer Growth'!$I$43,+IF($C36='4. Customer Growth'!$K$15,+'4. Customer Growth'!$K$43,+IF($C36='4. Customer Growth'!$M$15,+'4. Customer Growth'!$M$43,IF($C36='4. Customer Growth'!$O$15,+'4. Customer Growth'!$O$43)))))))</f>
        <v>194.98704526924996</v>
      </c>
    </row>
    <row r="37" spans="2:16" x14ac:dyDescent="0.2">
      <c r="B37" s="89"/>
      <c r="C37" s="778"/>
      <c r="D37" s="59" t="s">
        <v>36</v>
      </c>
      <c r="E37" s="509">
        <f>IF($B36=$F$65,+'7. Weather Senstive Class'!$G$21,IF($B36=$F$66,+'7. Weather Senstive Class'!$O$21,IF($B36=$F$67,+'7. Weather Senstive Class'!$W$21,IF($B36=$F$68,+'7. Weather Senstive Class'!$AE$21,IF($B36=$F$69,+'7. Weather Senstive Class'!$AM$21,IF($B36=$F$70,+'8. KW and Non-Weather Sensitive'!$E$21,IF($B36=$F$71,+'8. KW and Non-Weather Sensitive'!$P$21,IF($B36=$F$72,+'8. KW and Non-Weather Sensitive'!$Z$21,IF($B36=$F$73,+'8. KW and Non-Weather Sensitive'!$AJ$21,IF($B36=$F$74,+'8. KW and Non-Weather Sensitive'!$AT$21))))))))))</f>
        <v>284178</v>
      </c>
      <c r="F37" s="509">
        <f>IF($B36=$F$65,+'7. Weather Senstive Class'!$G$22,IF($B36=$F$66,+'7. Weather Senstive Class'!$O$22,IF($B36=$F$67,+'7. Weather Senstive Class'!$W$22,IF($B36=$F$68,+'7. Weather Senstive Class'!$AE$22,IF($B36=$F$69,+'7. Weather Senstive Class'!$AM$22,IF($B36=$F$70,+'8. KW and Non-Weather Sensitive'!$E$22,IF($B36=$F$71,+'8. KW and Non-Weather Sensitive'!$P$22,IF($B36=$F$72,+'8. KW and Non-Weather Sensitive'!$Z$22,IF($B36=$F$73,+'8. KW and Non-Weather Sensitive'!$AJ$22,IF($B36=$F$74,+'8. KW and Non-Weather Sensitive'!$AT$22))))))))))</f>
        <v>267504</v>
      </c>
      <c r="G37" s="509">
        <f>IF($B36=$F$65,+'7. Weather Senstive Class'!$G$23,IF($B36=$F$66,+'7. Weather Senstive Class'!$O$23,IF($B36=$F$67,+'7. Weather Senstive Class'!$W$23,IF($B36=$F$68,+'7. Weather Senstive Class'!$AE$23,IF($B36=$F$69,+'7. Weather Senstive Class'!$AM$23,IF($B36=$F$70,+'8. KW and Non-Weather Sensitive'!$E$23,IF($B36=$F$71,+'8. KW and Non-Weather Sensitive'!$P$23,IF($B36=$F$72,+'8. KW and Non-Weather Sensitive'!$Z$23,IF($B36=$F$73,+'8. KW and Non-Weather Sensitive'!$AJ$23,IF($B36=$F$74,+'8. KW and Non-Weather Sensitive'!$AT$23))))))))))</f>
        <v>266011</v>
      </c>
      <c r="H37" s="509">
        <f>IF($B36=$F$65,+'7. Weather Senstive Class'!$G$24,IF($B36=$F$66,+'7. Weather Senstive Class'!$O$24,IF($B36=$F$67,+'7. Weather Senstive Class'!$W$24,IF($B36=$F$68,+'7. Weather Senstive Class'!$AE$24,IF($B36=$F$69,+'7. Weather Senstive Class'!$AM$24,IF($B36=$F$70,+'8. KW and Non-Weather Sensitive'!$E$24,IF($B36=$F$71,+'8. KW and Non-Weather Sensitive'!$P$24,IF($B36=$F$72,+'8. KW and Non-Weather Sensitive'!$Z$24,IF($B36=$F$73,+'8. KW and Non-Weather Sensitive'!$AJ$24,IF($B36=$F$74,+'8. KW and Non-Weather Sensitive'!$AT$24))))))))))</f>
        <v>262124</v>
      </c>
      <c r="I37" s="509">
        <f>IF($B36=$F$65,+'7. Weather Senstive Class'!$G$25,IF($B36=$F$66,+'7. Weather Senstive Class'!$O$25,IF($B36=$F$67,+'7. Weather Senstive Class'!$W$25,IF($B36=$F$68,+'7. Weather Senstive Class'!$AE$25,IF($B36=$F$69,+'7. Weather Senstive Class'!$AM$25,IF($B36=$F$70,+'8. KW and Non-Weather Sensitive'!$E$25,IF($B36=$F$71,+'8. KW and Non-Weather Sensitive'!$P$25,IF($B36=$F$72,+'8. KW and Non-Weather Sensitive'!$Z$25,IF($B36=$F$73,+'8. KW and Non-Weather Sensitive'!$AJ$25,IF($B36=$F$74,+'8. KW and Non-Weather Sensitive'!$AT$25))))))))))</f>
        <v>265370.21000000002</v>
      </c>
      <c r="J37" s="509">
        <f>IF($B36=$F$65,+'7. Weather Senstive Class'!$G$26,IF($B36=$F$66,+'7. Weather Senstive Class'!$O$26,IF($B36=$F$67,+'7. Weather Senstive Class'!$M$26,IF($B36=$F$68,+'7. Weather Senstive Class'!$AE$26,IF($B36=$F$69,+'7. Weather Senstive Class'!$AM$26,IF($B36=$F$70,+'8. KW and Non-Weather Sensitive'!$E$26,IF($B36=$F$71,+'8. KW and Non-Weather Sensitive'!$P$26,IF($B36=$F$72,+'8. KW and Non-Weather Sensitive'!$Z$26,IF($B36=$F$73,+'8. KW and Non-Weather Sensitive'!$AJ$26,IF($B36=$F$74,+'8. KW and Non-Weather Sensitive'!$AT$26))))))))))</f>
        <v>233685.69</v>
      </c>
      <c r="K37" s="509">
        <f>IF($B36=$F$65,+'7. Weather Senstive Class'!$G$27,IF($B36=$F$66,+'7. Weather Senstive Class'!$O$27,IF($B36=$F$67,+'7. Weather Senstive Class'!$W$27,IF($B36=$F$68,+'7. Weather Senstive Class'!$AE$27,IF($B36=$F$69,+'7. Weather Senstive Class'!$AM$27,IF($B36=$F$70,+'8. KW and Non-Weather Sensitive'!$E$27,IF($B36=$F$71,+'8. KW and Non-Weather Sensitive'!$P$27,IF($B36=$F$72,+'8. KW and Non-Weather Sensitive'!$Z$27,IF($B36=$F$73,+'8. KW and Non-Weather Sensitive'!$AJ$27,IF($B36=$F$74,+'8. KW and Non-Weather Sensitive'!$AT$27))))))))))</f>
        <v>270899.02</v>
      </c>
      <c r="L37" s="509">
        <f>IF($B36=$F$65,+'7. Weather Senstive Class'!$G$28,IF($B36=$F$66,+'7. Weather Senstive Class'!$O$28,IF($B36=$F$67,+'7. Weather Senstive Class'!$W$28,IF($B36=$F$68,+'7. Weather Senstive Class'!$AE$28,IF($B36=$F$69,+'7. Weather Senstive Class'!$AM$28,IF($B36=$F$70,+'8. KW and Non-Weather Sensitive'!$E$28,IF($B36=$F$71,+'8. KW and Non-Weather Sensitive'!$P$28,IF($B36=$F$72,+'8. KW and Non-Weather Sensitive'!$Z$28,IF($B36=$F$73,+'8. KW and Non-Weather Sensitive'!$AJ$28,IF($B36=$F$74,+'8. KW and Non-Weather Sensitive'!$AT$28))))))))))</f>
        <v>243747.31</v>
      </c>
      <c r="M37" s="509">
        <f>IF($B36=$F$65,+'7. Weather Senstive Class'!$G$29,IF($B36=$F$66,+'7. Weather Senstive Class'!$O$29,IF($B36=$F$67,+'7. Weather Senstive Class'!$W$29,IF($B36=$F$68,+'7. Weather Senstive Class'!$AE$29,IF($B36=$F$69,+'7. Weather Senstive Class'!$AM$29,IF($B36=$F$70,+'8. KW and Non-Weather Sensitive'!$E$29,IF($B36=$F$71,+'8. KW and Non-Weather Sensitive'!$P$29,IF($B36=$F$72,+'8. KW and Non-Weather Sensitive'!$Z$29,IF($B36=$F$73,+'8. KW and Non-Weather Sensitive'!$AJ$29,IF($B36=$F$74,+'8. KW and Non-Weather Sensitive'!$AT$29))))))))))</f>
        <v>270899.02</v>
      </c>
      <c r="N37" s="509">
        <f>IF($B36=$F$65,+'7. Weather Senstive Class'!$G$30,IF($B36=$F$66,+'7. Weather Senstive Class'!$O$30,IF($B36=$F$67,+'7. Weather Senstive Class'!$W$30,IF($B36=$F$68,+'7. Weather Senstive Class'!$AE$30,IF($B36=$F$69,+'7. Weather Senstive Class'!$AM$30,IF($B36=$F$70,+'8. KW and Non-Weather Sensitive'!$E$30,IF($B36=$F$71,+'8. KW and Non-Weather Sensitive'!$P$30,IF($B36=$F$72,+'8. KW and Non-Weather Sensitive'!$Z$30,IF($B36=$F$73,+'8. KW and Non-Weather Sensitive'!$AJ$30,IF($B36=$F$74,+'8. KW and Non-Weather Sensitive'!$AT$30))))))))))</f>
        <v>245570.47</v>
      </c>
      <c r="O37" s="509">
        <f>IF($B36=$F$65,+'7. Weather Senstive Class'!$H$42,IF($B36=$F$66,+'7. Weather Senstive Class'!$P$42,IF($B36=$F$67,+'7. Weather Senstive Class'!$X$42,IF($B36=$F$68,+'7. Weather Senstive Class'!$AF$42,IF($B36=$F$69,+'7. Weather Senstive Class'!$AN$42,IF($B36=$F$70,+'8. KW and Non-Weather Sensitive'!$I$49,IF($B36=$F$71,+'8. KW and Non-Weather Sensitive'!$T$49,IF($B36=$F$72,+'8. KW and Non-Weather Sensitive'!$AD$49,IF($B36=$F$73,+'8. KW and Non-Weather Sensitive'!$AN$49,IF($B36=$F$74,+'8. KW and Non-Weather Sensitive'!$AX$49))))))))))</f>
        <v>244847.23163322191</v>
      </c>
      <c r="P37" s="510">
        <f>IF($B36=$F$65,+'7. Weather Senstive Class'!$H$43,IF($B36=$F$66,+'7. Weather Senstive Class'!$P$43,IF($B36=$F$67,+'7. Weather Senstive Class'!$X$43,IF($B36=$F$68,+'7. Weather Senstive Class'!$AF$43,IF($B36=$F$69,+'7. Weather Senstive Class'!$AN$43,IF($B36=$F$70,+'8. KW and Non-Weather Sensitive'!$I$50,IF($B36=$F$71,+'8. KW and Non-Weather Sensitive'!$T$50,IF($B36=$F$72,+'8. KW and Non-Weather Sensitive'!$AD$50,IF($B36=$F$73,+'8. KW and Non-Weather Sensitive'!$AN$50,IF($B36=$F$74,+'8. KW and Non-Weather Sensitive'!$AX$50))))))))))</f>
        <v>244316.26312284268</v>
      </c>
    </row>
    <row r="38" spans="2:16" x14ac:dyDescent="0.2">
      <c r="B38" s="89"/>
      <c r="C38" s="778"/>
      <c r="D38" s="59" t="s">
        <v>37</v>
      </c>
      <c r="E38" s="407">
        <f>IF(B$16=$F$70,+'8. KW and Non-Weather Sensitive'!$F$21,IF($B36=$F$71,+'8. KW and Non-Weather Sensitive'!$Q$21,IF($B36=$F$72,+'8. KW and Non-Weather Sensitive'!$AA$21,IF($B36=$F$73,+'8. KW and Non-Weather Sensitive'!$AK$21,+IF($B36=$F$74,+'8. KW and Non-Weather Sensitive'!$AU$21,0)))))</f>
        <v>783</v>
      </c>
      <c r="F38" s="407">
        <f>IF($B36=$F$70,+'8. KW and Non-Weather Sensitive'!$F$22,IF($B36=$F$71,+'8. KW and Non-Weather Sensitive'!$Q$22,IF($B36=$F$72,+'8. KW and Non-Weather Sensitive'!$AA$22,IF($B36=$F$73,+'8. KW and Non-Weather Sensitive'!$AK$22,+IF($B36=$F$74,+'8. KW and Non-Weather Sensitive'!$AU$22,0)))))</f>
        <v>767</v>
      </c>
      <c r="G38" s="407">
        <f>IF($B36=$F$70,+'8. KW and Non-Weather Sensitive'!$F$23,IF($B36=$F$71,+'8. KW and Non-Weather Sensitive'!$Q$23,IF($B36=$F$72,+'8. KW and Non-Weather Sensitive'!$AA$23,IF($B36=$F$73,+'8. KW and Non-Weather Sensitive'!$AK$23,+IF($B36=$F$74,+'8. KW and Non-Weather Sensitive'!$AU$23,0)))))</f>
        <v>766</v>
      </c>
      <c r="H38" s="407">
        <f>IF($B36=$F$70,+'8. KW and Non-Weather Sensitive'!$F$24,IF($B36=$F$71,+'8. KW and Non-Weather Sensitive'!$Q$24,IF($B36=$F$72,+'8. KW and Non-Weather Sensitive'!$AA$24,IF($B36=$F$73,+'8. KW and Non-Weather Sensitive'!$AK$24,+IF($B36=$F$74,+'8. KW and Non-Weather Sensitive'!$AU$24,0)))))</f>
        <v>751</v>
      </c>
      <c r="I38" s="407">
        <f>IF($B36=$F$70,+'8. KW and Non-Weather Sensitive'!$F$25,IF($B36=$F$71,+'8. KW and Non-Weather Sensitive'!$Q$25,IF($B36=$F$72,+'8. KW and Non-Weather Sensitive'!$AA$25,IF($B36=$F$73,+'8. KW and Non-Weather Sensitive'!$AK$25,+IF($B36=$F$74,+'8. KW and Non-Weather Sensitive'!$AU$25,0)))))</f>
        <v>756</v>
      </c>
      <c r="J38" s="407">
        <f>IF($B36=$F$70,+'8. KW and Non-Weather Sensitive'!$F$26,IF($B36=$F$71,+'8. KW and Non-Weather Sensitive'!$Q$26,IF($B36=$F$72,+'8. KW and Non-Weather Sensitive'!$AA$26,IF($B36=$F$73,+'8. KW and Non-Weather Sensitive'!$AK$26,+IF($B36=$F$74,+'8. KW and Non-Weather Sensitive'!$AU$26,0)))))</f>
        <v>766</v>
      </c>
      <c r="K38" s="407">
        <f>IF($B36=$F$70,+'8. KW and Non-Weather Sensitive'!$F$27,IF($B36=$F$71,+'8. KW and Non-Weather Sensitive'!$Q$27,IF($B36=$F$72,+'8. KW and Non-Weather Sensitive'!$AA$27,IF($B36=$F$73,+'8. KW and Non-Weather Sensitive'!$AK$27,+IF($B36=$F$74,+'8. KW and Non-Weather Sensitive'!$AU$27,0)))))</f>
        <v>734</v>
      </c>
      <c r="L38" s="407">
        <f>IF($B36=$F$70,+'8. KW and Non-Weather Sensitive'!$F$28,IF($B36=$F$71,+'8. KW and Non-Weather Sensitive'!$Q$28,IF($B36=$F$72,+'8. KW and Non-Weather Sensitive'!$AA$28,IF($B36=$F$73,+'8. KW and Non-Weather Sensitive'!$AK$28,+IF($B36=$F$74,+'8. KW and Non-Weather Sensitive'!$AU$28,0)))))</f>
        <v>713</v>
      </c>
      <c r="M38" s="407">
        <f>IF($B36=$F$70,+'8. KW and Non-Weather Sensitive'!$F$29,IF($B36=$F$71,+'8. KW and Non-Weather Sensitive'!$Q$29,IF($B36=$F$72,+'8. KW and Non-Weather Sensitive'!$AA$29,IF($B36=$F$73,+'8. KW and Non-Weather Sensitive'!$AK$29,+IF($B36=$F$74,+'8. KW and Non-Weather Sensitive'!$AU$29,0)))))</f>
        <v>700</v>
      </c>
      <c r="N38" s="407">
        <f>IF($B36=$F$70,+'8. KW and Non-Weather Sensitive'!$F$30,IF($B36=$F$71,+'8. KW and Non-Weather Sensitive'!$Q$30,IF($B36=$F$72,+'8. KW and Non-Weather Sensitive'!$AA$30,IF($B36=$F$73,+'8. KW and Non-Weather Sensitive'!$AK$30,+IF($B36=$F$74,+'8. KW and Non-Weather Sensitive'!$AU$30,0)))))</f>
        <v>683.5</v>
      </c>
      <c r="O38" s="407">
        <f>IF($B36=$F$70,+'8. KW and Non-Weather Sensitive'!$J$49,IF($B36=$F$71,+'8. KW and Non-Weather Sensitive'!$U$49,IF($B36=$F$72,+'8. KW and Non-Weather Sensitive'!$AE$49,IF($B36=$F$73,+'8. KW and Non-Weather Sensitive'!$AO$49,+IF($B36=$F$74,+'8. KW and Non-Weather Sensitive'!$AY$49,0)))))</f>
        <v>697.71463936548889</v>
      </c>
      <c r="P38" s="511">
        <f>IF($B36=$F$70,+'8. KW and Non-Weather Sensitive'!$J$50,IF($B36=$F$71,+'8. KW and Non-Weather Sensitive'!$U$50,IF($B36=$F$72,+'8. KW and Non-Weather Sensitive'!$AE$50,IF($B36=$F$73,+'8. KW and Non-Weather Sensitive'!$AO$50,+IF($B36=$F$74,+'8. KW and Non-Weather Sensitive'!$AY$50,0)))))</f>
        <v>696.20159590462345</v>
      </c>
    </row>
    <row r="39" spans="2:16" x14ac:dyDescent="0.2">
      <c r="B39" s="89"/>
      <c r="C39" s="778"/>
      <c r="D39" s="59"/>
      <c r="E39" s="407"/>
      <c r="F39" s="407"/>
      <c r="G39" s="407"/>
      <c r="H39" s="407"/>
      <c r="I39" s="407"/>
      <c r="J39" s="407"/>
      <c r="K39" s="407"/>
      <c r="L39" s="407"/>
      <c r="M39" s="407"/>
      <c r="N39" s="407"/>
      <c r="O39" s="408"/>
      <c r="P39" s="409"/>
    </row>
    <row r="40" spans="2:16" x14ac:dyDescent="0.2">
      <c r="B40" s="762" t="s">
        <v>270</v>
      </c>
      <c r="C40" s="777">
        <f>IF($B40=$F$65,+$B$65,+IF($B40=$F$66,+$B$66,+IF($B40=$F$67,+$B$67,+IF($B40=$F$67,$B$67,+IF($B40=$F$68,+$B$68,+IF($B40=$F$69,+$B$69,+IF($B40=$F$70,+$B$70,+IF($B40=$F$71,+$B$71,+IF($B40=$F$72,+$B$72,+IF($B40=$F$73,+$B$73,+IF($B40=$F$74,+$B$74)))))))))))</f>
        <v>0</v>
      </c>
      <c r="D40" s="59" t="s">
        <v>131</v>
      </c>
      <c r="E40" s="512">
        <f>IF($C40='4. Customer Growth'!$C$15,+'4. Customer Growth'!$C$17,+IF($C40='4. Customer Growth'!$E$15,+'4. Customer Growth'!$E$17,+IF($C40='4. Customer Growth'!$G$15,+'4. Customer Growth'!$G$17,+IF($C40='4. Customer Growth'!$I$15,+'4. Customer Growth'!$I$17,+IF($C40='4. Customer Growth'!$K$15,+'4. Customer Growth'!$K$17,+IF($C40='4. Customer Growth'!$M$15,+'4. Customer Growth'!$M$17,IF($C40='4. Customer Growth'!$O$15,+'4. Customer Growth'!$O$17,IF($C40='4. Customer Growth'!$Q$15,+'4. Customer Growth'!$Q$17))))))))</f>
        <v>0</v>
      </c>
      <c r="F40" s="512">
        <f>IF($C40='4. Customer Growth'!$C$15,+'4. Customer Growth'!$C$18,+IF($C40='4. Customer Growth'!$E$15,+'4. Customer Growth'!$E$18,+IF($C40='4. Customer Growth'!$G$15,+'4. Customer Growth'!$G$18,+IF($C40='4. Customer Growth'!$I$15,+'4. Customer Growth'!$I$18,+IF($C40='4. Customer Growth'!$K$15,+'4. Customer Growth'!$K$18,+IF($C40='4. Customer Growth'!$M$15,+'4. Customer Growth'!$M$18,IF($C40='4. Customer Growth'!$O$15,+'4. Customer Growth'!$O$18,IF($C40='4. Customer Growth'!$Q$15,+'4. Customer Growth'!$Q$18))))))))</f>
        <v>0</v>
      </c>
      <c r="G40" s="512">
        <f>IF($C40='4. Customer Growth'!$C$15,+'4. Customer Growth'!$C$19,+IF($C40='4. Customer Growth'!$E$15,+'4. Customer Growth'!$E$19,+IF($C40='4. Customer Growth'!$G$15,+'4. Customer Growth'!$G$19,+IF($C40='4. Customer Growth'!$I$15,+'4. Customer Growth'!$I$19,+IF($C40='4. Customer Growth'!$K$15,+'4. Customer Growth'!$K$19,+IF($C40='4. Customer Growth'!$M$15,+'4. Customer Growth'!$M$19,IF($C40='4. Customer Growth'!$O$15,+'4. Customer Growth'!$O$19,IF($C40='4. Customer Growth'!$Q$15,+'4. Customer Growth'!$Q$19))))))))</f>
        <v>0</v>
      </c>
      <c r="H40" s="512">
        <f>IF($C40='4. Customer Growth'!$C$15,+'4. Customer Growth'!$C$20,+IF($C40='4. Customer Growth'!$E$15,+'4. Customer Growth'!$E$20,+IF($C40='4. Customer Growth'!$G$15,+'4. Customer Growth'!$G$20,+IF($C40='4. Customer Growth'!$I$15,+'4. Customer Growth'!$I$20,+IF($C40='4. Customer Growth'!$K$15,+'4. Customer Growth'!$K$20,+IF($C40='4. Customer Growth'!$M$15,+'4. Customer Growth'!$M$20,IF($C40='4. Customer Growth'!$O$15,+'4. Customer Growth'!$O$20,IF($C40='4. Customer Growth'!$Q$15,+'4. Customer Growth'!$Q$20))))))))</f>
        <v>0</v>
      </c>
      <c r="I40" s="512">
        <f>IF($C40='4. Customer Growth'!$C$15,+'4. Customer Growth'!$C$21,+IF($C40='4. Customer Growth'!$E$15,+'4. Customer Growth'!$E$21,+IF($C40='4. Customer Growth'!$G$15,+'4. Customer Growth'!$G$21,+IF($C40='4. Customer Growth'!$I$15,+'4. Customer Growth'!$I$21,+IF($C40='4. Customer Growth'!$K$15,+'4. Customer Growth'!$K$21,+IF($C40='4. Customer Growth'!$M$15,+'4. Customer Growth'!$M$21,IF($C40='4. Customer Growth'!$O$15,+'4. Customer Growth'!$O$21,IF($C40='4. Customer Growth'!$Q$15,+'4. Customer Growth'!$Q$21))))))))</f>
        <v>0</v>
      </c>
      <c r="J40" s="512">
        <f>IF($C40='4. Customer Growth'!$C$15,+'4. Customer Growth'!$C$22,+IF($C40='4. Customer Growth'!$E$15,+'4. Customer Growth'!$E$22,+IF($C40='4. Customer Growth'!$G$15,+'4. Customer Growth'!$G$22,+IF($C40='4. Customer Growth'!$I$15,+'4. Customer Growth'!$I$22,+IF($C40='4. Customer Growth'!$K$15,+'4. Customer Growth'!$K$22,+IF($C40='4. Customer Growth'!$M$15,+'4. Customer Growth'!$M$22,IF($C40='4. Customer Growth'!$O$15,+'4. Customer Growth'!$O$22,IF($C40='4. Customer Growth'!$Q$15,+'4. Customer Growth'!$Q$22))))))))</f>
        <v>0</v>
      </c>
      <c r="K40" s="512">
        <f>IF($C40='4. Customer Growth'!$C$15,+'4. Customer Growth'!$C$23,+IF($C40='4. Customer Growth'!$E$15,+'4. Customer Growth'!$E$23,+IF($C40='4. Customer Growth'!$G$15,+'4. Customer Growth'!$G$23,+IF($C40='4. Customer Growth'!$I$15,+'4. Customer Growth'!$I$23,+IF($C40='4. Customer Growth'!$K$15,+'4. Customer Growth'!$K$23,+IF($C40='4. Customer Growth'!$M$15,+'4. Customer Growth'!$M$23,IF($C40='4. Customer Growth'!$O$15,+'4. Customer Growth'!$O$23,IF($C40='4. Customer Growth'!$Q$15,+'4. Customer Growth'!$Q$23))))))))</f>
        <v>0</v>
      </c>
      <c r="L40" s="512">
        <f>IF($C40='4. Customer Growth'!$C$15,+'4. Customer Growth'!$C$24,+IF($C40='4. Customer Growth'!$E$15,+'4. Customer Growth'!$E$24,+IF($C40='4. Customer Growth'!$G$15,+'4. Customer Growth'!$G$24,+IF($C40='4. Customer Growth'!$I$15,+'4. Customer Growth'!$I$24,+IF($C40='4. Customer Growth'!$K$15,+'4. Customer Growth'!$K$24,+IF($C40='4. Customer Growth'!$M$15,+'4. Customer Growth'!$M$24,IF($C40='4. Customer Growth'!$O$15,+'4. Customer Growth'!$O$24,IF($C40='4. Customer Growth'!$Q$15,+'4. Customer Growth'!$Q$24))))))))</f>
        <v>0</v>
      </c>
      <c r="M40" s="512">
        <f>IF($C40='4. Customer Growth'!$C$15,+'4. Customer Growth'!$C$25,+IF($C40='4. Customer Growth'!$E$15,+'4. Customer Growth'!$E$25,+IF($C40='4. Customer Growth'!$G$15,+'4. Customer Growth'!$G$25,+IF($C40='4. Customer Growth'!$I$15,+'4. Customer Growth'!$I$25,+IF($C40='4. Customer Growth'!$K$15,+'4. Customer Growth'!$K$25,+IF($C40='4. Customer Growth'!$M$15,+'4. Customer Growth'!$M$25,IF($C40='4. Customer Growth'!$O$15,+'4. Customer Growth'!$O$25,IF($C40='4. Customer Growth'!$Q$15,+'4. Customer Growth'!$Q$25))))))))</f>
        <v>0</v>
      </c>
      <c r="N40" s="512">
        <f>IF($C40='4. Customer Growth'!$C$15,+'4. Customer Growth'!$C$26,+IF($C40='4. Customer Growth'!$E$15,+'4. Customer Growth'!$E$26,+IF($C40='4. Customer Growth'!$G$15,+'4. Customer Growth'!$G$26,+IF($C40='4. Customer Growth'!$I$15,+'4. Customer Growth'!$I$26,+IF($C40='4. Customer Growth'!$K$15,+'4. Customer Growth'!$K$26,+IF($C40='4. Customer Growth'!$M$15,+'4. Customer Growth'!$M$26,IF($C40='4. Customer Growth'!$O$15,+'4. Customer Growth'!$O$26,IF($C40='4. Customer Growth'!$Q$15,+'4. Customer Growth'!$Q$26))))))))</f>
        <v>0</v>
      </c>
      <c r="O40" s="512">
        <f>IF($C40='4. Customer Growth'!$C$15,+'4. Customer Growth'!$C$42,+IF($C40='4. Customer Growth'!$E$15,+'4. Customer Growth'!$E$42,+IF($C40='4. Customer Growth'!$G$15,+'4. Customer Growth'!$G$42,+IF($C40='4. Customer Growth'!$I$15,+'4. Customer Growth'!$I$42,+IF($C40='4. Customer Growth'!$K$15,+'4. Customer Growth'!$K$42,+IF($C40='4. Customer Growth'!$M$15,+'4. Customer Growth'!$M$42,IF($C40='4. Customer Growth'!$O$15,+'4. Customer Growth'!$O$42,IF($C40='4. Customer Growth'!$Q$15,+'4. Customer Growth'!$Q$42))))))))</f>
        <v>0</v>
      </c>
      <c r="P40" s="513">
        <f>IF($C40='4. Customer Growth'!$C$15,+'4. Customer Growth'!$C$43,+IF($C40='4. Customer Growth'!$E$15,+'4. Customer Growth'!$E$43,+IF($C40='4. Customer Growth'!$G$15,+'4. Customer Growth'!$G$43,+IF($C40='4. Customer Growth'!$I$15,+'4. Customer Growth'!$I$43,+IF($C40='4. Customer Growth'!$K$15,+'4. Customer Growth'!$K$43,+IF($C40='4. Customer Growth'!$M$15,+'4. Customer Growth'!$M$43,IF($C40='4. Customer Growth'!$O$15,+'4. Customer Growth'!$O$43,IF($C40='4. Customer Growth'!$Q$15,+'4. Customer Growth'!$Q$43))))))))</f>
        <v>0</v>
      </c>
    </row>
    <row r="41" spans="2:16" x14ac:dyDescent="0.2">
      <c r="B41" s="89"/>
      <c r="C41" s="778"/>
      <c r="D41" s="59" t="s">
        <v>36</v>
      </c>
      <c r="E41" s="509">
        <f>IF($B40=$F$65,+'7. Weather Senstive Class'!$G$21,IF($B40=$F$66,+'7. Weather Senstive Class'!$O$21,IF($B40=$F$67,+'7. Weather Senstive Class'!$W$21,IF($B40=$F$68,+'7. Weather Senstive Class'!$AE$21,IF($B40=$F$69,+'7. Weather Senstive Class'!$AM$21,IF($B40=$F$70,+'8. KW and Non-Weather Sensitive'!$E$21,IF($B40=$F$71,+'8. KW and Non-Weather Sensitive'!$P$21,IF($B40=$F$72,+'8. KW and Non-Weather Sensitive'!$Z$21,IF($B40=$F$73,+'8. KW and Non-Weather Sensitive'!$AJ$21,IF($B40=$F$74,+'8. KW and Non-Weather Sensitive'!$AT$21))))))))))</f>
        <v>0</v>
      </c>
      <c r="F41" s="509">
        <f>IF($B40=$F$65,+'7. Weather Senstive Class'!$G$22,IF($B40=$F$66,+'7. Weather Senstive Class'!$O$22,IF($B40=$F$67,+'7. Weather Senstive Class'!$W$22,IF($B40=$F$68,+'7. Weather Senstive Class'!$AE$22,IF($B40=$F$69,+'7. Weather Senstive Class'!$AM$22,IF($B40=$F$70,+'8. KW and Non-Weather Sensitive'!$E$22,IF($B40=$F$71,+'8. KW and Non-Weather Sensitive'!$P$22,IF($B40=$F$72,+'8. KW and Non-Weather Sensitive'!$Z$22,IF($B40=$F$73,+'8. KW and Non-Weather Sensitive'!$AJ$22,IF($B40=$F$74,+'8. KW and Non-Weather Sensitive'!$AT$22))))))))))</f>
        <v>0</v>
      </c>
      <c r="G41" s="509">
        <f>IF($B40=$F$65,+'7. Weather Senstive Class'!$G$23,IF($B40=$F$66,+'7. Weather Senstive Class'!$O$23,IF($B40=$F$67,+'7. Weather Senstive Class'!$W$23,IF($B40=$F$68,+'7. Weather Senstive Class'!$AE$23,IF($B40=$F$69,+'7. Weather Senstive Class'!$AM$23,IF($B40=$F$70,+'8. KW and Non-Weather Sensitive'!$E$23,IF($B40=$F$71,+'8. KW and Non-Weather Sensitive'!$P$23,IF($B40=$F$72,+'8. KW and Non-Weather Sensitive'!$Z$23,IF($B40=$F$73,+'8. KW and Non-Weather Sensitive'!$AJ$23,IF($B40=$F$74,+'8. KW and Non-Weather Sensitive'!$AT$23))))))))))</f>
        <v>0</v>
      </c>
      <c r="H41" s="509">
        <f>IF($B40=$F$65,+'7. Weather Senstive Class'!$G$24,IF($B40=$F$66,+'7. Weather Senstive Class'!$O$24,IF($B40=$F$67,+'7. Weather Senstive Class'!$W$24,IF($B40=$F$68,+'7. Weather Senstive Class'!$AE$24,IF($B40=$F$69,+'7. Weather Senstive Class'!$AM$24,IF($B40=$F$70,+'8. KW and Non-Weather Sensitive'!$E$24,IF($B40=$F$71,+'8. KW and Non-Weather Sensitive'!$P$24,IF($B40=$F$72,+'8. KW and Non-Weather Sensitive'!$Z$24,IF($B40=$F$73,+'8. KW and Non-Weather Sensitive'!$AJ$24,IF($B40=$F$74,+'8. KW and Non-Weather Sensitive'!$AT$24))))))))))</f>
        <v>0</v>
      </c>
      <c r="I41" s="509">
        <f>IF($B40=$F$65,+'7. Weather Senstive Class'!$G$25,IF($B40=$F$66,+'7. Weather Senstive Class'!$O$25,IF($B40=$F$67,+'7. Weather Senstive Class'!$W$25,IF($B40=$F$68,+'7. Weather Senstive Class'!$AE$25,IF($B40=$F$69,+'7. Weather Senstive Class'!$AM$25,IF($B40=$F$70,+'8. KW and Non-Weather Sensitive'!$E$25,IF($B40=$F$71,+'8. KW and Non-Weather Sensitive'!$P$25,IF($B40=$F$72,+'8. KW and Non-Weather Sensitive'!$Z$25,IF($B40=$F$73,+'8. KW and Non-Weather Sensitive'!$AJ$25,IF($B40=$F$74,+'8. KW and Non-Weather Sensitive'!$AT$25))))))))))</f>
        <v>0</v>
      </c>
      <c r="J41" s="509">
        <f>IF($B40=$F$65,+'7. Weather Senstive Class'!$G$26,IF($B40=$F$66,+'7. Weather Senstive Class'!$O$26,IF($B40=$F$67,+'7. Weather Senstive Class'!$M$26,IF($B40=$F$68,+'7. Weather Senstive Class'!$AE$26,IF($B40=$F$69,+'7. Weather Senstive Class'!$AM$26,IF($B40=$F$70,+'8. KW and Non-Weather Sensitive'!$E$26,IF($B40=$F$71,+'8. KW and Non-Weather Sensitive'!$P$26,IF($B40=$F$72,+'8. KW and Non-Weather Sensitive'!$Z$26,IF($B40=$F$73,+'8. KW and Non-Weather Sensitive'!$AJ$26,IF($B40=$F$74,+'8. KW and Non-Weather Sensitive'!$AT$26))))))))))</f>
        <v>0</v>
      </c>
      <c r="K41" s="509">
        <f>IF($B40=$F$65,+'7. Weather Senstive Class'!$G$27,IF($B40=$F$66,+'7. Weather Senstive Class'!$O$27,IF($B40=$F$67,+'7. Weather Senstive Class'!$W$27,IF($B40=$F$68,+'7. Weather Senstive Class'!$AE$27,IF($B40=$F$69,+'7. Weather Senstive Class'!$AM$27,IF($B40=$F$70,+'8. KW and Non-Weather Sensitive'!$E$27,IF($B40=$F$71,+'8. KW and Non-Weather Sensitive'!$P$27,IF($B40=$F$72,+'8. KW and Non-Weather Sensitive'!$Z$27,IF($B40=$F$73,+'8. KW and Non-Weather Sensitive'!$AJ$27,IF($B40=$F$74,+'8. KW and Non-Weather Sensitive'!$AT$27))))))))))</f>
        <v>0</v>
      </c>
      <c r="L41" s="509">
        <f>IF($B40=$F$65,+'7. Weather Senstive Class'!$G$28,IF($B40=$F$66,+'7. Weather Senstive Class'!$O$28,IF($B40=$F$67,+'7. Weather Senstive Class'!$W$28,IF($B40=$F$68,+'7. Weather Senstive Class'!$AE$28,IF($B40=$F$69,+'7. Weather Senstive Class'!$AM$28,IF($B40=$F$70,+'8. KW and Non-Weather Sensitive'!$E$28,IF($B40=$F$71,+'8. KW and Non-Weather Sensitive'!$P$28,IF($B40=$F$72,+'8. KW and Non-Weather Sensitive'!$Z$28,IF($B40=$F$73,+'8. KW and Non-Weather Sensitive'!$AJ$28,IF($B40=$F$74,+'8. KW and Non-Weather Sensitive'!$AT$28))))))))))</f>
        <v>0</v>
      </c>
      <c r="M41" s="509">
        <f>IF($B40=$F$65,+'7. Weather Senstive Class'!$G$29,IF($B40=$F$66,+'7. Weather Senstive Class'!$O$29,IF($B40=$F$67,+'7. Weather Senstive Class'!$W$29,IF($B40=$F$68,+'7. Weather Senstive Class'!$AE$29,IF($B40=$F$69,+'7. Weather Senstive Class'!$AM$29,IF($B40=$F$70,+'8. KW and Non-Weather Sensitive'!$E$29,IF($B40=$F$71,+'8. KW and Non-Weather Sensitive'!$P$29,IF($B40=$F$72,+'8. KW and Non-Weather Sensitive'!$Z$29,IF($B40=$F$73,+'8. KW and Non-Weather Sensitive'!$AJ$29,IF($B40=$F$74,+'8. KW and Non-Weather Sensitive'!$AT$29))))))))))</f>
        <v>0</v>
      </c>
      <c r="N41" s="509">
        <f>IF($B40=$F$65,+'7. Weather Senstive Class'!$G$30,IF($B40=$F$66,+'7. Weather Senstive Class'!$O$30,IF($B40=$F$67,+'7. Weather Senstive Class'!$W$30,IF($B40=$F$68,+'7. Weather Senstive Class'!$AE$30,IF($B40=$F$69,+'7. Weather Senstive Class'!$AM$30,IF($B40=$F$70,+'8. KW and Non-Weather Sensitive'!$E$30,IF($B40=$F$71,+'8. KW and Non-Weather Sensitive'!$P$30,IF($B40=$F$72,+'8. KW and Non-Weather Sensitive'!$Z$30,IF($B40=$F$73,+'8. KW and Non-Weather Sensitive'!$AJ$30,IF($B40=$F$74,+'8. KW and Non-Weather Sensitive'!$AT$30))))))))))</f>
        <v>0</v>
      </c>
      <c r="O41" s="512">
        <f>IF($B40=$F$65,+'7. Weather Senstive Class'!$H$42,IF($B40=$F$66,+'7. Weather Senstive Class'!$P$42,IF($B40=$F$67,+'7. Weather Senstive Class'!$X$42,IF($B40=$F$68,+'7. Weather Senstive Class'!$AF$42,IF($B40=$F$69,+'7. Weather Senstive Class'!$AN$42,IF($B40=$F$70,+'8. KW and Non-Weather Sensitive'!$I$49,IF($B40=$F$71,+'8. KW and Non-Weather Sensitive'!$T$49,IF($B40=$F$72,+'8. KW and Non-Weather Sensitive'!$AD$49,IF($B40=$F$73,+'8. KW and Non-Weather Sensitive'!$AN$49,IF($B40=$F$74,+'8. KW and Non-Weather Sensitive'!$AX$49))))))))))</f>
        <v>0</v>
      </c>
      <c r="P41" s="513">
        <f>IF($B40=$F$65,+'7. Weather Senstive Class'!$H$43,IF($B40=$F$66,+'7. Weather Senstive Class'!$P$43,IF($B40=$F$67,+'7. Weather Senstive Class'!$X$43,IF($B40=$F$68,+'7. Weather Senstive Class'!$AF$43,IF($B40=$F$69,+'7. Weather Senstive Class'!$AN$43,IF($B40=$F$70,+'8. KW and Non-Weather Sensitive'!$I$50,IF($B40=$F$71,+'8. KW and Non-Weather Sensitive'!$T$50,IF($B40=$F$72,+'8. KW and Non-Weather Sensitive'!$AD$50,IF($B40=$F$73,+'8. KW and Non-Weather Sensitive'!$AN$50,IF($B40=$F$74,+'8. KW and Non-Weather Sensitive'!$AX$50))))))))))</f>
        <v>0</v>
      </c>
    </row>
    <row r="42" spans="2:16" x14ac:dyDescent="0.2">
      <c r="B42" s="89"/>
      <c r="C42" s="778"/>
      <c r="D42" s="59" t="s">
        <v>37</v>
      </c>
      <c r="E42" s="407">
        <f>IF(B$16=$F$70,+'8. KW and Non-Weather Sensitive'!$F$21,IF($B40=$F$71,+'8. KW and Non-Weather Sensitive'!$Q$21,IF($B40=$F$72,+'8. KW and Non-Weather Sensitive'!$AA$21,IF($B40=$F$73,+'8. KW and Non-Weather Sensitive'!$AK$21,+IF($B40=$F$74,+'8. KW and Non-Weather Sensitive'!$AU$21,0)))))</f>
        <v>0</v>
      </c>
      <c r="F42" s="407">
        <f>IF($B40=$F$70,+'8. KW and Non-Weather Sensitive'!$F$22,IF($B40=$F$71,+'8. KW and Non-Weather Sensitive'!$Q$22,IF($B40=$F$72,+'8. KW and Non-Weather Sensitive'!$AA$22,IF($B40=$F$73,+'8. KW and Non-Weather Sensitive'!$AK$22,+IF($B40=$F$74,+'8. KW and Non-Weather Sensitive'!$AU$22,0)))))</f>
        <v>0</v>
      </c>
      <c r="G42" s="407">
        <f>IF($B40=$F$70,+'8. KW and Non-Weather Sensitive'!$F$23,IF($B40=$F$71,+'8. KW and Non-Weather Sensitive'!$Q$23,IF($B40=$F$72,+'8. KW and Non-Weather Sensitive'!$AA$23,IF($B40=$F$73,+'8. KW and Non-Weather Sensitive'!$AK$23,+IF($B40=$F$74,+'8. KW and Non-Weather Sensitive'!$AU$23,0)))))</f>
        <v>0</v>
      </c>
      <c r="H42" s="407">
        <f>IF($B40=$F$70,+'8. KW and Non-Weather Sensitive'!$F$24,IF($B40=$F$71,+'8. KW and Non-Weather Sensitive'!$Q$24,IF($B40=$F$72,+'8. KW and Non-Weather Sensitive'!$AA$24,IF($B40=$F$73,+'8. KW and Non-Weather Sensitive'!$AK$24,+IF($B40=$F$74,+'8. KW and Non-Weather Sensitive'!$AU$24,0)))))</f>
        <v>0</v>
      </c>
      <c r="I42" s="407">
        <f>IF($B40=$F$70,+'8. KW and Non-Weather Sensitive'!$F$25,IF($B40=$F$71,+'8. KW and Non-Weather Sensitive'!$Q$25,IF($B40=$F$72,+'8. KW and Non-Weather Sensitive'!$AA$25,IF($B40=$F$73,+'8. KW and Non-Weather Sensitive'!$AK$25,+IF($B40=$F$74,+'8. KW and Non-Weather Sensitive'!$AU$25,0)))))</f>
        <v>0</v>
      </c>
      <c r="J42" s="407">
        <f>IF($B40=$F$70,+'8. KW and Non-Weather Sensitive'!$F$26,IF($B40=$F$71,+'8. KW and Non-Weather Sensitive'!$Q$26,IF($B40=$F$72,+'8. KW and Non-Weather Sensitive'!$AA$26,IF($B40=$F$73,+'8. KW and Non-Weather Sensitive'!$AK$26,+IF($B40=$F$74,+'8. KW and Non-Weather Sensitive'!$AU$26,0)))))</f>
        <v>0</v>
      </c>
      <c r="K42" s="407">
        <f>IF($B40=$F$70,+'8. KW and Non-Weather Sensitive'!$F$27,IF($B40=$F$71,+'8. KW and Non-Weather Sensitive'!$Q$27,IF($B40=$F$72,+'8. KW and Non-Weather Sensitive'!$AA$27,IF($B40=$F$73,+'8. KW and Non-Weather Sensitive'!$AK$27,+IF($B40=$F$74,+'8. KW and Non-Weather Sensitive'!$AU$27,0)))))</f>
        <v>0</v>
      </c>
      <c r="L42" s="407">
        <f>IF($B40=$F$70,+'8. KW and Non-Weather Sensitive'!$F$28,IF($B40=$F$71,+'8. KW and Non-Weather Sensitive'!$Q$28,IF($B40=$F$72,+'8. KW and Non-Weather Sensitive'!$AA$28,IF($B40=$F$73,+'8. KW and Non-Weather Sensitive'!$AK$28,+IF($B40=$F$74,+'8. KW and Non-Weather Sensitive'!$AU$28,0)))))</f>
        <v>0</v>
      </c>
      <c r="M42" s="407">
        <f>IF($B40=$F$70,+'8. KW and Non-Weather Sensitive'!$F$29,IF($B40=$F$71,+'8. KW and Non-Weather Sensitive'!$Q$29,IF($B40=$F$72,+'8. KW and Non-Weather Sensitive'!$AA$29,IF($B40=$F$73,+'8. KW and Non-Weather Sensitive'!$AK$29,+IF($B40=$F$74,+'8. KW and Non-Weather Sensitive'!$AU$29,0)))))</f>
        <v>0</v>
      </c>
      <c r="N42" s="407">
        <f>IF($B40=$F$70,+'8. KW and Non-Weather Sensitive'!$F$30,IF($B40=$F$71,+'8. KW and Non-Weather Sensitive'!$Q$30,IF($B40=$F$72,+'8. KW and Non-Weather Sensitive'!$AA$30,IF($B40=$F$73,+'8. KW and Non-Weather Sensitive'!$AK$30,+IF($B40=$F$74,+'8. KW and Non-Weather Sensitive'!$AU$30,0)))))</f>
        <v>0</v>
      </c>
      <c r="O42" s="407">
        <f>IF($B40=$F$70,+'8. KW and Non-Weather Sensitive'!$J$49,IF($B40=$F$71,+'8. KW and Non-Weather Sensitive'!$U$49,IF($B40=$F$72,+'8. KW and Non-Weather Sensitive'!$AE$49,IF($B40=$F$73,+'8. KW and Non-Weather Sensitive'!$AO$49,+IF($B40=$F$74,+'8. KW and Non-Weather Sensitive'!$AY$49,0)))))</f>
        <v>0</v>
      </c>
      <c r="P42" s="511">
        <f>IF($B40=$F$70,+'8. KW and Non-Weather Sensitive'!$J$50,IF($B40=$F$71,+'8. KW and Non-Weather Sensitive'!$U$50,IF($B40=$F$72,+'8. KW and Non-Weather Sensitive'!$AE$50,IF($B40=$F$73,+'8. KW and Non-Weather Sensitive'!$AO$50,+IF($B40=$F$74,+'8. KW and Non-Weather Sensitive'!$AY$50,0)))))</f>
        <v>0</v>
      </c>
    </row>
    <row r="43" spans="2:16" x14ac:dyDescent="0.2">
      <c r="B43" s="89"/>
      <c r="C43" s="779"/>
      <c r="D43" s="59"/>
      <c r="E43" s="410"/>
      <c r="F43" s="410"/>
      <c r="G43" s="410"/>
      <c r="H43" s="410"/>
      <c r="I43" s="410"/>
      <c r="J43" s="410"/>
      <c r="K43" s="410"/>
      <c r="L43" s="410"/>
      <c r="M43" s="410"/>
      <c r="N43" s="410"/>
      <c r="O43" s="411"/>
      <c r="P43" s="412"/>
    </row>
    <row r="44" spans="2:16" hidden="1" x14ac:dyDescent="0.2">
      <c r="B44" s="199">
        <f>'2. Customer Classes'!B21</f>
        <v>0</v>
      </c>
      <c r="C44" s="780"/>
      <c r="D44" s="59" t="s">
        <v>131</v>
      </c>
      <c r="E44" s="410"/>
      <c r="F44" s="410"/>
      <c r="G44" s="410"/>
      <c r="H44" s="410"/>
      <c r="I44" s="410"/>
      <c r="J44" s="410"/>
      <c r="K44" s="410"/>
      <c r="L44" s="410"/>
      <c r="M44" s="410"/>
      <c r="N44" s="410"/>
      <c r="O44" s="411"/>
      <c r="P44" s="412"/>
    </row>
    <row r="45" spans="2:16" hidden="1" x14ac:dyDescent="0.2">
      <c r="B45" s="197"/>
      <c r="C45" s="781"/>
      <c r="D45" s="59" t="s">
        <v>36</v>
      </c>
      <c r="E45" s="410"/>
      <c r="F45" s="410"/>
      <c r="G45" s="410"/>
      <c r="H45" s="410"/>
      <c r="I45" s="410"/>
      <c r="J45" s="410"/>
      <c r="K45" s="410"/>
      <c r="L45" s="410"/>
      <c r="M45" s="410"/>
      <c r="N45" s="410"/>
      <c r="O45" s="411"/>
      <c r="P45" s="412"/>
    </row>
    <row r="46" spans="2:16" hidden="1" x14ac:dyDescent="0.2">
      <c r="B46" s="197"/>
      <c r="C46" s="781"/>
      <c r="D46" s="59" t="s">
        <v>37</v>
      </c>
      <c r="E46" s="410"/>
      <c r="F46" s="410"/>
      <c r="G46" s="410"/>
      <c r="H46" s="410"/>
      <c r="I46" s="410"/>
      <c r="J46" s="410"/>
      <c r="K46" s="410"/>
      <c r="L46" s="410"/>
      <c r="M46" s="410"/>
      <c r="N46" s="410"/>
      <c r="O46" s="411"/>
      <c r="P46" s="412"/>
    </row>
    <row r="47" spans="2:16" hidden="1" x14ac:dyDescent="0.2">
      <c r="B47" s="197"/>
      <c r="C47" s="781"/>
      <c r="D47" s="59"/>
      <c r="E47" s="410"/>
      <c r="F47" s="410"/>
      <c r="G47" s="410"/>
      <c r="H47" s="410"/>
      <c r="I47" s="410"/>
      <c r="J47" s="410"/>
      <c r="K47" s="410"/>
      <c r="L47" s="410"/>
      <c r="M47" s="410"/>
      <c r="N47" s="410"/>
      <c r="O47" s="411"/>
      <c r="P47" s="412"/>
    </row>
    <row r="48" spans="2:16" hidden="1" x14ac:dyDescent="0.2">
      <c r="B48" s="199" t="str">
        <f>'2. Customer Classes'!B22</f>
        <v>other</v>
      </c>
      <c r="C48" s="780"/>
      <c r="D48" s="59" t="s">
        <v>131</v>
      </c>
      <c r="E48" s="410"/>
      <c r="F48" s="410"/>
      <c r="G48" s="410"/>
      <c r="H48" s="410"/>
      <c r="I48" s="410"/>
      <c r="J48" s="410"/>
      <c r="K48" s="410"/>
      <c r="L48" s="410"/>
      <c r="M48" s="410"/>
      <c r="N48" s="410"/>
      <c r="O48" s="411"/>
      <c r="P48" s="412"/>
    </row>
    <row r="49" spans="2:16" hidden="1" x14ac:dyDescent="0.2">
      <c r="B49" s="197"/>
      <c r="C49" s="781"/>
      <c r="D49" s="59" t="s">
        <v>36</v>
      </c>
      <c r="E49" s="410"/>
      <c r="F49" s="410"/>
      <c r="G49" s="410"/>
      <c r="H49" s="410"/>
      <c r="I49" s="410"/>
      <c r="J49" s="410"/>
      <c r="K49" s="410"/>
      <c r="L49" s="410"/>
      <c r="M49" s="410"/>
      <c r="N49" s="410"/>
      <c r="O49" s="411"/>
      <c r="P49" s="412"/>
    </row>
    <row r="50" spans="2:16" hidden="1" x14ac:dyDescent="0.2">
      <c r="B50" s="197"/>
      <c r="C50" s="781"/>
      <c r="D50" s="59" t="s">
        <v>37</v>
      </c>
      <c r="E50" s="410"/>
      <c r="F50" s="410"/>
      <c r="G50" s="410"/>
      <c r="H50" s="410"/>
      <c r="I50" s="410"/>
      <c r="J50" s="410"/>
      <c r="K50" s="410"/>
      <c r="L50" s="410"/>
      <c r="M50" s="410"/>
      <c r="N50" s="410"/>
      <c r="O50" s="411"/>
      <c r="P50" s="412"/>
    </row>
    <row r="51" spans="2:16" hidden="1" x14ac:dyDescent="0.2">
      <c r="B51" s="197"/>
      <c r="C51" s="781"/>
      <c r="D51" s="59"/>
      <c r="E51" s="410"/>
      <c r="F51" s="410"/>
      <c r="G51" s="410"/>
      <c r="H51" s="410"/>
      <c r="I51" s="410"/>
      <c r="J51" s="410"/>
      <c r="K51" s="410"/>
      <c r="L51" s="410"/>
      <c r="M51" s="410"/>
      <c r="N51" s="410"/>
      <c r="O51" s="411"/>
      <c r="P51" s="412"/>
    </row>
    <row r="52" spans="2:16" hidden="1" x14ac:dyDescent="0.2">
      <c r="B52" s="199" t="str">
        <f>'2. Customer Classes'!B23</f>
        <v>other</v>
      </c>
      <c r="C52" s="780"/>
      <c r="D52" s="59" t="s">
        <v>131</v>
      </c>
      <c r="E52" s="410"/>
      <c r="F52" s="410"/>
      <c r="G52" s="410"/>
      <c r="H52" s="410"/>
      <c r="I52" s="410"/>
      <c r="J52" s="410"/>
      <c r="K52" s="410"/>
      <c r="L52" s="410"/>
      <c r="M52" s="410"/>
      <c r="N52" s="410"/>
      <c r="O52" s="411"/>
      <c r="P52" s="412"/>
    </row>
    <row r="53" spans="2:16" hidden="1" x14ac:dyDescent="0.2">
      <c r="B53" s="197"/>
      <c r="C53" s="781"/>
      <c r="D53" s="59" t="s">
        <v>36</v>
      </c>
      <c r="E53" s="407"/>
      <c r="F53" s="407"/>
      <c r="G53" s="407"/>
      <c r="H53" s="407"/>
      <c r="I53" s="407"/>
      <c r="J53" s="407"/>
      <c r="K53" s="407"/>
      <c r="L53" s="407"/>
      <c r="M53" s="407"/>
      <c r="N53" s="407"/>
      <c r="O53" s="408"/>
      <c r="P53" s="409"/>
    </row>
    <row r="54" spans="2:16" hidden="1" x14ac:dyDescent="0.2">
      <c r="B54" s="197"/>
      <c r="C54" s="781"/>
      <c r="D54" s="59" t="s">
        <v>37</v>
      </c>
      <c r="E54" s="410"/>
      <c r="F54" s="410"/>
      <c r="G54" s="410"/>
      <c r="H54" s="410"/>
      <c r="I54" s="410"/>
      <c r="J54" s="410"/>
      <c r="K54" s="410"/>
      <c r="L54" s="410"/>
      <c r="M54" s="410"/>
      <c r="N54" s="410"/>
      <c r="O54" s="411"/>
      <c r="P54" s="412"/>
    </row>
    <row r="55" spans="2:16" ht="13.5" thickBot="1" x14ac:dyDescent="0.25">
      <c r="B55" s="90"/>
      <c r="C55" s="782"/>
      <c r="D55" s="91"/>
      <c r="E55" s="481"/>
      <c r="F55" s="481"/>
      <c r="G55" s="481"/>
      <c r="H55" s="481"/>
      <c r="I55" s="481"/>
      <c r="J55" s="481"/>
      <c r="K55" s="481"/>
      <c r="L55" s="481"/>
      <c r="M55" s="481"/>
      <c r="N55" s="481"/>
      <c r="O55" s="482"/>
      <c r="P55" s="483"/>
    </row>
    <row r="56" spans="2:16" x14ac:dyDescent="0.2">
      <c r="B56" s="475" t="s">
        <v>16</v>
      </c>
      <c r="C56" s="476"/>
      <c r="D56" s="477" t="s">
        <v>131</v>
      </c>
      <c r="E56" s="478">
        <f>E16+E20+E24+E28+E32+E36+E40+E44+E48+E52</f>
        <v>13126</v>
      </c>
      <c r="F56" s="478">
        <f>F16+F20+F24+F28+F32+F36+F40+F44+F48+F52</f>
        <v>13161</v>
      </c>
      <c r="G56" s="478">
        <f t="shared" ref="G56:P56" si="0">G16+G20+G24+G28+G32+G36+G40+G44+G48+G52</f>
        <v>13280</v>
      </c>
      <c r="H56" s="478">
        <f t="shared" si="0"/>
        <v>13260</v>
      </c>
      <c r="I56" s="478">
        <f t="shared" si="0"/>
        <v>13426</v>
      </c>
      <c r="J56" s="478">
        <f t="shared" si="0"/>
        <v>13424</v>
      </c>
      <c r="K56" s="478">
        <f t="shared" si="0"/>
        <v>13543</v>
      </c>
      <c r="L56" s="478">
        <f t="shared" si="0"/>
        <v>13596</v>
      </c>
      <c r="M56" s="478">
        <f t="shared" si="0"/>
        <v>13686.5</v>
      </c>
      <c r="N56" s="478">
        <f t="shared" si="0"/>
        <v>13796</v>
      </c>
      <c r="O56" s="478">
        <f t="shared" si="0"/>
        <v>13874.280651098334</v>
      </c>
      <c r="P56" s="479">
        <f t="shared" si="0"/>
        <v>13956.276005704729</v>
      </c>
    </row>
    <row r="57" spans="2:16" x14ac:dyDescent="0.2">
      <c r="B57" s="214"/>
      <c r="C57" s="405"/>
      <c r="D57" s="215" t="s">
        <v>36</v>
      </c>
      <c r="E57" s="415">
        <f>E17+E21+E25+E29+E33+E37+E41+E45+E49+E53</f>
        <v>198415548</v>
      </c>
      <c r="F57" s="413">
        <f t="shared" ref="F57:P57" si="1">F17+F21+F25+F29+F33+F37+F41+F45+F49+F53</f>
        <v>198466779</v>
      </c>
      <c r="G57" s="413">
        <f t="shared" si="1"/>
        <v>196184705</v>
      </c>
      <c r="H57" s="413">
        <f t="shared" si="1"/>
        <v>196409498</v>
      </c>
      <c r="I57" s="413">
        <f t="shared" si="1"/>
        <v>191997484.59</v>
      </c>
      <c r="J57" s="413">
        <f t="shared" si="1"/>
        <v>188245382.64000002</v>
      </c>
      <c r="K57" s="413">
        <f t="shared" si="1"/>
        <v>189602694.52000001</v>
      </c>
      <c r="L57" s="413">
        <f t="shared" si="1"/>
        <v>188143154.71000001</v>
      </c>
      <c r="M57" s="413">
        <f t="shared" si="1"/>
        <v>188591795.03</v>
      </c>
      <c r="N57" s="413">
        <f t="shared" si="1"/>
        <v>186786341.61999997</v>
      </c>
      <c r="O57" s="413">
        <f t="shared" si="1"/>
        <v>188822394.80606616</v>
      </c>
      <c r="P57" s="414">
        <f t="shared" si="1"/>
        <v>187256920.11024198</v>
      </c>
    </row>
    <row r="58" spans="2:16" ht="13.5" thickBot="1" x14ac:dyDescent="0.25">
      <c r="B58" s="216"/>
      <c r="C58" s="406"/>
      <c r="D58" s="217" t="s">
        <v>37</v>
      </c>
      <c r="E58" s="416">
        <f>E18+E22+E26+E30+E34+E38+E42+E46+E50+E54</f>
        <v>220500</v>
      </c>
      <c r="F58" s="416">
        <f t="shared" ref="F58:P58" si="2">F18+F22+F26+F30+F34+F38+F42+F46+F50+F54</f>
        <v>214551</v>
      </c>
      <c r="G58" s="416">
        <f t="shared" si="2"/>
        <v>220583</v>
      </c>
      <c r="H58" s="416">
        <f t="shared" si="2"/>
        <v>210334</v>
      </c>
      <c r="I58" s="416">
        <f t="shared" si="2"/>
        <v>217261</v>
      </c>
      <c r="J58" s="416">
        <f>J18+J22+J26+J30+J34+J38+J42+J46+J50+J54</f>
        <v>210307</v>
      </c>
      <c r="K58" s="416">
        <f t="shared" si="2"/>
        <v>211149</v>
      </c>
      <c r="L58" s="416">
        <f t="shared" si="2"/>
        <v>215397.4</v>
      </c>
      <c r="M58" s="416">
        <f t="shared" si="2"/>
        <v>223966.9</v>
      </c>
      <c r="N58" s="416">
        <f t="shared" si="2"/>
        <v>213852.46</v>
      </c>
      <c r="O58" s="416">
        <f t="shared" si="2"/>
        <v>206388.18231484928</v>
      </c>
      <c r="P58" s="417">
        <f t="shared" si="2"/>
        <v>202722.19461488427</v>
      </c>
    </row>
    <row r="64" spans="2:16" hidden="1" x14ac:dyDescent="0.2">
      <c r="B64" s="875" t="s">
        <v>193</v>
      </c>
      <c r="C64" s="876"/>
      <c r="D64" s="876"/>
      <c r="E64" s="876"/>
      <c r="F64" s="876"/>
      <c r="G64" s="876"/>
      <c r="H64" s="877"/>
    </row>
    <row r="65" spans="2:8" hidden="1" x14ac:dyDescent="0.2">
      <c r="B65" s="360" t="str">
        <f>+'7. Weather Senstive Class'!B19</f>
        <v>Residential</v>
      </c>
      <c r="C65" s="362"/>
      <c r="D65" s="361" t="s">
        <v>192</v>
      </c>
      <c r="E65" s="362" t="s">
        <v>191</v>
      </c>
      <c r="F65" s="362" t="str">
        <f t="shared" ref="F65:F73" si="3">+CONCATENATE(B65,D65,E65)</f>
        <v>Residential-WN</v>
      </c>
      <c r="G65" s="363"/>
      <c r="H65" s="364"/>
    </row>
    <row r="66" spans="2:8" hidden="1" x14ac:dyDescent="0.2">
      <c r="B66" s="365" t="str">
        <f>+'7. Weather Senstive Class'!J19</f>
        <v>General Service &lt; 50 kW</v>
      </c>
      <c r="C66" s="367"/>
      <c r="D66" s="366" t="s">
        <v>192</v>
      </c>
      <c r="E66" s="367" t="s">
        <v>191</v>
      </c>
      <c r="F66" s="367" t="str">
        <f t="shared" si="3"/>
        <v>General Service &lt; 50 kW-WN</v>
      </c>
      <c r="G66" s="368"/>
      <c r="H66" s="369"/>
    </row>
    <row r="67" spans="2:8" hidden="1" x14ac:dyDescent="0.2">
      <c r="B67" s="365" t="str">
        <f>+'7. Weather Senstive Class'!R19</f>
        <v>General Service &gt; 50 kW - 4999 kW</v>
      </c>
      <c r="C67" s="367"/>
      <c r="D67" s="366" t="s">
        <v>192</v>
      </c>
      <c r="E67" s="367" t="s">
        <v>191</v>
      </c>
      <c r="F67" s="367" t="str">
        <f t="shared" si="3"/>
        <v>General Service &gt; 50 kW - 4999 kW-WN</v>
      </c>
      <c r="G67" s="368"/>
      <c r="H67" s="369"/>
    </row>
    <row r="68" spans="2:8" hidden="1" x14ac:dyDescent="0.2">
      <c r="B68" s="365">
        <f>+'7. Weather Senstive Class'!Z19</f>
        <v>0</v>
      </c>
      <c r="C68" s="367"/>
      <c r="D68" s="366" t="s">
        <v>192</v>
      </c>
      <c r="E68" s="367" t="s">
        <v>191</v>
      </c>
      <c r="F68" s="367" t="str">
        <f t="shared" si="3"/>
        <v>0-WN</v>
      </c>
      <c r="G68" s="368"/>
      <c r="H68" s="369"/>
    </row>
    <row r="69" spans="2:8" hidden="1" x14ac:dyDescent="0.2">
      <c r="B69" s="365">
        <f>+'7. Weather Senstive Class'!AH19</f>
        <v>0</v>
      </c>
      <c r="C69" s="367"/>
      <c r="D69" s="366" t="s">
        <v>192</v>
      </c>
      <c r="E69" s="367" t="s">
        <v>191</v>
      </c>
      <c r="F69" s="367" t="str">
        <f t="shared" si="3"/>
        <v>0-WN</v>
      </c>
      <c r="G69" s="368"/>
      <c r="H69" s="369"/>
    </row>
    <row r="70" spans="2:8" hidden="1" x14ac:dyDescent="0.2">
      <c r="B70" s="365" t="str">
        <f>+'8. KW and Non-Weather Sensitive'!B18</f>
        <v>General Service &gt; 50 kW - 4999 kW</v>
      </c>
      <c r="C70" s="367"/>
      <c r="D70" s="366" t="s">
        <v>192</v>
      </c>
      <c r="E70" s="367" t="s">
        <v>240</v>
      </c>
      <c r="F70" s="367" t="str">
        <f t="shared" si="3"/>
        <v>General Service &gt; 50 kW - 4999 kW-Non-WN/kW</v>
      </c>
      <c r="G70" s="368"/>
      <c r="H70" s="369"/>
    </row>
    <row r="71" spans="2:8" hidden="1" x14ac:dyDescent="0.2">
      <c r="B71" s="365" t="str">
        <f>+'8. KW and Non-Weather Sensitive'!M18</f>
        <v>Streetlighting</v>
      </c>
      <c r="C71" s="367"/>
      <c r="D71" s="366" t="s">
        <v>192</v>
      </c>
      <c r="E71" s="367" t="s">
        <v>240</v>
      </c>
      <c r="F71" s="367" t="str">
        <f t="shared" si="3"/>
        <v>Streetlighting-Non-WN/kW</v>
      </c>
      <c r="G71" s="368"/>
      <c r="H71" s="369"/>
    </row>
    <row r="72" spans="2:8" hidden="1" x14ac:dyDescent="0.2">
      <c r="B72" s="365" t="str">
        <f>+'8. KW and Non-Weather Sensitive'!W18</f>
        <v>Sentinel Lighting</v>
      </c>
      <c r="C72" s="367"/>
      <c r="D72" s="366" t="s">
        <v>192</v>
      </c>
      <c r="E72" s="367" t="s">
        <v>240</v>
      </c>
      <c r="F72" s="367" t="str">
        <f t="shared" si="3"/>
        <v>Sentinel Lighting-Non-WN/kW</v>
      </c>
      <c r="G72" s="368"/>
      <c r="H72" s="369"/>
    </row>
    <row r="73" spans="2:8" hidden="1" x14ac:dyDescent="0.2">
      <c r="B73" s="365" t="str">
        <f>+'8. KW and Non-Weather Sensitive'!AG18</f>
        <v>Unmetered Scattered Load</v>
      </c>
      <c r="C73" s="367"/>
      <c r="D73" s="366" t="s">
        <v>192</v>
      </c>
      <c r="E73" s="367" t="s">
        <v>240</v>
      </c>
      <c r="F73" s="367" t="str">
        <f t="shared" si="3"/>
        <v>Unmetered Scattered Load-Non-WN/kW</v>
      </c>
      <c r="G73" s="368"/>
      <c r="H73" s="369"/>
    </row>
    <row r="74" spans="2:8" hidden="1" x14ac:dyDescent="0.2">
      <c r="B74" s="370">
        <f>+'8. KW and Non-Weather Sensitive'!AQ18</f>
        <v>0</v>
      </c>
      <c r="C74" s="372"/>
      <c r="D74" s="371" t="s">
        <v>192</v>
      </c>
      <c r="E74" s="372" t="s">
        <v>240</v>
      </c>
      <c r="F74" s="372" t="str">
        <f>+CONCATENATE(B74,D74,E74)</f>
        <v>0-Non-WN/kW</v>
      </c>
      <c r="G74" s="373"/>
      <c r="H74" s="374"/>
    </row>
  </sheetData>
  <mergeCells count="1">
    <mergeCell ref="B64:H64"/>
  </mergeCells>
  <dataValidations count="1">
    <dataValidation type="list" allowBlank="1" showInputMessage="1" showErrorMessage="1" sqref="B16 B36 B32 B28 B24 B20 B40">
      <formula1>$F$65:$F$74</formula1>
    </dataValidation>
  </dataValidations>
  <pageMargins left="0.7" right="0.7" top="0.75" bottom="0.75" header="0.3" footer="0.3"/>
  <pageSetup scale="44" orientation="landscape" horizontalDpi="4294967293"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GridLines="0" topLeftCell="A50" workbookViewId="0">
      <selection activeCell="L32" sqref="L32"/>
    </sheetView>
  </sheetViews>
  <sheetFormatPr defaultColWidth="17.5" defaultRowHeight="12.75" x14ac:dyDescent="0.2"/>
  <cols>
    <col min="1" max="1" width="13.6640625" style="384" customWidth="1"/>
    <col min="2" max="2" width="30.83203125" style="384" bestFit="1" customWidth="1"/>
    <col min="3" max="9" width="19.83203125" style="384" customWidth="1"/>
    <col min="10" max="10" width="13.1640625" style="384" customWidth="1"/>
    <col min="11" max="13" width="17.5" style="384"/>
    <col min="14" max="14" width="21" style="384" bestFit="1" customWidth="1"/>
    <col min="15" max="16384" width="17.5" style="384"/>
  </cols>
  <sheetData>
    <row r="1" spans="1:13" x14ac:dyDescent="0.2">
      <c r="A1" s="758" t="s">
        <v>272</v>
      </c>
    </row>
    <row r="10" spans="1:13" s="102" customFormat="1" x14ac:dyDescent="0.2">
      <c r="H10" s="104"/>
    </row>
    <row r="11" spans="1:13" ht="23.25" x14ac:dyDescent="0.35">
      <c r="B11" s="878" t="s">
        <v>211</v>
      </c>
      <c r="C11" s="878"/>
      <c r="D11" s="878"/>
      <c r="E11" s="878"/>
      <c r="F11" s="878"/>
      <c r="G11" s="878"/>
      <c r="H11" s="878"/>
      <c r="I11" s="878"/>
    </row>
    <row r="12" spans="1:13" ht="14.25" x14ac:dyDescent="0.2">
      <c r="B12" s="569"/>
      <c r="C12" s="569"/>
      <c r="D12" s="569"/>
      <c r="E12" s="569"/>
      <c r="F12" s="569"/>
      <c r="G12" s="569"/>
      <c r="H12" s="569"/>
      <c r="I12" s="569"/>
    </row>
    <row r="13" spans="1:13" ht="75" customHeight="1" x14ac:dyDescent="0.2">
      <c r="B13" s="879" t="s">
        <v>227</v>
      </c>
      <c r="C13" s="879"/>
      <c r="D13" s="879"/>
      <c r="E13" s="879"/>
      <c r="F13" s="879"/>
      <c r="G13" s="879"/>
      <c r="H13" s="879"/>
      <c r="I13" s="879"/>
      <c r="J13" s="106"/>
      <c r="K13" s="107"/>
      <c r="L13" s="108"/>
      <c r="M13" s="108"/>
    </row>
    <row r="14" spans="1:13" ht="14.25" x14ac:dyDescent="0.2">
      <c r="B14" s="569"/>
      <c r="C14" s="569"/>
      <c r="D14" s="569"/>
      <c r="E14" s="569"/>
      <c r="F14" s="569"/>
      <c r="G14" s="569"/>
      <c r="H14" s="569"/>
      <c r="I14" s="569"/>
      <c r="J14" s="103"/>
      <c r="K14" s="107"/>
      <c r="L14" s="108"/>
      <c r="M14" s="108"/>
    </row>
    <row r="15" spans="1:13" ht="23.25" x14ac:dyDescent="0.2">
      <c r="B15" s="904" t="s">
        <v>212</v>
      </c>
      <c r="C15" s="904"/>
      <c r="D15" s="904"/>
      <c r="E15" s="904"/>
      <c r="F15" s="904"/>
      <c r="G15" s="904"/>
      <c r="H15" s="904"/>
      <c r="I15" s="904"/>
    </row>
    <row r="16" spans="1:13" ht="15" thickBot="1" x14ac:dyDescent="0.25">
      <c r="B16" s="570"/>
      <c r="C16" s="571"/>
      <c r="D16" s="571"/>
      <c r="E16" s="571"/>
      <c r="F16" s="571"/>
      <c r="G16" s="571"/>
      <c r="H16" s="569"/>
      <c r="I16" s="569"/>
    </row>
    <row r="17" spans="2:9" ht="15" x14ac:dyDescent="0.25">
      <c r="B17" s="892" t="s">
        <v>50</v>
      </c>
      <c r="C17" s="893"/>
      <c r="D17" s="893"/>
      <c r="E17" s="893"/>
      <c r="F17" s="893"/>
      <c r="G17" s="894"/>
      <c r="H17" s="569"/>
      <c r="I17" s="569"/>
    </row>
    <row r="18" spans="2:9" ht="12.75" customHeight="1" x14ac:dyDescent="0.2">
      <c r="B18" s="908">
        <v>8970000</v>
      </c>
      <c r="C18" s="909"/>
      <c r="D18" s="909"/>
      <c r="E18" s="909"/>
      <c r="F18" s="909"/>
      <c r="G18" s="910"/>
      <c r="H18" s="569"/>
      <c r="I18" s="569"/>
    </row>
    <row r="19" spans="2:9" ht="15" x14ac:dyDescent="0.25">
      <c r="B19" s="572"/>
      <c r="C19" s="573">
        <v>2011</v>
      </c>
      <c r="D19" s="573">
        <v>2012</v>
      </c>
      <c r="E19" s="573">
        <v>2013</v>
      </c>
      <c r="F19" s="573">
        <v>2014</v>
      </c>
      <c r="G19" s="574" t="s">
        <v>16</v>
      </c>
      <c r="H19" s="569"/>
      <c r="I19" s="569"/>
    </row>
    <row r="20" spans="2:9" ht="14.25" x14ac:dyDescent="0.2">
      <c r="B20" s="575" t="s">
        <v>51</v>
      </c>
      <c r="C20" s="747">
        <f>C26/$G$30</f>
        <v>8.8963210702341131E-2</v>
      </c>
      <c r="D20" s="576">
        <f>D26/$G$30</f>
        <v>8.8963210702341131E-2</v>
      </c>
      <c r="E20" s="576">
        <f>E26/$G$30</f>
        <v>8.7959866220735788E-2</v>
      </c>
      <c r="F20" s="577">
        <f>F26/$G$30</f>
        <v>7.8149386845039012E-2</v>
      </c>
      <c r="G20" s="578">
        <f>SUM(C20:F20)</f>
        <v>0.34403567447045708</v>
      </c>
      <c r="H20" s="569"/>
      <c r="I20" s="569"/>
    </row>
    <row r="21" spans="2:9" ht="14.25" x14ac:dyDescent="0.2">
      <c r="B21" s="575" t="s">
        <v>52</v>
      </c>
      <c r="C21" s="579"/>
      <c r="D21" s="576">
        <f>D27/$G$30</f>
        <v>8.6510590858416947E-2</v>
      </c>
      <c r="E21" s="576">
        <f>E27/$G$30</f>
        <v>8.6510590858416947E-2</v>
      </c>
      <c r="F21" s="577">
        <f>F27/$G$30</f>
        <v>8.595317725752509E-2</v>
      </c>
      <c r="G21" s="578">
        <f>SUM(C21:F21)</f>
        <v>0.258974358974359</v>
      </c>
      <c r="H21" s="569"/>
      <c r="I21" s="569"/>
    </row>
    <row r="22" spans="2:9" ht="14.25" x14ac:dyDescent="0.2">
      <c r="B22" s="575" t="s">
        <v>53</v>
      </c>
      <c r="C22" s="579"/>
      <c r="D22" s="579"/>
      <c r="E22" s="576">
        <f>E28/$G$30</f>
        <v>8.0713489409141581E-2</v>
      </c>
      <c r="F22" s="577">
        <f>F28/$G$30</f>
        <v>8.0713489409141581E-2</v>
      </c>
      <c r="G22" s="578">
        <f>SUM(C22:F22)</f>
        <v>0.16142697881828316</v>
      </c>
      <c r="H22" s="569"/>
      <c r="I22" s="569"/>
    </row>
    <row r="23" spans="2:9" ht="15" thickBot="1" x14ac:dyDescent="0.25">
      <c r="B23" s="580" t="s">
        <v>54</v>
      </c>
      <c r="C23" s="581"/>
      <c r="D23" s="581"/>
      <c r="E23" s="581"/>
      <c r="F23" s="582">
        <f>F29/$G$30</f>
        <v>0.22630992196209587</v>
      </c>
      <c r="G23" s="583">
        <f>SUM(C23:F23)</f>
        <v>0.22630992196209587</v>
      </c>
      <c r="H23" s="569"/>
      <c r="I23" s="569"/>
    </row>
    <row r="24" spans="2:9" ht="12.75" customHeight="1" thickTop="1" x14ac:dyDescent="0.25">
      <c r="B24" s="584" t="s">
        <v>55</v>
      </c>
      <c r="C24" s="585">
        <f>SUM(C20:C23)</f>
        <v>8.8963210702341131E-2</v>
      </c>
      <c r="D24" s="585">
        <f>SUM(D20:D23)</f>
        <v>0.17547380156075809</v>
      </c>
      <c r="E24" s="585">
        <f>SUM(E20:E23)</f>
        <v>0.25518394648829434</v>
      </c>
      <c r="F24" s="586">
        <f>SUM(F20:F23)</f>
        <v>0.47112597547380153</v>
      </c>
      <c r="G24" s="587">
        <f>SUM(C24:F24)</f>
        <v>0.99074693422519511</v>
      </c>
      <c r="H24" s="569"/>
      <c r="I24" s="569"/>
    </row>
    <row r="25" spans="2:9" ht="12.75" customHeight="1" x14ac:dyDescent="0.2">
      <c r="B25" s="887" t="s">
        <v>36</v>
      </c>
      <c r="C25" s="888"/>
      <c r="D25" s="888"/>
      <c r="E25" s="888"/>
      <c r="F25" s="888"/>
      <c r="G25" s="889"/>
      <c r="H25" s="569"/>
      <c r="I25" s="569"/>
    </row>
    <row r="26" spans="2:9" ht="14.25" x14ac:dyDescent="0.2">
      <c r="B26" s="575" t="s">
        <v>51</v>
      </c>
      <c r="C26" s="588">
        <v>798000</v>
      </c>
      <c r="D26" s="588">
        <v>798000</v>
      </c>
      <c r="E26" s="588">
        <v>789000</v>
      </c>
      <c r="F26" s="589">
        <v>701000</v>
      </c>
      <c r="G26" s="590">
        <v>3086000</v>
      </c>
      <c r="H26" s="569"/>
      <c r="I26" s="569"/>
    </row>
    <row r="27" spans="2:9" ht="14.25" x14ac:dyDescent="0.2">
      <c r="B27" s="575" t="s">
        <v>52</v>
      </c>
      <c r="C27" s="591">
        <v>-16000</v>
      </c>
      <c r="D27" s="592">
        <v>776000</v>
      </c>
      <c r="E27" s="592">
        <v>776000</v>
      </c>
      <c r="F27" s="593">
        <v>771000</v>
      </c>
      <c r="G27" s="590">
        <v>2307000</v>
      </c>
      <c r="H27" s="569"/>
      <c r="I27" s="569"/>
    </row>
    <row r="28" spans="2:9" ht="14.25" x14ac:dyDescent="0.2">
      <c r="B28" s="575" t="s">
        <v>53</v>
      </c>
      <c r="C28" s="591"/>
      <c r="D28" s="591">
        <v>99000</v>
      </c>
      <c r="E28" s="592">
        <v>724000</v>
      </c>
      <c r="F28" s="593">
        <v>724000</v>
      </c>
      <c r="G28" s="590">
        <v>1547000</v>
      </c>
      <c r="H28" s="569"/>
      <c r="I28" s="569"/>
    </row>
    <row r="29" spans="2:9" ht="15" thickBot="1" x14ac:dyDescent="0.25">
      <c r="B29" s="580" t="s">
        <v>54</v>
      </c>
      <c r="C29" s="594"/>
      <c r="D29" s="594"/>
      <c r="E29" s="594"/>
      <c r="F29" s="595">
        <f>MAX(0,B18-SUM(C26:F28))</f>
        <v>2030000</v>
      </c>
      <c r="G29" s="596">
        <f>SUM(C29:F29)</f>
        <v>2030000</v>
      </c>
      <c r="H29" s="569"/>
      <c r="I29" s="569"/>
    </row>
    <row r="30" spans="2:9" ht="16.5" thickTop="1" thickBot="1" x14ac:dyDescent="0.3">
      <c r="B30" s="597" t="s">
        <v>55</v>
      </c>
      <c r="C30" s="598">
        <f>SUM(C26:C29)</f>
        <v>782000</v>
      </c>
      <c r="D30" s="598">
        <f>SUM(D26:D29)</f>
        <v>1673000</v>
      </c>
      <c r="E30" s="598">
        <f>SUM(E26:E29)</f>
        <v>2289000</v>
      </c>
      <c r="F30" s="599">
        <f>SUM(F26:F29)</f>
        <v>4226000</v>
      </c>
      <c r="G30" s="600">
        <f>SUM(G26:G29)</f>
        <v>8970000</v>
      </c>
      <c r="H30" s="569"/>
      <c r="I30" s="569"/>
    </row>
    <row r="31" spans="2:9" ht="15" x14ac:dyDescent="0.25">
      <c r="B31" s="601"/>
      <c r="C31" s="602"/>
      <c r="D31" s="602"/>
      <c r="E31" s="602"/>
      <c r="F31" s="602"/>
      <c r="G31" s="602"/>
      <c r="H31" s="569"/>
      <c r="I31" s="569"/>
    </row>
    <row r="32" spans="2:9" ht="23.25" x14ac:dyDescent="0.2">
      <c r="B32" s="904" t="s">
        <v>196</v>
      </c>
      <c r="C32" s="904"/>
      <c r="D32" s="904"/>
      <c r="E32" s="904"/>
      <c r="F32" s="904"/>
      <c r="G32" s="904"/>
      <c r="H32" s="569"/>
      <c r="I32" s="569"/>
    </row>
    <row r="33" spans="2:9" ht="15" x14ac:dyDescent="0.25">
      <c r="B33" s="601"/>
      <c r="C33" s="602"/>
      <c r="D33" s="602"/>
      <c r="E33" s="602"/>
      <c r="F33" s="602"/>
      <c r="G33" s="602"/>
      <c r="H33" s="569"/>
      <c r="I33" s="569"/>
    </row>
    <row r="34" spans="2:9" ht="86.25" customHeight="1" x14ac:dyDescent="0.2">
      <c r="B34" s="883" t="s">
        <v>197</v>
      </c>
      <c r="C34" s="883"/>
      <c r="D34" s="883"/>
      <c r="E34" s="883"/>
      <c r="F34" s="883"/>
      <c r="G34" s="883"/>
      <c r="H34" s="883"/>
      <c r="I34" s="883"/>
    </row>
    <row r="35" spans="2:9" ht="15.75" thickBot="1" x14ac:dyDescent="0.3">
      <c r="B35" s="601"/>
      <c r="C35" s="602"/>
      <c r="D35" s="602"/>
      <c r="E35" s="602"/>
      <c r="F35" s="602"/>
      <c r="G35" s="602"/>
      <c r="H35" s="569"/>
      <c r="I35" s="569"/>
    </row>
    <row r="36" spans="2:9" ht="15" x14ac:dyDescent="0.2">
      <c r="B36" s="905" t="s">
        <v>198</v>
      </c>
      <c r="C36" s="906"/>
      <c r="D36" s="906"/>
      <c r="E36" s="906"/>
      <c r="F36" s="906"/>
      <c r="G36" s="906"/>
      <c r="H36" s="906"/>
      <c r="I36" s="907"/>
    </row>
    <row r="37" spans="2:9" ht="14.25" x14ac:dyDescent="0.2">
      <c r="B37" s="901">
        <v>10000000</v>
      </c>
      <c r="C37" s="902"/>
      <c r="D37" s="902"/>
      <c r="E37" s="902"/>
      <c r="F37" s="902"/>
      <c r="G37" s="902"/>
      <c r="H37" s="902"/>
      <c r="I37" s="903"/>
    </row>
    <row r="38" spans="2:9" ht="15" x14ac:dyDescent="0.25">
      <c r="B38" s="603"/>
      <c r="C38" s="604">
        <v>2015</v>
      </c>
      <c r="D38" s="604">
        <v>2016</v>
      </c>
      <c r="E38" s="604">
        <v>2017</v>
      </c>
      <c r="F38" s="604">
        <v>2018</v>
      </c>
      <c r="G38" s="604">
        <v>2019</v>
      </c>
      <c r="H38" s="604">
        <v>2020</v>
      </c>
      <c r="I38" s="605" t="s">
        <v>16</v>
      </c>
    </row>
    <row r="39" spans="2:9" ht="15" customHeight="1" x14ac:dyDescent="0.2">
      <c r="B39" s="884" t="s">
        <v>199</v>
      </c>
      <c r="C39" s="885"/>
      <c r="D39" s="885"/>
      <c r="E39" s="885"/>
      <c r="F39" s="885"/>
      <c r="G39" s="885"/>
      <c r="H39" s="885"/>
      <c r="I39" s="886"/>
    </row>
    <row r="40" spans="2:9" ht="14.25" x14ac:dyDescent="0.2">
      <c r="B40" s="575" t="s">
        <v>200</v>
      </c>
      <c r="C40" s="576">
        <f>C48/$I$54</f>
        <v>0.16666666666666666</v>
      </c>
      <c r="D40" s="606"/>
      <c r="E40" s="606"/>
      <c r="F40" s="606"/>
      <c r="G40" s="606"/>
      <c r="H40" s="607"/>
      <c r="I40" s="578">
        <f>SUM(C40:H40)</f>
        <v>0.16666666666666666</v>
      </c>
    </row>
    <row r="41" spans="2:9" ht="15" customHeight="1" x14ac:dyDescent="0.2">
      <c r="B41" s="575" t="s">
        <v>201</v>
      </c>
      <c r="C41" s="579"/>
      <c r="D41" s="576">
        <f>D49/$I$54</f>
        <v>0.16666666666666666</v>
      </c>
      <c r="E41" s="606"/>
      <c r="F41" s="606"/>
      <c r="G41" s="606"/>
      <c r="H41" s="607"/>
      <c r="I41" s="578">
        <f>SUM(C41:H41)</f>
        <v>0.16666666666666666</v>
      </c>
    </row>
    <row r="42" spans="2:9" ht="14.25" x14ac:dyDescent="0.2">
      <c r="B42" s="575" t="s">
        <v>202</v>
      </c>
      <c r="C42" s="579"/>
      <c r="D42" s="579"/>
      <c r="E42" s="576">
        <f>E50/$I$54</f>
        <v>0.16666666666666666</v>
      </c>
      <c r="F42" s="606"/>
      <c r="G42" s="606"/>
      <c r="H42" s="607"/>
      <c r="I42" s="578">
        <f>SUM(C42:H42)</f>
        <v>0.16666666666666666</v>
      </c>
    </row>
    <row r="43" spans="2:9" ht="14.25" x14ac:dyDescent="0.2">
      <c r="B43" s="575" t="s">
        <v>203</v>
      </c>
      <c r="C43" s="579"/>
      <c r="D43" s="579"/>
      <c r="E43" s="576"/>
      <c r="F43" s="576">
        <f>F51/$I$54</f>
        <v>0.16666666666666666</v>
      </c>
      <c r="G43" s="606"/>
      <c r="H43" s="607"/>
      <c r="I43" s="578">
        <f>SUM(F43:H43)</f>
        <v>0.16666666666666666</v>
      </c>
    </row>
    <row r="44" spans="2:9" ht="14.25" x14ac:dyDescent="0.2">
      <c r="B44" s="575" t="s">
        <v>204</v>
      </c>
      <c r="C44" s="579"/>
      <c r="D44" s="579"/>
      <c r="E44" s="576"/>
      <c r="F44" s="576"/>
      <c r="G44" s="576">
        <f>G52/$I$54</f>
        <v>0.16666666666666666</v>
      </c>
      <c r="H44" s="607"/>
      <c r="I44" s="578">
        <f>SUM(G44:H44)</f>
        <v>0.16666666666666666</v>
      </c>
    </row>
    <row r="45" spans="2:9" ht="15" thickBot="1" x14ac:dyDescent="0.25">
      <c r="B45" s="580" t="s">
        <v>205</v>
      </c>
      <c r="C45" s="581"/>
      <c r="D45" s="581"/>
      <c r="E45" s="581"/>
      <c r="F45" s="581"/>
      <c r="G45" s="581"/>
      <c r="H45" s="582">
        <f>H53/$I$54</f>
        <v>0.16666666666666666</v>
      </c>
      <c r="I45" s="583">
        <f>SUM(C45:H45)</f>
        <v>0.16666666666666666</v>
      </c>
    </row>
    <row r="46" spans="2:9" ht="15.75" thickTop="1" x14ac:dyDescent="0.25">
      <c r="B46" s="608" t="s">
        <v>55</v>
      </c>
      <c r="C46" s="609">
        <f>SUM(C40:C45)</f>
        <v>0.16666666666666666</v>
      </c>
      <c r="D46" s="609">
        <f>SUM(D40:D45)</f>
        <v>0.16666666666666666</v>
      </c>
      <c r="E46" s="609">
        <f>SUM(E40:E45)</f>
        <v>0.16666666666666666</v>
      </c>
      <c r="F46" s="609">
        <f>SUM(F40:F43)</f>
        <v>0.16666666666666666</v>
      </c>
      <c r="G46" s="609">
        <f>SUM(G40:G44)</f>
        <v>0.16666666666666666</v>
      </c>
      <c r="H46" s="610">
        <f>SUM(H40:H45)</f>
        <v>0.16666666666666666</v>
      </c>
      <c r="I46" s="611">
        <f>SUM(C46:H46)</f>
        <v>0.99999999999999989</v>
      </c>
    </row>
    <row r="47" spans="2:9" ht="15" x14ac:dyDescent="0.2">
      <c r="B47" s="887" t="s">
        <v>36</v>
      </c>
      <c r="C47" s="888"/>
      <c r="D47" s="888"/>
      <c r="E47" s="888"/>
      <c r="F47" s="888"/>
      <c r="G47" s="888"/>
      <c r="H47" s="888"/>
      <c r="I47" s="889"/>
    </row>
    <row r="48" spans="2:9" ht="15" customHeight="1" x14ac:dyDescent="0.2">
      <c r="B48" s="575" t="str">
        <f t="shared" ref="B48:B53" si="0">B40</f>
        <v>2015 CDM Programs</v>
      </c>
      <c r="C48" s="588">
        <f>1/6*B37</f>
        <v>1666666.6666666665</v>
      </c>
      <c r="D48" s="612"/>
      <c r="E48" s="606"/>
      <c r="F48" s="612"/>
      <c r="G48" s="612"/>
      <c r="H48" s="613"/>
      <c r="I48" s="590">
        <f>SUM(C48:H48)</f>
        <v>1666666.6666666665</v>
      </c>
    </row>
    <row r="49" spans="2:9" ht="14.25" x14ac:dyDescent="0.2">
      <c r="B49" s="575" t="str">
        <f t="shared" si="0"/>
        <v>2016 CDM Programs</v>
      </c>
      <c r="C49" s="591"/>
      <c r="D49" s="592">
        <f>C48</f>
        <v>1666666.6666666665</v>
      </c>
      <c r="E49" s="614"/>
      <c r="F49" s="614"/>
      <c r="G49" s="614"/>
      <c r="H49" s="615"/>
      <c r="I49" s="590">
        <f>SUM(C49:H49)</f>
        <v>1666666.6666666665</v>
      </c>
    </row>
    <row r="50" spans="2:9" ht="14.25" x14ac:dyDescent="0.2">
      <c r="B50" s="575" t="str">
        <f t="shared" si="0"/>
        <v>2017 CDM Programs</v>
      </c>
      <c r="C50" s="591"/>
      <c r="D50" s="591"/>
      <c r="E50" s="592">
        <f>D49</f>
        <v>1666666.6666666665</v>
      </c>
      <c r="F50" s="614"/>
      <c r="G50" s="614"/>
      <c r="H50" s="615"/>
      <c r="I50" s="590">
        <f>SUM(C50:H50)</f>
        <v>1666666.6666666665</v>
      </c>
    </row>
    <row r="51" spans="2:9" ht="14.25" x14ac:dyDescent="0.2">
      <c r="B51" s="575" t="str">
        <f t="shared" si="0"/>
        <v>2018 CDM Programs</v>
      </c>
      <c r="C51" s="591"/>
      <c r="D51" s="591"/>
      <c r="E51" s="616"/>
      <c r="F51" s="588">
        <f>E50</f>
        <v>1666666.6666666665</v>
      </c>
      <c r="G51" s="612"/>
      <c r="H51" s="613"/>
      <c r="I51" s="590">
        <f>SUM(F51:H51)</f>
        <v>1666666.6666666665</v>
      </c>
    </row>
    <row r="52" spans="2:9" ht="14.25" x14ac:dyDescent="0.2">
      <c r="B52" s="575" t="str">
        <f t="shared" si="0"/>
        <v>2019 CDM Programs</v>
      </c>
      <c r="C52" s="591"/>
      <c r="D52" s="591"/>
      <c r="E52" s="616"/>
      <c r="F52" s="616"/>
      <c r="G52" s="588">
        <f>F51</f>
        <v>1666666.6666666665</v>
      </c>
      <c r="H52" s="613"/>
      <c r="I52" s="590">
        <f>SUM(G52:H52)</f>
        <v>1666666.6666666665</v>
      </c>
    </row>
    <row r="53" spans="2:9" ht="16.5" customHeight="1" thickBot="1" x14ac:dyDescent="0.25">
      <c r="B53" s="580" t="str">
        <f t="shared" si="0"/>
        <v>2020 CDM Programs</v>
      </c>
      <c r="C53" s="594"/>
      <c r="D53" s="594"/>
      <c r="E53" s="594"/>
      <c r="F53" s="594"/>
      <c r="G53" s="594"/>
      <c r="H53" s="617">
        <f>G52</f>
        <v>1666666.6666666665</v>
      </c>
      <c r="I53" s="596">
        <f>SUM(C53:H53)</f>
        <v>1666666.6666666665</v>
      </c>
    </row>
    <row r="54" spans="2:9" ht="16.5" thickTop="1" thickBot="1" x14ac:dyDescent="0.3">
      <c r="B54" s="597" t="s">
        <v>55</v>
      </c>
      <c r="C54" s="598">
        <f>SUM(C48:C53)</f>
        <v>1666666.6666666665</v>
      </c>
      <c r="D54" s="598">
        <f>SUM(D48:D53)</f>
        <v>1666666.6666666665</v>
      </c>
      <c r="E54" s="598">
        <f>SUM(E48:E53)</f>
        <v>1666666.6666666665</v>
      </c>
      <c r="F54" s="598">
        <f>SUM(F48:F51)</f>
        <v>1666666.6666666665</v>
      </c>
      <c r="G54" s="598">
        <f>SUM(G48:G52)</f>
        <v>1666666.6666666665</v>
      </c>
      <c r="H54" s="599">
        <f>SUM(H48:H53)</f>
        <v>1666666.6666666665</v>
      </c>
      <c r="I54" s="600">
        <f>B37</f>
        <v>10000000</v>
      </c>
    </row>
    <row r="55" spans="2:9" ht="15" x14ac:dyDescent="0.25">
      <c r="B55" s="601"/>
      <c r="C55" s="602"/>
      <c r="D55" s="602"/>
      <c r="E55" s="602"/>
      <c r="F55" s="602"/>
      <c r="G55" s="602"/>
      <c r="H55" s="569"/>
      <c r="I55" s="569"/>
    </row>
    <row r="56" spans="2:9" ht="23.25" x14ac:dyDescent="0.35">
      <c r="B56" s="890" t="s">
        <v>206</v>
      </c>
      <c r="C56" s="890"/>
      <c r="D56" s="890"/>
      <c r="E56" s="890"/>
      <c r="F56" s="890"/>
      <c r="G56" s="890"/>
      <c r="H56" s="890"/>
      <c r="I56" s="890"/>
    </row>
    <row r="57" spans="2:9" ht="15" x14ac:dyDescent="0.25">
      <c r="B57" s="601"/>
      <c r="C57" s="602"/>
      <c r="D57" s="602"/>
      <c r="E57" s="602"/>
      <c r="F57" s="602"/>
      <c r="G57" s="602"/>
      <c r="H57" s="569"/>
      <c r="I57" s="569"/>
    </row>
    <row r="58" spans="2:9" ht="60" customHeight="1" x14ac:dyDescent="0.2">
      <c r="B58" s="883" t="s">
        <v>207</v>
      </c>
      <c r="C58" s="883"/>
      <c r="D58" s="883"/>
      <c r="E58" s="883"/>
      <c r="F58" s="883"/>
      <c r="G58" s="883"/>
      <c r="H58" s="883"/>
      <c r="I58" s="883"/>
    </row>
    <row r="59" spans="2:9" ht="15" customHeight="1" x14ac:dyDescent="0.2">
      <c r="B59" s="883" t="s">
        <v>208</v>
      </c>
      <c r="C59" s="883"/>
      <c r="D59" s="883"/>
      <c r="E59" s="883"/>
      <c r="F59" s="883"/>
      <c r="G59" s="883"/>
      <c r="H59" s="883"/>
      <c r="I59" s="883"/>
    </row>
    <row r="60" spans="2:9" ht="15" thickBot="1" x14ac:dyDescent="0.25">
      <c r="B60" s="618"/>
      <c r="C60" s="619"/>
      <c r="D60" s="619"/>
      <c r="E60" s="619"/>
      <c r="F60" s="619"/>
      <c r="G60" s="619"/>
      <c r="H60" s="569"/>
      <c r="I60" s="569"/>
    </row>
    <row r="61" spans="2:9" ht="15" x14ac:dyDescent="0.25">
      <c r="B61" s="892" t="s">
        <v>70</v>
      </c>
      <c r="C61" s="893"/>
      <c r="D61" s="893"/>
      <c r="E61" s="893"/>
      <c r="F61" s="893"/>
      <c r="G61" s="894"/>
      <c r="H61" s="569"/>
      <c r="I61" s="569"/>
    </row>
    <row r="62" spans="2:9" ht="15" x14ac:dyDescent="0.25">
      <c r="B62" s="620"/>
      <c r="C62" s="621"/>
      <c r="D62" s="621"/>
      <c r="E62" s="621"/>
      <c r="F62" s="621"/>
      <c r="G62" s="622"/>
      <c r="H62" s="569"/>
      <c r="I62" s="569"/>
    </row>
    <row r="63" spans="2:9" ht="15" x14ac:dyDescent="0.25">
      <c r="B63" s="895" t="s">
        <v>71</v>
      </c>
      <c r="C63" s="896"/>
      <c r="D63" s="896"/>
      <c r="E63" s="896"/>
      <c r="F63" s="896"/>
      <c r="G63" s="623" t="s">
        <v>72</v>
      </c>
      <c r="H63" s="569"/>
      <c r="I63" s="569"/>
    </row>
    <row r="64" spans="2:9" ht="15" x14ac:dyDescent="0.25">
      <c r="B64" s="624"/>
      <c r="C64" s="625"/>
      <c r="D64" s="625"/>
      <c r="E64" s="625"/>
      <c r="F64" s="625"/>
      <c r="G64" s="626"/>
      <c r="H64" s="569"/>
      <c r="I64" s="569"/>
    </row>
    <row r="65" spans="2:9" ht="45" x14ac:dyDescent="0.25">
      <c r="B65" s="627"/>
      <c r="C65" s="628"/>
      <c r="D65" s="621" t="s">
        <v>56</v>
      </c>
      <c r="E65" s="621" t="s">
        <v>57</v>
      </c>
      <c r="F65" s="621" t="s">
        <v>58</v>
      </c>
      <c r="G65" s="629" t="s">
        <v>73</v>
      </c>
      <c r="H65" s="569"/>
      <c r="I65" s="569"/>
    </row>
    <row r="66" spans="2:9" ht="15" customHeight="1" x14ac:dyDescent="0.2">
      <c r="B66" s="897" t="s">
        <v>74</v>
      </c>
      <c r="C66" s="898"/>
      <c r="D66" s="630" t="s">
        <v>36</v>
      </c>
      <c r="E66" s="630" t="s">
        <v>36</v>
      </c>
      <c r="F66" s="630" t="s">
        <v>36</v>
      </c>
      <c r="G66" s="631" t="s">
        <v>75</v>
      </c>
      <c r="H66" s="569"/>
      <c r="I66" s="569"/>
    </row>
    <row r="67" spans="2:9" ht="15" x14ac:dyDescent="0.2">
      <c r="B67" s="632" t="s">
        <v>76</v>
      </c>
      <c r="C67" s="633"/>
      <c r="D67" s="634"/>
      <c r="E67" s="634"/>
      <c r="F67" s="635"/>
      <c r="G67" s="636"/>
      <c r="H67" s="569"/>
      <c r="I67" s="569"/>
    </row>
    <row r="68" spans="2:9" ht="15" x14ac:dyDescent="0.2">
      <c r="B68" s="632" t="s">
        <v>77</v>
      </c>
      <c r="C68" s="633"/>
      <c r="D68" s="634"/>
      <c r="E68" s="634"/>
      <c r="F68" s="635"/>
      <c r="G68" s="636"/>
      <c r="H68" s="569"/>
      <c r="I68" s="569"/>
    </row>
    <row r="69" spans="2:9" ht="15" x14ac:dyDescent="0.2">
      <c r="B69" s="632" t="s">
        <v>78</v>
      </c>
      <c r="C69" s="633"/>
      <c r="D69" s="634"/>
      <c r="E69" s="634"/>
      <c r="F69" s="635"/>
      <c r="G69" s="636"/>
      <c r="H69" s="569"/>
      <c r="I69" s="569"/>
    </row>
    <row r="70" spans="2:9" ht="15.75" thickBot="1" x14ac:dyDescent="0.25">
      <c r="B70" s="637" t="s">
        <v>209</v>
      </c>
      <c r="C70" s="638"/>
      <c r="D70" s="639"/>
      <c r="E70" s="639"/>
      <c r="F70" s="635"/>
      <c r="G70" s="636"/>
      <c r="H70" s="569"/>
      <c r="I70" s="569"/>
    </row>
    <row r="71" spans="2:9" ht="16.5" customHeight="1" thickTop="1" thickBot="1" x14ac:dyDescent="0.25">
      <c r="B71" s="899" t="s">
        <v>210</v>
      </c>
      <c r="C71" s="900"/>
      <c r="D71" s="640">
        <f>SUM(D67:D70)</f>
        <v>0</v>
      </c>
      <c r="E71" s="640">
        <f>SUM(E67:E70)</f>
        <v>0</v>
      </c>
      <c r="F71" s="641">
        <f>D71-E71</f>
        <v>0</v>
      </c>
      <c r="G71" s="642">
        <f>IF(E71=0,0,IF(G63="net",0,F71/E71))</f>
        <v>0</v>
      </c>
      <c r="H71" s="569"/>
      <c r="I71" s="569"/>
    </row>
    <row r="72" spans="2:9" ht="15" x14ac:dyDescent="0.2">
      <c r="B72" s="643"/>
      <c r="C72" s="643"/>
      <c r="D72" s="644"/>
      <c r="E72" s="644"/>
      <c r="F72" s="579"/>
      <c r="G72" s="645"/>
      <c r="H72" s="569"/>
      <c r="I72" s="569"/>
    </row>
    <row r="73" spans="2:9" ht="38.25" customHeight="1" x14ac:dyDescent="0.2">
      <c r="B73" s="883" t="s">
        <v>79</v>
      </c>
      <c r="C73" s="883"/>
      <c r="D73" s="883"/>
      <c r="E73" s="883"/>
      <c r="F73" s="883"/>
      <c r="G73" s="883"/>
      <c r="H73" s="883"/>
      <c r="I73" s="883"/>
    </row>
    <row r="74" spans="2:9" ht="33.75" customHeight="1" x14ac:dyDescent="0.2">
      <c r="B74" s="883" t="s">
        <v>80</v>
      </c>
      <c r="C74" s="883"/>
      <c r="D74" s="883"/>
      <c r="E74" s="883"/>
      <c r="F74" s="883"/>
      <c r="G74" s="883"/>
      <c r="H74" s="883"/>
      <c r="I74" s="883"/>
    </row>
    <row r="75" spans="2:9" ht="15" x14ac:dyDescent="0.2">
      <c r="B75" s="643"/>
      <c r="C75" s="646"/>
      <c r="D75" s="644"/>
      <c r="E75" s="644"/>
      <c r="F75" s="644"/>
      <c r="G75" s="645"/>
      <c r="H75" s="569"/>
      <c r="I75" s="569"/>
    </row>
    <row r="76" spans="2:9" ht="15.75" customHeight="1" thickBot="1" x14ac:dyDescent="0.25">
      <c r="B76" s="891" t="s">
        <v>81</v>
      </c>
      <c r="C76" s="891"/>
      <c r="D76" s="891"/>
      <c r="E76" s="891"/>
      <c r="F76" s="891"/>
      <c r="G76" s="891"/>
      <c r="H76" s="579"/>
      <c r="I76" s="569"/>
    </row>
    <row r="77" spans="2:9" ht="15" x14ac:dyDescent="0.2">
      <c r="B77" s="647"/>
      <c r="C77" s="648">
        <v>2011</v>
      </c>
      <c r="D77" s="648">
        <v>2012</v>
      </c>
      <c r="E77" s="648">
        <v>2013</v>
      </c>
      <c r="F77" s="648">
        <v>2014</v>
      </c>
      <c r="G77" s="649">
        <v>2015</v>
      </c>
      <c r="H77" s="650"/>
      <c r="I77" s="569"/>
    </row>
    <row r="78" spans="2:9" ht="60" x14ac:dyDescent="0.2">
      <c r="B78" s="651" t="s">
        <v>82</v>
      </c>
      <c r="C78" s="652">
        <v>0</v>
      </c>
      <c r="D78" s="652">
        <v>0</v>
      </c>
      <c r="E78" s="652">
        <v>0.5</v>
      </c>
      <c r="F78" s="652">
        <v>1</v>
      </c>
      <c r="G78" s="652">
        <v>0.5</v>
      </c>
      <c r="H78" s="653" t="s">
        <v>213</v>
      </c>
      <c r="I78" s="569"/>
    </row>
    <row r="79" spans="2:9" ht="271.5" thickBot="1" x14ac:dyDescent="0.25">
      <c r="B79" s="654" t="s">
        <v>83</v>
      </c>
      <c r="C79" s="655" t="s">
        <v>214</v>
      </c>
      <c r="D79" s="655" t="s">
        <v>215</v>
      </c>
      <c r="E79" s="655" t="s">
        <v>216</v>
      </c>
      <c r="F79" s="655" t="s">
        <v>217</v>
      </c>
      <c r="G79" s="655" t="s">
        <v>218</v>
      </c>
      <c r="H79" s="642"/>
      <c r="I79" s="569"/>
    </row>
    <row r="80" spans="2:9" ht="14.25" x14ac:dyDescent="0.2">
      <c r="B80" s="656"/>
      <c r="C80" s="657"/>
      <c r="D80" s="657"/>
      <c r="E80" s="657"/>
      <c r="F80" s="657"/>
      <c r="G80" s="657"/>
      <c r="H80" s="645"/>
      <c r="I80" s="569"/>
    </row>
    <row r="81" spans="2:11" ht="23.25" x14ac:dyDescent="0.2">
      <c r="B81" s="882" t="s">
        <v>219</v>
      </c>
      <c r="C81" s="882"/>
      <c r="D81" s="882"/>
      <c r="E81" s="882"/>
      <c r="F81" s="882"/>
      <c r="G81" s="882"/>
      <c r="H81" s="882"/>
      <c r="I81" s="882"/>
    </row>
    <row r="82" spans="2:11" ht="18.75" x14ac:dyDescent="0.2">
      <c r="B82" s="658"/>
      <c r="C82" s="658"/>
      <c r="D82" s="658"/>
      <c r="E82" s="658"/>
      <c r="F82" s="658"/>
      <c r="G82" s="658"/>
      <c r="H82" s="658"/>
      <c r="I82" s="658"/>
    </row>
    <row r="83" spans="2:11" ht="34.5" customHeight="1" x14ac:dyDescent="0.2">
      <c r="B83" s="879" t="s">
        <v>220</v>
      </c>
      <c r="C83" s="879"/>
      <c r="D83" s="879"/>
      <c r="E83" s="879"/>
      <c r="F83" s="879"/>
      <c r="G83" s="879"/>
      <c r="H83" s="879"/>
      <c r="I83" s="879"/>
    </row>
    <row r="84" spans="2:11" ht="15.75" thickBot="1" x14ac:dyDescent="0.25">
      <c r="B84" s="643"/>
      <c r="C84" s="646"/>
      <c r="D84" s="644"/>
      <c r="E84" s="644"/>
      <c r="F84" s="644"/>
      <c r="G84" s="645"/>
      <c r="H84" s="569"/>
      <c r="I84" s="569"/>
    </row>
    <row r="85" spans="2:11" ht="15" x14ac:dyDescent="0.25">
      <c r="B85" s="659"/>
      <c r="C85" s="660">
        <v>2011</v>
      </c>
      <c r="D85" s="660">
        <v>2012</v>
      </c>
      <c r="E85" s="660">
        <v>2013</v>
      </c>
      <c r="F85" s="660">
        <v>2014</v>
      </c>
      <c r="G85" s="661">
        <v>2015</v>
      </c>
      <c r="H85" s="661" t="s">
        <v>221</v>
      </c>
      <c r="I85" s="662" t="s">
        <v>161</v>
      </c>
    </row>
    <row r="86" spans="2:11" ht="15" x14ac:dyDescent="0.2">
      <c r="B86" s="663"/>
      <c r="C86" s="880" t="s">
        <v>36</v>
      </c>
      <c r="D86" s="880"/>
      <c r="E86" s="880"/>
      <c r="F86" s="880"/>
      <c r="G86" s="880"/>
      <c r="H86" s="880"/>
      <c r="I86" s="881"/>
    </row>
    <row r="87" spans="2:11" ht="42.75" x14ac:dyDescent="0.2">
      <c r="B87" s="664" t="s">
        <v>84</v>
      </c>
      <c r="C87" s="665">
        <f>F26</f>
        <v>701000</v>
      </c>
      <c r="D87" s="665">
        <f>F27</f>
        <v>771000</v>
      </c>
      <c r="E87" s="665">
        <f>F28</f>
        <v>724000</v>
      </c>
      <c r="F87" s="665">
        <f>F29</f>
        <v>2030000</v>
      </c>
      <c r="G87" s="666"/>
      <c r="H87" s="667">
        <f>SUM(C87:F87)</f>
        <v>4226000</v>
      </c>
      <c r="I87" s="668"/>
    </row>
    <row r="88" spans="2:11" ht="14.25" x14ac:dyDescent="0.2">
      <c r="B88" s="664"/>
      <c r="C88" s="665"/>
      <c r="D88" s="665"/>
      <c r="E88" s="665"/>
      <c r="F88" s="665"/>
      <c r="G88" s="669"/>
      <c r="H88" s="670"/>
      <c r="I88" s="668"/>
    </row>
    <row r="89" spans="2:11" ht="57" x14ac:dyDescent="0.2">
      <c r="B89" s="671" t="s">
        <v>222</v>
      </c>
      <c r="C89" s="672">
        <v>100000</v>
      </c>
      <c r="D89" s="673">
        <f>C89</f>
        <v>100000</v>
      </c>
      <c r="E89" s="673">
        <f>C89</f>
        <v>100000</v>
      </c>
      <c r="F89" s="673">
        <f>C89</f>
        <v>100000</v>
      </c>
      <c r="G89" s="674"/>
      <c r="H89" s="675">
        <f>SUM(C89:F90)</f>
        <v>400000</v>
      </c>
      <c r="I89" s="676"/>
    </row>
    <row r="90" spans="2:11" ht="14.25" x14ac:dyDescent="0.2">
      <c r="B90" s="677"/>
      <c r="C90" s="678"/>
      <c r="D90" s="678"/>
      <c r="E90" s="678"/>
      <c r="F90" s="678"/>
      <c r="G90" s="678"/>
      <c r="H90" s="678"/>
      <c r="I90" s="679"/>
    </row>
    <row r="91" spans="2:11" ht="43.5" thickBot="1" x14ac:dyDescent="0.25">
      <c r="B91" s="680" t="s">
        <v>223</v>
      </c>
      <c r="C91" s="681"/>
      <c r="D91" s="682"/>
      <c r="E91" s="682"/>
      <c r="F91" s="682"/>
      <c r="G91" s="666">
        <f>C48</f>
        <v>1666666.6666666665</v>
      </c>
      <c r="H91" s="683"/>
      <c r="I91" s="684">
        <f>SUM(C91:G91)</f>
        <v>1666666.6666666665</v>
      </c>
    </row>
    <row r="92" spans="2:11" ht="15.75" thickTop="1" thickBot="1" x14ac:dyDescent="0.25">
      <c r="B92" s="685"/>
      <c r="C92" s="686"/>
      <c r="D92" s="687"/>
      <c r="E92" s="687"/>
      <c r="F92" s="687"/>
      <c r="G92" s="686"/>
      <c r="H92" s="687"/>
      <c r="I92" s="688"/>
    </row>
    <row r="93" spans="2:11" ht="43.5" thickTop="1" x14ac:dyDescent="0.2">
      <c r="B93" s="671" t="s">
        <v>224</v>
      </c>
      <c r="C93" s="689">
        <v>0</v>
      </c>
      <c r="D93" s="690">
        <f>D87*(1+G71)*D78</f>
        <v>0</v>
      </c>
      <c r="E93" s="690">
        <f>E87*(1+G71)*E78</f>
        <v>362000</v>
      </c>
      <c r="F93" s="690">
        <f>F87*(1+G71)*F78</f>
        <v>2030000</v>
      </c>
      <c r="G93" s="691">
        <f>G91*(1+G71)*G78</f>
        <v>833333.33333333326</v>
      </c>
      <c r="H93" s="692"/>
      <c r="I93" s="695">
        <f>SUM(C93:G93)</f>
        <v>3225333.333333333</v>
      </c>
      <c r="K93" s="423" t="s">
        <v>226</v>
      </c>
    </row>
    <row r="94" spans="2:11" ht="14.25" x14ac:dyDescent="0.2">
      <c r="B94" s="677"/>
      <c r="C94" s="693"/>
      <c r="D94" s="693"/>
      <c r="E94" s="693"/>
      <c r="F94" s="693"/>
      <c r="G94" s="693"/>
      <c r="H94" s="693"/>
      <c r="I94" s="694"/>
    </row>
    <row r="95" spans="2:11" x14ac:dyDescent="0.2">
      <c r="B95" s="386"/>
      <c r="C95" s="386"/>
      <c r="D95" s="387"/>
      <c r="E95" s="387"/>
      <c r="F95" s="387"/>
      <c r="G95" s="387"/>
      <c r="H95" s="385"/>
    </row>
    <row r="96" spans="2:11" x14ac:dyDescent="0.2">
      <c r="B96" s="386"/>
      <c r="C96" s="386"/>
      <c r="D96" s="387"/>
      <c r="E96" s="387"/>
      <c r="F96" s="387"/>
      <c r="G96" s="387"/>
      <c r="H96" s="385"/>
    </row>
    <row r="97" spans="1:15" ht="15" x14ac:dyDescent="0.25">
      <c r="A97" s="110"/>
    </row>
    <row r="98" spans="1:15" ht="14.25" x14ac:dyDescent="0.2">
      <c r="A98" s="109"/>
    </row>
    <row r="99" spans="1:15" ht="14.25" x14ac:dyDescent="0.2">
      <c r="A99" s="109"/>
    </row>
    <row r="100" spans="1:15" ht="14.25" x14ac:dyDescent="0.2">
      <c r="A100" s="109"/>
    </row>
    <row r="101" spans="1:15" ht="14.25" x14ac:dyDescent="0.2">
      <c r="A101" s="109"/>
      <c r="N101" s="227"/>
      <c r="O101" s="234"/>
    </row>
    <row r="102" spans="1:15" ht="14.25" x14ac:dyDescent="0.2">
      <c r="A102" s="109"/>
    </row>
    <row r="103" spans="1:15" ht="14.25" x14ac:dyDescent="0.2">
      <c r="A103" s="109"/>
    </row>
    <row r="104" spans="1:15" ht="14.25" x14ac:dyDescent="0.2">
      <c r="A104" s="109"/>
    </row>
    <row r="105" spans="1:15" ht="14.25" x14ac:dyDescent="0.2">
      <c r="A105" s="109"/>
    </row>
    <row r="106" spans="1:15" ht="14.25" x14ac:dyDescent="0.2">
      <c r="A106" s="109"/>
    </row>
    <row r="107" spans="1:15" ht="14.25" x14ac:dyDescent="0.2">
      <c r="A107" s="109"/>
    </row>
    <row r="108" spans="1:15" ht="14.25" x14ac:dyDescent="0.2">
      <c r="A108" s="109"/>
    </row>
    <row r="109" spans="1:15" ht="14.25" x14ac:dyDescent="0.2">
      <c r="A109" s="109"/>
    </row>
    <row r="110" spans="1:15" ht="14.25" x14ac:dyDescent="0.2">
      <c r="A110" s="109"/>
    </row>
    <row r="111" spans="1:15" ht="14.25" x14ac:dyDescent="0.2">
      <c r="A111" s="109"/>
    </row>
    <row r="113" spans="14:14" x14ac:dyDescent="0.2">
      <c r="N113" s="226"/>
    </row>
  </sheetData>
  <mergeCells count="25">
    <mergeCell ref="B58:I58"/>
    <mergeCell ref="B59:I59"/>
    <mergeCell ref="B32:G32"/>
    <mergeCell ref="B15:I15"/>
    <mergeCell ref="B36:I36"/>
    <mergeCell ref="B34:I34"/>
    <mergeCell ref="B18:G18"/>
    <mergeCell ref="B17:G17"/>
    <mergeCell ref="B25:G25"/>
    <mergeCell ref="B11:I11"/>
    <mergeCell ref="B13:I13"/>
    <mergeCell ref="B83:I83"/>
    <mergeCell ref="C86:I86"/>
    <mergeCell ref="B81:I81"/>
    <mergeCell ref="B74:I74"/>
    <mergeCell ref="B39:I39"/>
    <mergeCell ref="B47:I47"/>
    <mergeCell ref="B56:I56"/>
    <mergeCell ref="B76:G76"/>
    <mergeCell ref="B61:G61"/>
    <mergeCell ref="B63:F63"/>
    <mergeCell ref="B66:C66"/>
    <mergeCell ref="B71:C71"/>
    <mergeCell ref="B73:I73"/>
    <mergeCell ref="B37:I37"/>
  </mergeCells>
  <dataValidations count="2">
    <dataValidation type="list" allowBlank="1" showInputMessage="1" showErrorMessage="1" sqref="G63">
      <formula1>"net,gross"</formula1>
    </dataValidation>
    <dataValidation type="list" allowBlank="1" showInputMessage="1" showErrorMessage="1" sqref="C78:G78">
      <formula1>"0, 0.5, 1"</formula1>
    </dataValidation>
  </dataValidations>
  <pageMargins left="0.25" right="0.25" top="0.75" bottom="0.75" header="0.3" footer="0.3"/>
  <pageSetup scale="4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topLeftCell="A13" workbookViewId="0">
      <selection activeCell="K41" sqref="K41"/>
    </sheetView>
  </sheetViews>
  <sheetFormatPr defaultRowHeight="12.75" x14ac:dyDescent="0.2"/>
  <cols>
    <col min="1" max="1" width="13.6640625" customWidth="1"/>
    <col min="2" max="2" width="54.83203125" bestFit="1" customWidth="1"/>
    <col min="4" max="4" width="5.6640625" bestFit="1" customWidth="1"/>
    <col min="5" max="9" width="17.6640625" bestFit="1" customWidth="1"/>
    <col min="10" max="10" width="5.5" customWidth="1"/>
    <col min="11" max="15" width="17.33203125" customWidth="1"/>
  </cols>
  <sheetData>
    <row r="1" spans="1:2" x14ac:dyDescent="0.2">
      <c r="A1" s="758" t="s">
        <v>272</v>
      </c>
    </row>
    <row r="11" spans="1:2" ht="23.25" x14ac:dyDescent="0.2">
      <c r="B11" s="133" t="s">
        <v>225</v>
      </c>
    </row>
    <row r="12" spans="1:2" ht="15" x14ac:dyDescent="0.2">
      <c r="B12" s="63" t="s">
        <v>64</v>
      </c>
    </row>
    <row r="13" spans="1:2" ht="14.25" x14ac:dyDescent="0.2">
      <c r="B13" s="100" t="s">
        <v>263</v>
      </c>
    </row>
    <row r="14" spans="1:2" ht="14.25" x14ac:dyDescent="0.2">
      <c r="B14" s="100" t="s">
        <v>264</v>
      </c>
    </row>
    <row r="15" spans="1:2" ht="14.25" x14ac:dyDescent="0.2">
      <c r="B15" s="100" t="s">
        <v>265</v>
      </c>
    </row>
    <row r="17" spans="2:15" x14ac:dyDescent="0.2">
      <c r="B17" s="128" t="s">
        <v>228</v>
      </c>
      <c r="C17" s="128"/>
      <c r="D17" s="102"/>
      <c r="E17" s="102"/>
      <c r="F17" s="102"/>
      <c r="G17" s="102"/>
      <c r="H17" s="102"/>
      <c r="I17" s="102"/>
      <c r="J17" s="102"/>
      <c r="K17" s="102"/>
      <c r="L17" s="102"/>
      <c r="M17" s="102"/>
    </row>
    <row r="18" spans="2:15" ht="13.5" thickBot="1" x14ac:dyDescent="0.25">
      <c r="B18" s="102"/>
      <c r="C18" s="102"/>
      <c r="D18" s="102"/>
      <c r="E18" s="102"/>
      <c r="F18" s="102"/>
      <c r="G18" s="102"/>
      <c r="H18" s="102"/>
      <c r="I18" s="102"/>
      <c r="J18" s="102"/>
      <c r="K18" s="102"/>
      <c r="L18" s="102"/>
      <c r="M18" s="102"/>
    </row>
    <row r="19" spans="2:15" ht="27.75" customHeight="1" thickBot="1" x14ac:dyDescent="0.25">
      <c r="B19" s="111" t="s">
        <v>36</v>
      </c>
      <c r="C19" s="228"/>
      <c r="D19" s="112" t="s">
        <v>33</v>
      </c>
      <c r="E19" s="210">
        <f>'1. LDC Info'!$F$25-3</f>
        <v>2012</v>
      </c>
      <c r="F19" s="210">
        <f>'1. LDC Info'!$F$25-2</f>
        <v>2013</v>
      </c>
      <c r="G19" s="213">
        <f>'1. LDC Info'!$F$25-1</f>
        <v>2014</v>
      </c>
      <c r="H19" s="211" t="str">
        <f>'1. LDC Info'!F25</f>
        <v>2015</v>
      </c>
      <c r="I19" s="212" t="str">
        <f>'1. LDC Info'!F27</f>
        <v>2016</v>
      </c>
      <c r="J19" s="102"/>
      <c r="K19" s="440" t="s">
        <v>60</v>
      </c>
      <c r="L19" s="441" t="s">
        <v>61</v>
      </c>
      <c r="M19" s="442" t="s">
        <v>229</v>
      </c>
      <c r="N19" s="445" t="s">
        <v>231</v>
      </c>
      <c r="O19" s="446" t="s">
        <v>232</v>
      </c>
    </row>
    <row r="20" spans="2:15" x14ac:dyDescent="0.2">
      <c r="B20" s="428" t="str">
        <f>+'9. Weather Adj LF'!C16</f>
        <v>Residential</v>
      </c>
      <c r="C20" s="429"/>
      <c r="D20" s="430" t="s">
        <v>36</v>
      </c>
      <c r="E20" s="463">
        <f>+'9. Weather Adj LF'!L17</f>
        <v>78553743.920000002</v>
      </c>
      <c r="F20" s="463">
        <f>+'9. Weather Adj LF'!M17</f>
        <v>80138213.859999999</v>
      </c>
      <c r="G20" s="463">
        <f>+'9. Weather Adj LF'!N17</f>
        <v>79483998.230000004</v>
      </c>
      <c r="H20" s="463">
        <f>+'9. Weather Adj LF'!O17</f>
        <v>78438793.189758614</v>
      </c>
      <c r="I20" s="464">
        <f>+'9. Weather Adj LF'!P17</f>
        <v>78268693.128189206</v>
      </c>
      <c r="J20" s="102"/>
      <c r="K20" s="448">
        <f>I20/$I$34</f>
        <v>0.41797490358225919</v>
      </c>
      <c r="L20" s="449">
        <f>K20*$L$34</f>
        <v>1348108.3890206465</v>
      </c>
      <c r="M20" s="450">
        <f>I20-L20</f>
        <v>76920584.739168555</v>
      </c>
      <c r="N20" s="457"/>
      <c r="O20" s="451">
        <f>+M20-N20</f>
        <v>76920584.739168555</v>
      </c>
    </row>
    <row r="21" spans="2:15" x14ac:dyDescent="0.2">
      <c r="B21" s="114"/>
      <c r="C21" s="230"/>
      <c r="D21" s="129"/>
      <c r="E21" s="390"/>
      <c r="F21" s="390"/>
      <c r="G21" s="390"/>
      <c r="H21" s="390"/>
      <c r="I21" s="391"/>
      <c r="J21" s="102"/>
      <c r="K21" s="116"/>
      <c r="L21" s="437"/>
      <c r="M21" s="443"/>
      <c r="N21" s="458"/>
      <c r="O21" s="242"/>
    </row>
    <row r="22" spans="2:15" x14ac:dyDescent="0.2">
      <c r="B22" s="425" t="str">
        <f>+'9. Weather Adj LF'!C20</f>
        <v>General Service &lt; 50 kW</v>
      </c>
      <c r="C22" s="230"/>
      <c r="D22" s="129" t="s">
        <v>36</v>
      </c>
      <c r="E22" s="390">
        <f>+'9. Weather Adj LF'!L21</f>
        <v>31948521.120000001</v>
      </c>
      <c r="F22" s="390">
        <f>+'9. Weather Adj LF'!M21</f>
        <v>31708039.23</v>
      </c>
      <c r="G22" s="390">
        <f>+'9. Weather Adj LF'!N21</f>
        <v>31649726.120000001</v>
      </c>
      <c r="H22" s="390">
        <f>+'9. Weather Adj LF'!O21</f>
        <v>34953791.57291279</v>
      </c>
      <c r="I22" s="391">
        <f>+'9. Weather Adj LF'!P21</f>
        <v>34877991.807811193</v>
      </c>
      <c r="J22" s="102"/>
      <c r="K22" s="117">
        <f>I22/$I$34</f>
        <v>0.18625742529182795</v>
      </c>
      <c r="L22" s="438">
        <f>K22*$L$34</f>
        <v>600742.28237457573</v>
      </c>
      <c r="M22" s="443">
        <f>I22-L22</f>
        <v>34277249.525436617</v>
      </c>
      <c r="N22" s="458"/>
      <c r="O22" s="452">
        <f>+M22-N22</f>
        <v>34277249.525436617</v>
      </c>
    </row>
    <row r="23" spans="2:15" x14ac:dyDescent="0.2">
      <c r="B23" s="114"/>
      <c r="C23" s="230"/>
      <c r="D23" s="129"/>
      <c r="E23" s="390"/>
      <c r="F23" s="390"/>
      <c r="G23" s="390"/>
      <c r="H23" s="390"/>
      <c r="I23" s="391"/>
      <c r="J23" s="102"/>
      <c r="K23" s="117"/>
      <c r="L23" s="437"/>
      <c r="M23" s="443"/>
      <c r="N23" s="458"/>
      <c r="O23" s="242"/>
    </row>
    <row r="24" spans="2:15" x14ac:dyDescent="0.2">
      <c r="B24" s="425" t="str">
        <f>+'9. Weather Adj LF'!C24</f>
        <v>Unmetered Scattered Load</v>
      </c>
      <c r="C24" s="230"/>
      <c r="D24" s="129" t="s">
        <v>36</v>
      </c>
      <c r="E24" s="390">
        <f>+'9. Weather Adj LF'!L25</f>
        <v>448159.09</v>
      </c>
      <c r="F24" s="390">
        <f>+'9. Weather Adj LF'!M25</f>
        <v>453470.7</v>
      </c>
      <c r="G24" s="390">
        <f>+'9. Weather Adj LF'!N25</f>
        <v>454406.25</v>
      </c>
      <c r="H24" s="390">
        <f>+'9. Weather Adj LF'!O25</f>
        <v>453067.96191469493</v>
      </c>
      <c r="I24" s="391">
        <f>+'9. Weather Adj LF'!P25</f>
        <v>452085.45204830298</v>
      </c>
      <c r="J24" s="102"/>
      <c r="K24" s="117">
        <f>I24/$I$34</f>
        <v>2.4142523105803032E-3</v>
      </c>
      <c r="L24" s="438">
        <f>K24*$L$34</f>
        <v>7786.7684523916705</v>
      </c>
      <c r="M24" s="443">
        <f>I24-L24</f>
        <v>444298.68359591131</v>
      </c>
      <c r="N24" s="458"/>
      <c r="O24" s="452">
        <f>+M24-N24</f>
        <v>444298.68359591131</v>
      </c>
    </row>
    <row r="25" spans="2:15" x14ac:dyDescent="0.2">
      <c r="B25" s="114"/>
      <c r="C25" s="230"/>
      <c r="D25" s="129"/>
      <c r="E25" s="390"/>
      <c r="F25" s="390"/>
      <c r="G25" s="390"/>
      <c r="H25" s="390"/>
      <c r="I25" s="391"/>
      <c r="J25" s="102"/>
      <c r="K25" s="117"/>
      <c r="L25" s="438"/>
      <c r="M25" s="443"/>
      <c r="N25" s="458"/>
      <c r="O25" s="242"/>
    </row>
    <row r="26" spans="2:15" x14ac:dyDescent="0.2">
      <c r="B26" s="425" t="str">
        <f>+'9. Weather Adj LF'!C28</f>
        <v>General Service &gt; 50 kW - 4999 kW</v>
      </c>
      <c r="C26" s="230"/>
      <c r="D26" s="129" t="s">
        <v>36</v>
      </c>
      <c r="E26" s="390">
        <f>+'9. Weather Adj LF'!L29</f>
        <v>74516293.329999998</v>
      </c>
      <c r="F26" s="390">
        <f>+'9. Weather Adj LF'!M29</f>
        <v>73596923.409999996</v>
      </c>
      <c r="G26" s="390">
        <f>+'9. Weather Adj LF'!N29</f>
        <v>72512848.979999989</v>
      </c>
      <c r="H26" s="390">
        <f>+'9. Weather Adj LF'!O29</f>
        <v>72299288.797186792</v>
      </c>
      <c r="I26" s="391">
        <f>+'9. Weather Adj LF'!P29</f>
        <v>72142502.684401065</v>
      </c>
      <c r="J26" s="102"/>
      <c r="K26" s="117">
        <f>I26/$I$34</f>
        <v>0.3852594747469375</v>
      </c>
      <c r="L26" s="438">
        <f>K26*$L$34</f>
        <v>1242590.2258837889</v>
      </c>
      <c r="M26" s="443">
        <f>I26-L26</f>
        <v>70899912.458517283</v>
      </c>
      <c r="N26" s="458"/>
      <c r="O26" s="452">
        <f>+M26+N26</f>
        <v>70899912.458517283</v>
      </c>
    </row>
    <row r="27" spans="2:15" x14ac:dyDescent="0.2">
      <c r="B27" s="114"/>
      <c r="C27" s="230"/>
      <c r="D27" s="129"/>
      <c r="E27" s="390"/>
      <c r="F27" s="390"/>
      <c r="G27" s="390"/>
      <c r="H27" s="390"/>
      <c r="I27" s="391"/>
      <c r="J27" s="102"/>
      <c r="K27" s="117"/>
      <c r="L27" s="438"/>
      <c r="M27" s="443"/>
      <c r="N27" s="458"/>
      <c r="O27" s="242"/>
    </row>
    <row r="28" spans="2:15" x14ac:dyDescent="0.2">
      <c r="B28" s="425" t="str">
        <f>+'9. Weather Adj LF'!C32</f>
        <v>Streetlighting</v>
      </c>
      <c r="C28" s="230"/>
      <c r="D28" s="129" t="s">
        <v>36</v>
      </c>
      <c r="E28" s="390">
        <f>+'9. Weather Adj LF'!L33</f>
        <v>2432689.94</v>
      </c>
      <c r="F28" s="390">
        <f>+'9. Weather Adj LF'!M33</f>
        <v>2424248.81</v>
      </c>
      <c r="G28" s="390">
        <f>+'9. Weather Adj LF'!N33</f>
        <v>2439791.5699999998</v>
      </c>
      <c r="H28" s="390">
        <f>+'9. Weather Adj LF'!O33</f>
        <v>2432606.0526600452</v>
      </c>
      <c r="I28" s="391">
        <f>+'9. Weather Adj LF'!P33</f>
        <v>1271330.774669338</v>
      </c>
      <c r="J28" s="102"/>
      <c r="K28" s="117">
        <f>I28/$I$34</f>
        <v>6.7892325363510175E-3</v>
      </c>
      <c r="L28" s="438">
        <f>K28*$L$34</f>
        <v>21897.538007244148</v>
      </c>
      <c r="M28" s="443">
        <f>I28-L28</f>
        <v>1249433.2366620938</v>
      </c>
      <c r="N28" s="458"/>
      <c r="O28" s="452">
        <f>+M28-N28</f>
        <v>1249433.2366620938</v>
      </c>
    </row>
    <row r="29" spans="2:15" x14ac:dyDescent="0.2">
      <c r="B29" s="114"/>
      <c r="C29" s="230"/>
      <c r="D29" s="129"/>
      <c r="E29" s="390"/>
      <c r="F29" s="390"/>
      <c r="G29" s="390"/>
      <c r="H29" s="390"/>
      <c r="I29" s="391"/>
      <c r="J29" s="102"/>
      <c r="K29" s="117"/>
      <c r="L29" s="437"/>
      <c r="M29" s="443"/>
      <c r="N29" s="458"/>
      <c r="O29" s="242"/>
    </row>
    <row r="30" spans="2:15" x14ac:dyDescent="0.2">
      <c r="B30" s="425" t="str">
        <f>'9. Weather Adj LF'!C36</f>
        <v>Sentinel Lighting</v>
      </c>
      <c r="C30" s="231"/>
      <c r="D30" s="129" t="s">
        <v>36</v>
      </c>
      <c r="E30" s="390">
        <f>+'9. Weather Adj LF'!L37</f>
        <v>243747.31</v>
      </c>
      <c r="F30" s="390">
        <f>+'9. Weather Adj LF'!M37</f>
        <v>270899.02</v>
      </c>
      <c r="G30" s="390">
        <f>+'9. Weather Adj LF'!N37</f>
        <v>245570.47</v>
      </c>
      <c r="H30" s="390">
        <f>+'9. Weather Adj LF'!O37</f>
        <v>244847.23163322191</v>
      </c>
      <c r="I30" s="391">
        <f>+'9. Weather Adj LF'!P37</f>
        <v>244316.26312284268</v>
      </c>
      <c r="J30" s="102"/>
      <c r="K30" s="117">
        <f>I30/$I$34</f>
        <v>1.3047115320438288E-3</v>
      </c>
      <c r="L30" s="438">
        <f>K30*$L$34</f>
        <v>4208.1295946853616</v>
      </c>
      <c r="M30" s="443">
        <f>I30-L30</f>
        <v>240108.13352815731</v>
      </c>
      <c r="N30" s="458"/>
      <c r="O30" s="452">
        <f>+M30-N30</f>
        <v>240108.13352815731</v>
      </c>
    </row>
    <row r="31" spans="2:15" x14ac:dyDescent="0.2">
      <c r="B31" s="118"/>
      <c r="C31" s="232"/>
      <c r="D31" s="207"/>
      <c r="E31" s="393"/>
      <c r="F31" s="393"/>
      <c r="G31" s="393"/>
      <c r="H31" s="393"/>
      <c r="I31" s="431"/>
      <c r="J31" s="102"/>
      <c r="K31" s="117"/>
      <c r="L31" s="437"/>
      <c r="M31" s="443"/>
      <c r="N31" s="458"/>
      <c r="O31" s="242"/>
    </row>
    <row r="32" spans="2:15" x14ac:dyDescent="0.2">
      <c r="B32" s="426">
        <f>+'9. Weather Adj LF'!C40</f>
        <v>0</v>
      </c>
      <c r="C32" s="232"/>
      <c r="D32" s="129" t="s">
        <v>36</v>
      </c>
      <c r="E32" s="393">
        <f>+'9. Weather Adj LF'!L41</f>
        <v>0</v>
      </c>
      <c r="F32" s="393">
        <f>+'9. Weather Adj LF'!M41</f>
        <v>0</v>
      </c>
      <c r="G32" s="393">
        <f>+'9. Weather Adj LF'!N41</f>
        <v>0</v>
      </c>
      <c r="H32" s="393">
        <f>+'9. Weather Adj LF'!O41</f>
        <v>0</v>
      </c>
      <c r="I32" s="431">
        <f>+'9. Weather Adj LF'!P41</f>
        <v>0</v>
      </c>
      <c r="J32" s="102"/>
      <c r="K32" s="117">
        <f>I32/$I$34</f>
        <v>0</v>
      </c>
      <c r="L32" s="438">
        <f>K32*$L$34</f>
        <v>0</v>
      </c>
      <c r="M32" s="443">
        <f>I32-L32</f>
        <v>0</v>
      </c>
      <c r="N32" s="458"/>
      <c r="O32" s="452">
        <f>+M32-N32</f>
        <v>0</v>
      </c>
    </row>
    <row r="33" spans="2:18" ht="13.5" thickBot="1" x14ac:dyDescent="0.25">
      <c r="B33" s="119"/>
      <c r="C33" s="233"/>
      <c r="D33" s="208"/>
      <c r="E33" s="296"/>
      <c r="F33" s="296"/>
      <c r="G33" s="296"/>
      <c r="H33" s="296"/>
      <c r="I33" s="436"/>
      <c r="J33" s="102"/>
      <c r="K33" s="120"/>
      <c r="L33" s="439"/>
      <c r="M33" s="444"/>
      <c r="N33" s="470"/>
      <c r="O33" s="194"/>
    </row>
    <row r="34" spans="2:18" ht="20.25" thickTop="1" thickBot="1" x14ac:dyDescent="0.25">
      <c r="B34" s="793" t="s">
        <v>16</v>
      </c>
      <c r="C34" s="794"/>
      <c r="D34" s="795"/>
      <c r="E34" s="796">
        <f>SUM(E20:E33)</f>
        <v>188143154.71000001</v>
      </c>
      <c r="F34" s="796">
        <f>SUM(F20:F33)</f>
        <v>188591795.03</v>
      </c>
      <c r="G34" s="796">
        <f>SUM(G20:G33)</f>
        <v>186786341.61999997</v>
      </c>
      <c r="H34" s="796">
        <f>SUM(H20:H33)</f>
        <v>188822394.80606616</v>
      </c>
      <c r="I34" s="797">
        <f>SUM(I20:I33)</f>
        <v>187256920.11024198</v>
      </c>
      <c r="J34" s="798"/>
      <c r="K34" s="799">
        <f>I34/$I$34</f>
        <v>1</v>
      </c>
      <c r="L34" s="792">
        <f>+'10. CDM Adjustment'!I93</f>
        <v>3225333.333333333</v>
      </c>
      <c r="M34" s="800">
        <f>I34-L34</f>
        <v>184031586.77690864</v>
      </c>
      <c r="N34" s="801">
        <f>SUM(N20:N33)</f>
        <v>0</v>
      </c>
      <c r="O34" s="802">
        <f>SUM(O20:O33)</f>
        <v>184031586.77690861</v>
      </c>
      <c r="Q34" s="459">
        <f>+M34-O34</f>
        <v>0</v>
      </c>
      <c r="R34" s="460" t="s">
        <v>233</v>
      </c>
    </row>
    <row r="35" spans="2:18" x14ac:dyDescent="0.2">
      <c r="B35" s="121"/>
      <c r="C35" s="121"/>
      <c r="D35" s="125"/>
      <c r="E35" s="122"/>
      <c r="F35" s="122"/>
      <c r="G35" s="122"/>
      <c r="H35" s="123"/>
      <c r="I35" s="123"/>
      <c r="J35" s="124"/>
      <c r="K35" s="124"/>
      <c r="L35" s="124"/>
      <c r="M35" s="124"/>
    </row>
    <row r="36" spans="2:18" ht="13.5" thickBot="1" x14ac:dyDescent="0.25">
      <c r="B36" s="102"/>
      <c r="C36" s="102"/>
      <c r="D36" s="209"/>
      <c r="E36" s="102"/>
      <c r="F36" s="102"/>
      <c r="G36" s="102"/>
      <c r="H36" s="102"/>
      <c r="I36" s="102"/>
      <c r="J36" s="102"/>
      <c r="K36" s="102"/>
      <c r="L36" s="102"/>
      <c r="M36" s="124"/>
    </row>
    <row r="37" spans="2:18" ht="26.25" thickBot="1" x14ac:dyDescent="0.25">
      <c r="B37" s="111"/>
      <c r="C37" s="228"/>
      <c r="D37" s="112" t="s">
        <v>33</v>
      </c>
      <c r="E37" s="210">
        <f>E19</f>
        <v>2012</v>
      </c>
      <c r="F37" s="210">
        <f>F19</f>
        <v>2013</v>
      </c>
      <c r="G37" s="210">
        <f>G19</f>
        <v>2014</v>
      </c>
      <c r="H37" s="210" t="str">
        <f>H19</f>
        <v>2015</v>
      </c>
      <c r="I37" s="427" t="str">
        <f>I19</f>
        <v>2016</v>
      </c>
      <c r="J37" s="102"/>
      <c r="K37" s="125"/>
      <c r="L37" s="125"/>
      <c r="M37" s="462" t="s">
        <v>230</v>
      </c>
      <c r="N37" s="447" t="s">
        <v>231</v>
      </c>
      <c r="O37" s="453" t="s">
        <v>232</v>
      </c>
    </row>
    <row r="38" spans="2:18" x14ac:dyDescent="0.2">
      <c r="B38" s="428" t="str">
        <f>+B20</f>
        <v>Residential</v>
      </c>
      <c r="C38" s="429"/>
      <c r="D38" s="430" t="s">
        <v>37</v>
      </c>
      <c r="E38" s="432">
        <f>+'9. Weather Adj LF'!L18</f>
        <v>0</v>
      </c>
      <c r="F38" s="432">
        <f>+'9. Weather Adj LF'!M18</f>
        <v>0</v>
      </c>
      <c r="G38" s="432">
        <f>+'9. Weather Adj LF'!N18</f>
        <v>0</v>
      </c>
      <c r="H38" s="432">
        <f>+'9. Weather Adj LF'!O18</f>
        <v>0</v>
      </c>
      <c r="I38" s="433">
        <f>+'9. Weather Adj LF'!P18</f>
        <v>0</v>
      </c>
      <c r="J38" s="102"/>
      <c r="K38" s="126"/>
      <c r="L38" s="127"/>
      <c r="M38" s="454">
        <f>IF(I38&gt;0,+M20/I20*I38,0)</f>
        <v>0</v>
      </c>
      <c r="N38" s="461">
        <f>IF(I38&gt;0,+N20/I20*I38,0)</f>
        <v>0</v>
      </c>
      <c r="O38" s="451">
        <f>+M38-N38</f>
        <v>0</v>
      </c>
    </row>
    <row r="39" spans="2:18" x14ac:dyDescent="0.2">
      <c r="B39" s="113" t="s">
        <v>30</v>
      </c>
      <c r="C39" s="229"/>
      <c r="D39" s="129"/>
      <c r="E39" s="434"/>
      <c r="F39" s="434"/>
      <c r="G39" s="434"/>
      <c r="H39" s="434"/>
      <c r="I39" s="435"/>
      <c r="J39" s="102"/>
      <c r="K39" s="126"/>
      <c r="L39" s="127"/>
      <c r="M39" s="455"/>
      <c r="N39" s="59"/>
      <c r="O39" s="242"/>
    </row>
    <row r="40" spans="2:18" x14ac:dyDescent="0.2">
      <c r="B40" s="424" t="str">
        <f>+B22</f>
        <v>General Service &lt; 50 kW</v>
      </c>
      <c r="C40" s="229"/>
      <c r="D40" s="130" t="s">
        <v>37</v>
      </c>
      <c r="E40" s="434">
        <f>+'9. Weather Adj LF'!L22</f>
        <v>0</v>
      </c>
      <c r="F40" s="434">
        <f>+'9. Weather Adj LF'!M22</f>
        <v>0</v>
      </c>
      <c r="G40" s="434">
        <f>+'9. Weather Adj LF'!N22</f>
        <v>0</v>
      </c>
      <c r="H40" s="434">
        <f>+'9. Weather Adj LF'!O22</f>
        <v>0</v>
      </c>
      <c r="I40" s="435">
        <f>+'9. Weather Adj LF'!P22</f>
        <v>0</v>
      </c>
      <c r="J40" s="102"/>
      <c r="K40" s="126"/>
      <c r="L40" s="127"/>
      <c r="M40" s="455">
        <f>IF(I40&gt;0,+M22/I22*I40,0)</f>
        <v>0</v>
      </c>
      <c r="N40" s="115">
        <f>IF(I40&gt;0,+N22/I22*I40,0)</f>
        <v>0</v>
      </c>
      <c r="O40" s="452">
        <f>+M40-N40</f>
        <v>0</v>
      </c>
    </row>
    <row r="41" spans="2:18" x14ac:dyDescent="0.2">
      <c r="B41" s="113" t="s">
        <v>30</v>
      </c>
      <c r="C41" s="229"/>
      <c r="D41" s="129"/>
      <c r="E41" s="434"/>
      <c r="F41" s="434"/>
      <c r="G41" s="434"/>
      <c r="H41" s="434"/>
      <c r="I41" s="435"/>
      <c r="J41" s="102"/>
      <c r="K41" s="126"/>
      <c r="L41" s="127"/>
      <c r="M41" s="455"/>
      <c r="N41" s="59"/>
      <c r="O41" s="242"/>
    </row>
    <row r="42" spans="2:18" x14ac:dyDescent="0.2">
      <c r="B42" s="424" t="str">
        <f>+B24</f>
        <v>Unmetered Scattered Load</v>
      </c>
      <c r="C42" s="229"/>
      <c r="D42" s="130" t="s">
        <v>37</v>
      </c>
      <c r="E42" s="388">
        <f>+'9. Weather Adj LF'!L26</f>
        <v>0</v>
      </c>
      <c r="F42" s="388">
        <f>+'9. Weather Adj LF'!M26</f>
        <v>0</v>
      </c>
      <c r="G42" s="388">
        <f>+'9. Weather Adj LF'!N26</f>
        <v>0</v>
      </c>
      <c r="H42" s="388">
        <f>+'9. Weather Adj LF'!O26</f>
        <v>0</v>
      </c>
      <c r="I42" s="389">
        <f>+'9. Weather Adj LF'!P26</f>
        <v>0</v>
      </c>
      <c r="J42" s="102"/>
      <c r="K42" s="126"/>
      <c r="L42" s="127"/>
      <c r="M42" s="455">
        <f>IF(I42&gt;0,+M24/I24*I42,0)</f>
        <v>0</v>
      </c>
      <c r="N42" s="115">
        <f>IF(I42&gt;0,+N24/I24*I42,0)</f>
        <v>0</v>
      </c>
      <c r="O42" s="452">
        <f>+M42-N42</f>
        <v>0</v>
      </c>
    </row>
    <row r="43" spans="2:18" x14ac:dyDescent="0.2">
      <c r="B43" s="113" t="s">
        <v>30</v>
      </c>
      <c r="C43" s="229"/>
      <c r="D43" s="129"/>
      <c r="E43" s="390"/>
      <c r="F43" s="390"/>
      <c r="G43" s="390"/>
      <c r="H43" s="390"/>
      <c r="I43" s="391"/>
      <c r="J43" s="102"/>
      <c r="K43" s="126"/>
      <c r="L43" s="127"/>
      <c r="M43" s="455"/>
      <c r="N43" s="59"/>
      <c r="O43" s="242"/>
    </row>
    <row r="44" spans="2:18" x14ac:dyDescent="0.2">
      <c r="B44" s="424" t="str">
        <f>+B26</f>
        <v>General Service &gt; 50 kW - 4999 kW</v>
      </c>
      <c r="C44" s="229"/>
      <c r="D44" s="130" t="s">
        <v>37</v>
      </c>
      <c r="E44" s="390">
        <f>+'9. Weather Adj LF'!L30</f>
        <v>207916</v>
      </c>
      <c r="F44" s="390">
        <f>+'9. Weather Adj LF'!M30</f>
        <v>216501</v>
      </c>
      <c r="G44" s="390">
        <f>+'9. Weather Adj LF'!N30</f>
        <v>206399</v>
      </c>
      <c r="H44" s="390">
        <f>+'9. Weather Adj LF'!O30</f>
        <v>198917.84757842109</v>
      </c>
      <c r="I44" s="391">
        <f>+'9. Weather Adj LF'!P30</f>
        <v>198486.48018042342</v>
      </c>
      <c r="J44" s="102"/>
      <c r="K44" s="126"/>
      <c r="L44" s="127"/>
      <c r="M44" s="455">
        <f>IF(I44&gt;0,+M26/I26*I44,0)</f>
        <v>195067.72769658981</v>
      </c>
      <c r="N44" s="115">
        <f>IF(I44&gt;0,+N26/I26*I44,0)</f>
        <v>0</v>
      </c>
      <c r="O44" s="452">
        <f>+M44-N44</f>
        <v>195067.72769658981</v>
      </c>
    </row>
    <row r="45" spans="2:18" x14ac:dyDescent="0.2">
      <c r="B45" s="113" t="s">
        <v>30</v>
      </c>
      <c r="C45" s="229"/>
      <c r="D45" s="129"/>
      <c r="E45" s="390"/>
      <c r="F45" s="390"/>
      <c r="G45" s="390"/>
      <c r="H45" s="390"/>
      <c r="I45" s="391"/>
      <c r="J45" s="102"/>
      <c r="K45" s="126"/>
      <c r="L45" s="127"/>
      <c r="M45" s="455"/>
      <c r="N45" s="59"/>
      <c r="O45" s="242"/>
    </row>
    <row r="46" spans="2:18" x14ac:dyDescent="0.2">
      <c r="B46" s="424" t="str">
        <f>+B28</f>
        <v>Streetlighting</v>
      </c>
      <c r="C46" s="229"/>
      <c r="D46" s="130" t="s">
        <v>37</v>
      </c>
      <c r="E46" s="390">
        <f>+'9. Weather Adj LF'!L34</f>
        <v>6768.3999999999987</v>
      </c>
      <c r="F46" s="390">
        <f>+'9. Weather Adj LF'!M34</f>
        <v>6765.9000000000005</v>
      </c>
      <c r="G46" s="390">
        <f>+'9. Weather Adj LF'!N34</f>
        <v>6769.9599999999991</v>
      </c>
      <c r="H46" s="390">
        <f>+'9. Weather Adj LF'!O34</f>
        <v>6772.6200970626942</v>
      </c>
      <c r="I46" s="391">
        <f>+'9. Weather Adj LF'!P34</f>
        <v>3539.512838556238</v>
      </c>
      <c r="J46" s="102"/>
      <c r="K46" s="126"/>
      <c r="L46" s="127"/>
      <c r="M46" s="455">
        <f>IF(I46&gt;0,+M28/I28*I46,0)</f>
        <v>3478.5478887149402</v>
      </c>
      <c r="N46" s="115">
        <f>IF(I46&gt;0,+N28/I28*I46,0)</f>
        <v>0</v>
      </c>
      <c r="O46" s="452">
        <f>+M46-N46</f>
        <v>3478.5478887149402</v>
      </c>
    </row>
    <row r="47" spans="2:18" x14ac:dyDescent="0.2">
      <c r="B47" s="113" t="s">
        <v>30</v>
      </c>
      <c r="C47" s="229"/>
      <c r="D47" s="129"/>
      <c r="E47" s="390"/>
      <c r="F47" s="390"/>
      <c r="G47" s="390"/>
      <c r="H47" s="390"/>
      <c r="I47" s="391"/>
      <c r="J47" s="102"/>
      <c r="K47" s="126"/>
      <c r="L47" s="127"/>
      <c r="M47" s="455"/>
      <c r="N47" s="59"/>
      <c r="O47" s="242"/>
    </row>
    <row r="48" spans="2:18" x14ac:dyDescent="0.2">
      <c r="B48" s="424" t="str">
        <f>+B30</f>
        <v>Sentinel Lighting</v>
      </c>
      <c r="C48" s="229"/>
      <c r="D48" s="130" t="s">
        <v>37</v>
      </c>
      <c r="E48" s="390">
        <f>+'9. Weather Adj LF'!L38</f>
        <v>713</v>
      </c>
      <c r="F48" s="390">
        <f>+'9. Weather Adj LF'!M38</f>
        <v>700</v>
      </c>
      <c r="G48" s="390">
        <f>+'9. Weather Adj LF'!N38</f>
        <v>683.5</v>
      </c>
      <c r="H48" s="390">
        <f>+'9. Weather Adj LF'!O38</f>
        <v>697.71463936548889</v>
      </c>
      <c r="I48" s="391">
        <f>+'9. Weather Adj LF'!P38</f>
        <v>696.20159590462345</v>
      </c>
      <c r="J48" s="102"/>
      <c r="K48" s="126"/>
      <c r="L48" s="127"/>
      <c r="M48" s="455">
        <f>IF(I48&gt;0,+M30/I30*I48,0)</f>
        <v>684.21014473331786</v>
      </c>
      <c r="N48" s="115">
        <f>IF(I48&gt;0,+N30/I30*I48,0)</f>
        <v>0</v>
      </c>
      <c r="O48" s="452">
        <f>+M48-N48</f>
        <v>684.21014473331786</v>
      </c>
    </row>
    <row r="49" spans="2:15" x14ac:dyDescent="0.2">
      <c r="B49" s="424"/>
      <c r="C49" s="229"/>
      <c r="D49" s="130"/>
      <c r="E49" s="390"/>
      <c r="F49" s="390"/>
      <c r="G49" s="390"/>
      <c r="H49" s="390"/>
      <c r="I49" s="391"/>
      <c r="J49" s="102"/>
      <c r="K49" s="126"/>
      <c r="L49" s="127"/>
      <c r="M49" s="455"/>
      <c r="N49" s="59"/>
      <c r="O49" s="242"/>
    </row>
    <row r="50" spans="2:15" x14ac:dyDescent="0.2">
      <c r="B50" s="424">
        <f>+B32</f>
        <v>0</v>
      </c>
      <c r="C50" s="229"/>
      <c r="D50" s="130" t="s">
        <v>37</v>
      </c>
      <c r="E50" s="390">
        <f>+'9. Weather Adj LF'!L42</f>
        <v>0</v>
      </c>
      <c r="F50" s="390">
        <f>+'9. Weather Adj LF'!M42</f>
        <v>0</v>
      </c>
      <c r="G50" s="390">
        <f>+'9. Weather Adj LF'!N42</f>
        <v>0</v>
      </c>
      <c r="H50" s="390">
        <f>+'9. Weather Adj LF'!O42</f>
        <v>0</v>
      </c>
      <c r="I50" s="391">
        <f>+'9. Weather Adj LF'!P42</f>
        <v>0</v>
      </c>
      <c r="J50" s="102"/>
      <c r="K50" s="126"/>
      <c r="L50" s="127"/>
      <c r="M50" s="455">
        <f>IF(I50&gt;0,+M32/I32*I50,0)</f>
        <v>0</v>
      </c>
      <c r="N50" s="115">
        <f>IF(I50&gt;0,+N32/I32*I50,0)</f>
        <v>0</v>
      </c>
      <c r="O50" s="452">
        <f>+M50-N50</f>
        <v>0</v>
      </c>
    </row>
    <row r="51" spans="2:15" ht="13.5" thickBot="1" x14ac:dyDescent="0.25">
      <c r="B51" s="119" t="s">
        <v>30</v>
      </c>
      <c r="C51" s="233"/>
      <c r="D51" s="208"/>
      <c r="E51" s="296"/>
      <c r="F51" s="296"/>
      <c r="G51" s="296"/>
      <c r="H51" s="296"/>
      <c r="I51" s="436"/>
      <c r="J51" s="102"/>
      <c r="K51" s="126"/>
      <c r="L51" s="127"/>
      <c r="M51" s="456"/>
      <c r="N51" s="91"/>
      <c r="O51" s="194"/>
    </row>
    <row r="52" spans="2:15" ht="13.5" thickBot="1" x14ac:dyDescent="0.25">
      <c r="B52" s="465" t="s">
        <v>16</v>
      </c>
      <c r="C52" s="468"/>
      <c r="D52" s="469" t="s">
        <v>30</v>
      </c>
      <c r="E52" s="466">
        <f>SUM(E38:E51)</f>
        <v>215397.4</v>
      </c>
      <c r="F52" s="466">
        <f>SUM(F38:F51)</f>
        <v>223966.9</v>
      </c>
      <c r="G52" s="466">
        <f>SUM(G38:G51)</f>
        <v>213852.46</v>
      </c>
      <c r="H52" s="466">
        <f>SUM(H38:H51)</f>
        <v>206388.18231484928</v>
      </c>
      <c r="I52" s="467">
        <f>SUM(I38:I51)</f>
        <v>202722.19461488427</v>
      </c>
      <c r="J52" s="102"/>
      <c r="K52" s="126"/>
      <c r="L52" s="127"/>
      <c r="M52" s="471">
        <f>SUM(M38:M51)</f>
        <v>199230.48573003805</v>
      </c>
      <c r="N52" s="469">
        <f>SUM(N38:N51)</f>
        <v>0</v>
      </c>
      <c r="O52" s="472">
        <f>SUM(O38:O51)</f>
        <v>199230.48573003805</v>
      </c>
    </row>
    <row r="53" spans="2:15" x14ac:dyDescent="0.2">
      <c r="B53" s="105"/>
      <c r="C53" s="105"/>
      <c r="D53" s="105"/>
      <c r="E53" s="105"/>
      <c r="F53" s="105"/>
      <c r="G53" s="105"/>
      <c r="H53" s="105"/>
      <c r="I53" s="105"/>
      <c r="J53" s="105"/>
      <c r="K53" s="105"/>
      <c r="L53" s="105"/>
      <c r="M53" s="10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61"/>
  <sheetViews>
    <sheetView showGridLines="0" topLeftCell="A4" zoomScaleNormal="100" workbookViewId="0">
      <selection activeCell="O15" sqref="O15"/>
    </sheetView>
  </sheetViews>
  <sheetFormatPr defaultColWidth="10.5" defaultRowHeight="12.75" x14ac:dyDescent="0.2"/>
  <cols>
    <col min="1" max="1" width="13.6640625" style="1" customWidth="1"/>
    <col min="2" max="2" width="35.83203125" style="1" customWidth="1"/>
    <col min="3" max="14" width="17.1640625" style="1" customWidth="1"/>
    <col min="15" max="15" width="17.1640625" style="206" customWidth="1"/>
    <col min="16" max="17" width="10.5" style="1"/>
    <col min="18" max="19" width="1.83203125" style="1" bestFit="1" customWidth="1"/>
    <col min="20" max="16384" width="10.5" style="1"/>
  </cols>
  <sheetData>
    <row r="1" spans="1:15" s="536" customFormat="1" x14ac:dyDescent="0.2">
      <c r="A1" s="758" t="s">
        <v>272</v>
      </c>
      <c r="O1" s="206"/>
    </row>
    <row r="2" spans="1:15" s="536" customFormat="1" x14ac:dyDescent="0.2">
      <c r="O2" s="206"/>
    </row>
    <row r="3" spans="1:15" s="536" customFormat="1" x14ac:dyDescent="0.2">
      <c r="O3" s="206"/>
    </row>
    <row r="4" spans="1:15" s="536" customFormat="1" x14ac:dyDescent="0.2">
      <c r="O4" s="206"/>
    </row>
    <row r="5" spans="1:15" s="536" customFormat="1" x14ac:dyDescent="0.2">
      <c r="O5" s="206"/>
    </row>
    <row r="6" spans="1:15" s="536" customFormat="1" x14ac:dyDescent="0.2">
      <c r="O6" s="206"/>
    </row>
    <row r="7" spans="1:15" s="536" customFormat="1" x14ac:dyDescent="0.2">
      <c r="O7" s="206"/>
    </row>
    <row r="8" spans="1:15" s="536" customFormat="1" x14ac:dyDescent="0.2">
      <c r="O8" s="206"/>
    </row>
    <row r="9" spans="1:15" s="536" customFormat="1" x14ac:dyDescent="0.2">
      <c r="O9" s="206"/>
    </row>
    <row r="11" spans="1:15" ht="23.25" x14ac:dyDescent="0.2">
      <c r="B11" s="133" t="s">
        <v>234</v>
      </c>
      <c r="O11" s="317"/>
    </row>
    <row r="12" spans="1:15" ht="13.5" thickBot="1" x14ac:dyDescent="0.25">
      <c r="F12" s="783"/>
      <c r="G12" s="783"/>
      <c r="H12" s="783"/>
      <c r="I12" s="783"/>
      <c r="J12" s="783"/>
      <c r="K12" s="783"/>
      <c r="L12" s="783"/>
      <c r="M12" s="783"/>
      <c r="N12" s="783"/>
      <c r="O12" s="783"/>
    </row>
    <row r="13" spans="1:15" ht="13.5" thickBot="1" x14ac:dyDescent="0.25">
      <c r="B13" s="87"/>
      <c r="C13" s="307" t="s">
        <v>33</v>
      </c>
      <c r="D13" s="196">
        <f>'4. Customer Growth'!B17</f>
        <v>2005</v>
      </c>
      <c r="E13" s="196">
        <f>'4. Customer Growth'!B18</f>
        <v>2006</v>
      </c>
      <c r="F13" s="196">
        <f>'4. Customer Growth'!B19</f>
        <v>2007</v>
      </c>
      <c r="G13" s="196">
        <f>'4. Customer Growth'!B20</f>
        <v>2008</v>
      </c>
      <c r="H13" s="196">
        <f>'4. Customer Growth'!B21</f>
        <v>2009</v>
      </c>
      <c r="I13" s="196">
        <f>'4. Customer Growth'!B22</f>
        <v>2010</v>
      </c>
      <c r="J13" s="196">
        <f>'4. Customer Growth'!B23</f>
        <v>2011</v>
      </c>
      <c r="K13" s="196">
        <f>'4. Customer Growth'!B24</f>
        <v>2012</v>
      </c>
      <c r="L13" s="196">
        <f>'4. Customer Growth'!B25</f>
        <v>2013</v>
      </c>
      <c r="M13" s="196">
        <f>'4. Customer Growth'!B26</f>
        <v>2014</v>
      </c>
      <c r="N13" s="196" t="str">
        <f>'4. Customer Growth'!B30</f>
        <v>2015</v>
      </c>
      <c r="O13" s="195" t="str">
        <f>'4. Customer Growth'!B31</f>
        <v>2016</v>
      </c>
    </row>
    <row r="14" spans="1:15" x14ac:dyDescent="0.2">
      <c r="B14" s="421" t="str">
        <f>+'9. Weather Adj LF'!C16</f>
        <v>Residential</v>
      </c>
      <c r="C14" s="88" t="s">
        <v>131</v>
      </c>
      <c r="D14" s="388">
        <f>+'9. Weather Adj LF'!E16</f>
        <v>8625</v>
      </c>
      <c r="E14" s="388">
        <f>+'9. Weather Adj LF'!F16</f>
        <v>8696</v>
      </c>
      <c r="F14" s="388">
        <f>+'9. Weather Adj LF'!G16</f>
        <v>8809</v>
      </c>
      <c r="G14" s="388">
        <f>+'9. Weather Adj LF'!H16</f>
        <v>8809</v>
      </c>
      <c r="H14" s="388">
        <f>+'9. Weather Adj LF'!I16</f>
        <v>8941</v>
      </c>
      <c r="I14" s="388">
        <f>+'9. Weather Adj LF'!J16</f>
        <v>8955</v>
      </c>
      <c r="J14" s="388">
        <f>+'9. Weather Adj LF'!K16</f>
        <v>9030</v>
      </c>
      <c r="K14" s="388">
        <f>+'9. Weather Adj LF'!L16</f>
        <v>9086.5</v>
      </c>
      <c r="L14" s="388">
        <f>+'9. Weather Adj LF'!M16</f>
        <v>9195</v>
      </c>
      <c r="M14" s="388">
        <f>+'9. Weather Adj LF'!N16</f>
        <v>9305</v>
      </c>
      <c r="N14" s="388">
        <f>+'9. Weather Adj LF'!O16</f>
        <v>9383.7903594694271</v>
      </c>
      <c r="O14" s="389">
        <f>+'9. Weather Adj LF'!P16</f>
        <v>9463.2478786105712</v>
      </c>
    </row>
    <row r="15" spans="1:15" x14ac:dyDescent="0.2">
      <c r="B15" s="89"/>
      <c r="C15" s="59" t="s">
        <v>36</v>
      </c>
      <c r="D15" s="388">
        <f>+'9. Weather Adj LF'!E17</f>
        <v>76867401</v>
      </c>
      <c r="E15" s="388">
        <f>+'9. Weather Adj LF'!F17</f>
        <v>80301785</v>
      </c>
      <c r="F15" s="388">
        <f>+'9. Weather Adj LF'!G17</f>
        <v>78894594</v>
      </c>
      <c r="G15" s="388">
        <f>+'9. Weather Adj LF'!H17</f>
        <v>78894594</v>
      </c>
      <c r="H15" s="388">
        <f>+'9. Weather Adj LF'!I17</f>
        <v>76058961.349999994</v>
      </c>
      <c r="I15" s="388">
        <f>+'9. Weather Adj LF'!J17</f>
        <v>75301012.150000006</v>
      </c>
      <c r="J15" s="388">
        <f>+'9. Weather Adj LF'!K17</f>
        <v>79270519.859999999</v>
      </c>
      <c r="K15" s="388">
        <f>+'9. Weather Adj LF'!L17</f>
        <v>78553743.920000002</v>
      </c>
      <c r="L15" s="388">
        <f>+'9. Weather Adj LF'!M17</f>
        <v>80138213.859999999</v>
      </c>
      <c r="M15" s="388">
        <f>+'9. Weather Adj LF'!N17</f>
        <v>79483998.230000004</v>
      </c>
      <c r="N15" s="388">
        <f>+'9. Weather Adj LF'!O17</f>
        <v>78438793.189758614</v>
      </c>
      <c r="O15" s="389">
        <f>+'10.1 CDM Allocation'!O20</f>
        <v>76920584.739168555</v>
      </c>
    </row>
    <row r="16" spans="1:15" x14ac:dyDescent="0.2">
      <c r="B16" s="89"/>
      <c r="C16" s="59" t="s">
        <v>37</v>
      </c>
      <c r="D16" s="390">
        <f>+'9. Weather Adj LF'!E18</f>
        <v>0</v>
      </c>
      <c r="E16" s="390">
        <f>+'9. Weather Adj LF'!F18</f>
        <v>0</v>
      </c>
      <c r="F16" s="390">
        <f>+'9. Weather Adj LF'!G18</f>
        <v>0</v>
      </c>
      <c r="G16" s="390">
        <f>+'9. Weather Adj LF'!H18</f>
        <v>0</v>
      </c>
      <c r="H16" s="390">
        <f>+'9. Weather Adj LF'!I18</f>
        <v>0</v>
      </c>
      <c r="I16" s="390">
        <f>+'9. Weather Adj LF'!J18</f>
        <v>0</v>
      </c>
      <c r="J16" s="390">
        <f>+'9. Weather Adj LF'!K18</f>
        <v>0</v>
      </c>
      <c r="K16" s="390">
        <f>+'9. Weather Adj LF'!L18</f>
        <v>0</v>
      </c>
      <c r="L16" s="390">
        <f>+'9. Weather Adj LF'!M18</f>
        <v>0</v>
      </c>
      <c r="M16" s="390">
        <f>+'9. Weather Adj LF'!N18</f>
        <v>0</v>
      </c>
      <c r="N16" s="390">
        <f>+'9. Weather Adj LF'!O18</f>
        <v>0</v>
      </c>
      <c r="O16" s="391">
        <f>+'10.1 CDM Allocation'!O38</f>
        <v>0</v>
      </c>
    </row>
    <row r="17" spans="2:15" x14ac:dyDescent="0.2">
      <c r="B17" s="89"/>
      <c r="C17" s="59"/>
      <c r="D17" s="390"/>
      <c r="E17" s="390"/>
      <c r="F17" s="390"/>
      <c r="G17" s="390"/>
      <c r="H17" s="390"/>
      <c r="I17" s="390"/>
      <c r="J17" s="390"/>
      <c r="K17" s="390"/>
      <c r="L17" s="390"/>
      <c r="M17" s="390"/>
      <c r="N17" s="390"/>
      <c r="O17" s="391"/>
    </row>
    <row r="18" spans="2:15" x14ac:dyDescent="0.2">
      <c r="B18" s="422" t="str">
        <f>+'9. Weather Adj LF'!C20</f>
        <v>General Service &lt; 50 kW</v>
      </c>
      <c r="C18" s="88" t="s">
        <v>131</v>
      </c>
      <c r="D18" s="388">
        <f>+'9. Weather Adj LF'!E20</f>
        <v>1496</v>
      </c>
      <c r="E18" s="388">
        <f>+'9. Weather Adj LF'!F20</f>
        <v>1449</v>
      </c>
      <c r="F18" s="388">
        <f>+'9. Weather Adj LF'!G20</f>
        <v>1442</v>
      </c>
      <c r="G18" s="388">
        <f>+'9. Weather Adj LF'!H20</f>
        <v>1409</v>
      </c>
      <c r="H18" s="388">
        <f>+'9. Weather Adj LF'!I20</f>
        <v>1394</v>
      </c>
      <c r="I18" s="388">
        <f>+'9. Weather Adj LF'!J20</f>
        <v>1372</v>
      </c>
      <c r="J18" s="388">
        <f>+'9. Weather Adj LF'!K20</f>
        <v>1370</v>
      </c>
      <c r="K18" s="388">
        <f>+'9. Weather Adj LF'!L20</f>
        <v>1361.5</v>
      </c>
      <c r="L18" s="388">
        <f>+'9. Weather Adj LF'!M20</f>
        <v>1332.5</v>
      </c>
      <c r="M18" s="388">
        <f>+'9. Weather Adj LF'!N20</f>
        <v>1318</v>
      </c>
      <c r="N18" s="388">
        <f>+'9. Weather Adj LF'!O20</f>
        <v>1299.5784496245794</v>
      </c>
      <c r="O18" s="389">
        <f>+'9. Weather Adj LF'!P20</f>
        <v>1281.4143753631454</v>
      </c>
    </row>
    <row r="19" spans="2:15" x14ac:dyDescent="0.2">
      <c r="B19" s="89"/>
      <c r="C19" s="59" t="s">
        <v>36</v>
      </c>
      <c r="D19" s="388">
        <f>+'9. Weather Adj LF'!E21</f>
        <v>43814909</v>
      </c>
      <c r="E19" s="388">
        <f>+'9. Weather Adj LF'!F21</f>
        <v>39580098</v>
      </c>
      <c r="F19" s="388">
        <f>+'9. Weather Adj LF'!G21</f>
        <v>35721757</v>
      </c>
      <c r="G19" s="388">
        <f>+'9. Weather Adj LF'!H21</f>
        <v>35801702</v>
      </c>
      <c r="H19" s="388">
        <f>+'9. Weather Adj LF'!I21</f>
        <v>34198078.359999999</v>
      </c>
      <c r="I19" s="388">
        <f>+'9. Weather Adj LF'!J21</f>
        <v>33358216.629999999</v>
      </c>
      <c r="J19" s="388">
        <f>+'9. Weather Adj LF'!K21</f>
        <v>32279016.170000002</v>
      </c>
      <c r="K19" s="388">
        <f>+'9. Weather Adj LF'!L21</f>
        <v>31948521.120000001</v>
      </c>
      <c r="L19" s="388">
        <f>+'9. Weather Adj LF'!M21</f>
        <v>31708039.23</v>
      </c>
      <c r="M19" s="388">
        <f>+'9. Weather Adj LF'!N21</f>
        <v>31649726.120000001</v>
      </c>
      <c r="N19" s="388">
        <f>+'9. Weather Adj LF'!O21</f>
        <v>34953791.57291279</v>
      </c>
      <c r="O19" s="389">
        <f>+'10.1 CDM Allocation'!O22</f>
        <v>34277249.525436617</v>
      </c>
    </row>
    <row r="20" spans="2:15" x14ac:dyDescent="0.2">
      <c r="B20" s="89"/>
      <c r="C20" s="59" t="s">
        <v>37</v>
      </c>
      <c r="D20" s="390">
        <f>+'9. Weather Adj LF'!E22</f>
        <v>0</v>
      </c>
      <c r="E20" s="390">
        <f>+'9. Weather Adj LF'!F22</f>
        <v>0</v>
      </c>
      <c r="F20" s="390">
        <f>+'9. Weather Adj LF'!G22</f>
        <v>0</v>
      </c>
      <c r="G20" s="390">
        <f>+'9. Weather Adj LF'!H22</f>
        <v>0</v>
      </c>
      <c r="H20" s="390">
        <f>+'9. Weather Adj LF'!I22</f>
        <v>0</v>
      </c>
      <c r="I20" s="390">
        <f>+'9. Weather Adj LF'!J22</f>
        <v>0</v>
      </c>
      <c r="J20" s="390">
        <f>+'9. Weather Adj LF'!K22</f>
        <v>0</v>
      </c>
      <c r="K20" s="390">
        <f>+'9. Weather Adj LF'!L22</f>
        <v>0</v>
      </c>
      <c r="L20" s="390">
        <f>+'9. Weather Adj LF'!M22</f>
        <v>0</v>
      </c>
      <c r="M20" s="390">
        <f>+'9. Weather Adj LF'!N22</f>
        <v>0</v>
      </c>
      <c r="N20" s="390">
        <f>+'9. Weather Adj LF'!O22</f>
        <v>0</v>
      </c>
      <c r="O20" s="391">
        <f>+'10.1 CDM Allocation'!O40</f>
        <v>0</v>
      </c>
    </row>
    <row r="21" spans="2:15" x14ac:dyDescent="0.2">
      <c r="B21" s="89"/>
      <c r="C21" s="59"/>
      <c r="D21" s="390"/>
      <c r="E21" s="390"/>
      <c r="F21" s="390"/>
      <c r="G21" s="390"/>
      <c r="H21" s="390"/>
      <c r="I21" s="390"/>
      <c r="J21" s="390"/>
      <c r="K21" s="390"/>
      <c r="L21" s="390"/>
      <c r="M21" s="390"/>
      <c r="N21" s="390"/>
      <c r="O21" s="391"/>
    </row>
    <row r="22" spans="2:15" x14ac:dyDescent="0.2">
      <c r="B22" s="422" t="str">
        <f>+'9. Weather Adj LF'!C24</f>
        <v>Unmetered Scattered Load</v>
      </c>
      <c r="C22" s="88" t="s">
        <v>131</v>
      </c>
      <c r="D22" s="388">
        <f>+'9. Weather Adj LF'!E24</f>
        <v>17</v>
      </c>
      <c r="E22" s="388">
        <f>+'9. Weather Adj LF'!F24</f>
        <v>20</v>
      </c>
      <c r="F22" s="388">
        <f>+'9. Weather Adj LF'!G24</f>
        <v>20</v>
      </c>
      <c r="G22" s="388">
        <f>+'9. Weather Adj LF'!H24</f>
        <v>20</v>
      </c>
      <c r="H22" s="388">
        <f>+'9. Weather Adj LF'!I24</f>
        <v>20</v>
      </c>
      <c r="I22" s="388">
        <f>+'9. Weather Adj LF'!J24</f>
        <v>20</v>
      </c>
      <c r="J22" s="388">
        <f>+'9. Weather Adj LF'!K24</f>
        <v>20</v>
      </c>
      <c r="K22" s="388">
        <f>+'9. Weather Adj LF'!L24</f>
        <v>20</v>
      </c>
      <c r="L22" s="388">
        <f>+'9. Weather Adj LF'!M24</f>
        <v>20</v>
      </c>
      <c r="M22" s="388">
        <f>+'9. Weather Adj LF'!N24</f>
        <v>20</v>
      </c>
      <c r="N22" s="388">
        <f>+'9. Weather Adj LF'!O24</f>
        <v>20</v>
      </c>
      <c r="O22" s="389">
        <f>+'9. Weather Adj LF'!P24</f>
        <v>20</v>
      </c>
    </row>
    <row r="23" spans="2:15" x14ac:dyDescent="0.2">
      <c r="B23" s="89"/>
      <c r="C23" s="59" t="s">
        <v>36</v>
      </c>
      <c r="D23" s="388">
        <f>+'9. Weather Adj LF'!E25</f>
        <v>593390</v>
      </c>
      <c r="E23" s="388">
        <f>+'9. Weather Adj LF'!F25</f>
        <v>364006</v>
      </c>
      <c r="F23" s="388">
        <f>+'9. Weather Adj LF'!G25</f>
        <v>348199</v>
      </c>
      <c r="G23" s="388">
        <f>+'9. Weather Adj LF'!H25</f>
        <v>386944</v>
      </c>
      <c r="H23" s="388">
        <f>+'9. Weather Adj LF'!I25</f>
        <v>437952.27</v>
      </c>
      <c r="I23" s="388">
        <f>+'9. Weather Adj LF'!J25</f>
        <v>458526.4</v>
      </c>
      <c r="J23" s="388">
        <f>+'9. Weather Adj LF'!K25</f>
        <v>469307.04</v>
      </c>
      <c r="K23" s="388">
        <f>+'9. Weather Adj LF'!L25</f>
        <v>448159.09</v>
      </c>
      <c r="L23" s="388">
        <f>+'9. Weather Adj LF'!M25</f>
        <v>453470.7</v>
      </c>
      <c r="M23" s="388">
        <f>+'9. Weather Adj LF'!N25</f>
        <v>454406.25</v>
      </c>
      <c r="N23" s="388">
        <f>+'9. Weather Adj LF'!O25</f>
        <v>453067.96191469493</v>
      </c>
      <c r="O23" s="389">
        <f>+'10.1 CDM Allocation'!O24</f>
        <v>444298.68359591131</v>
      </c>
    </row>
    <row r="24" spans="2:15" x14ac:dyDescent="0.2">
      <c r="B24" s="89"/>
      <c r="C24" s="59" t="s">
        <v>37</v>
      </c>
      <c r="D24" s="390">
        <f>+'9. Weather Adj LF'!E26</f>
        <v>0</v>
      </c>
      <c r="E24" s="390">
        <f>+'9. Weather Adj LF'!F26</f>
        <v>0</v>
      </c>
      <c r="F24" s="390">
        <f>+'9. Weather Adj LF'!G26</f>
        <v>0</v>
      </c>
      <c r="G24" s="390">
        <f>+'9. Weather Adj LF'!H26</f>
        <v>0</v>
      </c>
      <c r="H24" s="390">
        <f>+'9. Weather Adj LF'!I26</f>
        <v>0</v>
      </c>
      <c r="I24" s="390">
        <f>+'9. Weather Adj LF'!J26</f>
        <v>0</v>
      </c>
      <c r="J24" s="390">
        <f>+'9. Weather Adj LF'!K26</f>
        <v>0</v>
      </c>
      <c r="K24" s="390">
        <f>+'9. Weather Adj LF'!L26</f>
        <v>0</v>
      </c>
      <c r="L24" s="390">
        <f>+'9. Weather Adj LF'!M26</f>
        <v>0</v>
      </c>
      <c r="M24" s="390">
        <f>+'9. Weather Adj LF'!N26</f>
        <v>0</v>
      </c>
      <c r="N24" s="390">
        <f>+'9. Weather Adj LF'!O26</f>
        <v>0</v>
      </c>
      <c r="O24" s="391">
        <f>+'10.1 CDM Allocation'!O42</f>
        <v>0</v>
      </c>
    </row>
    <row r="25" spans="2:15" x14ac:dyDescent="0.2">
      <c r="B25" s="89"/>
      <c r="C25" s="59"/>
      <c r="D25" s="390"/>
      <c r="E25" s="390"/>
      <c r="F25" s="390"/>
      <c r="G25" s="390"/>
      <c r="H25" s="390"/>
      <c r="I25" s="390"/>
      <c r="J25" s="390"/>
      <c r="K25" s="390"/>
      <c r="L25" s="390"/>
      <c r="M25" s="390"/>
      <c r="N25" s="390"/>
      <c r="O25" s="391"/>
    </row>
    <row r="26" spans="2:15" x14ac:dyDescent="0.2">
      <c r="B26" s="422" t="str">
        <f>+'9. Weather Adj LF'!C28</f>
        <v>General Service &gt; 50 kW - 4999 kW</v>
      </c>
      <c r="C26" s="88" t="s">
        <v>131</v>
      </c>
      <c r="D26" s="388">
        <f>+'9. Weather Adj LF'!E28</f>
        <v>134</v>
      </c>
      <c r="E26" s="388">
        <f>+'9. Weather Adj LF'!F28</f>
        <v>136</v>
      </c>
      <c r="F26" s="388">
        <f>+'9. Weather Adj LF'!G28</f>
        <v>136</v>
      </c>
      <c r="G26" s="388">
        <f>+'9. Weather Adj LF'!H28</f>
        <v>143</v>
      </c>
      <c r="H26" s="388">
        <f>+'9. Weather Adj LF'!I28</f>
        <v>144</v>
      </c>
      <c r="I26" s="388">
        <f>+'9. Weather Adj LF'!J28</f>
        <v>148</v>
      </c>
      <c r="J26" s="388">
        <f>+'9. Weather Adj LF'!K28</f>
        <v>145</v>
      </c>
      <c r="K26" s="388">
        <f>+'9. Weather Adj LF'!L28</f>
        <v>145</v>
      </c>
      <c r="L26" s="388">
        <f>+'9. Weather Adj LF'!M28</f>
        <v>145.5</v>
      </c>
      <c r="M26" s="388">
        <f>+'9. Weather Adj LF'!N28</f>
        <v>146.5</v>
      </c>
      <c r="N26" s="388">
        <f>+'9. Weather Adj LF'!O28</f>
        <v>146</v>
      </c>
      <c r="O26" s="389">
        <f>+'9. Weather Adj LF'!P28</f>
        <v>148</v>
      </c>
    </row>
    <row r="27" spans="2:15" x14ac:dyDescent="0.2">
      <c r="B27" s="89"/>
      <c r="C27" s="59" t="s">
        <v>36</v>
      </c>
      <c r="D27" s="388">
        <f>+'9. Weather Adj LF'!E29</f>
        <v>74429057</v>
      </c>
      <c r="E27" s="388">
        <f>+'9. Weather Adj LF'!F29</f>
        <v>75435895</v>
      </c>
      <c r="F27" s="388">
        <f>+'9. Weather Adj LF'!G29</f>
        <v>78527667</v>
      </c>
      <c r="G27" s="388">
        <f>+'9. Weather Adj LF'!H29</f>
        <v>78693630</v>
      </c>
      <c r="H27" s="388">
        <f>+'9. Weather Adj LF'!I29</f>
        <v>78622635.780000001</v>
      </c>
      <c r="I27" s="388">
        <f>+'9. Weather Adj LF'!J29</f>
        <v>76510234.719999999</v>
      </c>
      <c r="J27" s="388">
        <f>+'9. Weather Adj LF'!K29</f>
        <v>74853997.430000007</v>
      </c>
      <c r="K27" s="388">
        <f>+'9. Weather Adj LF'!L29</f>
        <v>74516293.329999998</v>
      </c>
      <c r="L27" s="388">
        <f>+'9. Weather Adj LF'!M29</f>
        <v>73596923.409999996</v>
      </c>
      <c r="M27" s="388">
        <f>+'9. Weather Adj LF'!N29</f>
        <v>72512848.979999989</v>
      </c>
      <c r="N27" s="388">
        <f>+'9. Weather Adj LF'!O29</f>
        <v>72299288.797186792</v>
      </c>
      <c r="O27" s="389">
        <f>+'10.1 CDM Allocation'!O26</f>
        <v>70899912.458517283</v>
      </c>
    </row>
    <row r="28" spans="2:15" x14ac:dyDescent="0.2">
      <c r="B28" s="89"/>
      <c r="C28" s="59" t="s">
        <v>37</v>
      </c>
      <c r="D28" s="390">
        <f>+'9. Weather Adj LF'!E30</f>
        <v>212943</v>
      </c>
      <c r="E28" s="390">
        <f>+'9. Weather Adj LF'!F30</f>
        <v>207000</v>
      </c>
      <c r="F28" s="390">
        <f>+'9. Weather Adj LF'!G30</f>
        <v>213039</v>
      </c>
      <c r="G28" s="390">
        <f>+'9. Weather Adj LF'!H30</f>
        <v>202855</v>
      </c>
      <c r="H28" s="390">
        <f>+'9. Weather Adj LF'!I30</f>
        <v>209853</v>
      </c>
      <c r="I28" s="390">
        <f>+'9. Weather Adj LF'!J30</f>
        <v>202775</v>
      </c>
      <c r="J28" s="390">
        <f>+'9. Weather Adj LF'!K30</f>
        <v>203575</v>
      </c>
      <c r="K28" s="390">
        <f>+'9. Weather Adj LF'!L30</f>
        <v>207916</v>
      </c>
      <c r="L28" s="390">
        <f>+'9. Weather Adj LF'!M30</f>
        <v>216501</v>
      </c>
      <c r="M28" s="390">
        <f>+'9. Weather Adj LF'!N30</f>
        <v>206399</v>
      </c>
      <c r="N28" s="390">
        <f>+'9. Weather Adj LF'!O30</f>
        <v>198917.84757842109</v>
      </c>
      <c r="O28" s="391">
        <f>+'10.1 CDM Allocation'!O44</f>
        <v>195067.72769658981</v>
      </c>
    </row>
    <row r="29" spans="2:15" x14ac:dyDescent="0.2">
      <c r="B29" s="89"/>
      <c r="C29" s="59"/>
      <c r="D29" s="390"/>
      <c r="E29" s="390"/>
      <c r="F29" s="390"/>
      <c r="G29" s="390"/>
      <c r="H29" s="390"/>
      <c r="I29" s="390"/>
      <c r="J29" s="390"/>
      <c r="K29" s="390"/>
      <c r="L29" s="390"/>
      <c r="M29" s="390"/>
      <c r="N29" s="390"/>
      <c r="O29" s="391"/>
    </row>
    <row r="30" spans="2:15" x14ac:dyDescent="0.2">
      <c r="B30" s="422" t="str">
        <f>+'9. Weather Adj LF'!C32</f>
        <v>Streetlighting</v>
      </c>
      <c r="C30" s="88" t="s">
        <v>131</v>
      </c>
      <c r="D30" s="388">
        <f>+'9. Weather Adj LF'!E32</f>
        <v>2604</v>
      </c>
      <c r="E30" s="388">
        <f>+'9. Weather Adj LF'!F32</f>
        <v>2635</v>
      </c>
      <c r="F30" s="388">
        <f>+'9. Weather Adj LF'!G32</f>
        <v>2648</v>
      </c>
      <c r="G30" s="388">
        <f>+'9. Weather Adj LF'!H32</f>
        <v>2653</v>
      </c>
      <c r="H30" s="388">
        <f>+'9. Weather Adj LF'!I32</f>
        <v>2701</v>
      </c>
      <c r="I30" s="388">
        <f>+'9. Weather Adj LF'!J32</f>
        <v>2713</v>
      </c>
      <c r="J30" s="388">
        <f>+'9. Weather Adj LF'!K32</f>
        <v>2769</v>
      </c>
      <c r="K30" s="388">
        <f>+'9. Weather Adj LF'!L32</f>
        <v>2774.5</v>
      </c>
      <c r="L30" s="388">
        <f>+'9. Weather Adj LF'!M32</f>
        <v>2787</v>
      </c>
      <c r="M30" s="388">
        <f>+'9. Weather Adj LF'!N32</f>
        <v>2802.5</v>
      </c>
      <c r="N30" s="388">
        <f>+'9. Weather Adj LF'!O32</f>
        <v>2825.4692256082153</v>
      </c>
      <c r="O30" s="389">
        <f>+'9. Weather Adj LF'!P32</f>
        <v>2848.6267064617618</v>
      </c>
    </row>
    <row r="31" spans="2:15" x14ac:dyDescent="0.2">
      <c r="B31" s="89"/>
      <c r="C31" s="59" t="s">
        <v>36</v>
      </c>
      <c r="D31" s="388">
        <f>+'9. Weather Adj LF'!E33</f>
        <v>2426613</v>
      </c>
      <c r="E31" s="388">
        <f>+'9. Weather Adj LF'!F33</f>
        <v>2517491</v>
      </c>
      <c r="F31" s="388">
        <f>+'9. Weather Adj LF'!G33</f>
        <v>2426477</v>
      </c>
      <c r="G31" s="388">
        <f>+'9. Weather Adj LF'!H33</f>
        <v>2370504</v>
      </c>
      <c r="H31" s="388">
        <f>+'9. Weather Adj LF'!I33</f>
        <v>2414486.62</v>
      </c>
      <c r="I31" s="388">
        <f>+'9. Weather Adj LF'!J33</f>
        <v>2383707.0499999998</v>
      </c>
      <c r="J31" s="388">
        <f>+'9. Weather Adj LF'!K33</f>
        <v>2458955</v>
      </c>
      <c r="K31" s="388">
        <f>+'9. Weather Adj LF'!L33</f>
        <v>2432689.94</v>
      </c>
      <c r="L31" s="388">
        <f>+'9. Weather Adj LF'!M33</f>
        <v>2424248.81</v>
      </c>
      <c r="M31" s="388">
        <f>+'9. Weather Adj LF'!N33</f>
        <v>2439791.5699999998</v>
      </c>
      <c r="N31" s="388">
        <f>+'9. Weather Adj LF'!O33</f>
        <v>2432606.0526600452</v>
      </c>
      <c r="O31" s="389">
        <f>+'10.1 CDM Allocation'!O28</f>
        <v>1249433.2366620938</v>
      </c>
    </row>
    <row r="32" spans="2:15" x14ac:dyDescent="0.2">
      <c r="B32" s="89"/>
      <c r="C32" s="59" t="s">
        <v>37</v>
      </c>
      <c r="D32" s="390">
        <f>+'9. Weather Adj LF'!E34</f>
        <v>6774</v>
      </c>
      <c r="E32" s="390">
        <f>+'9. Weather Adj LF'!F34</f>
        <v>6784</v>
      </c>
      <c r="F32" s="390">
        <f>+'9. Weather Adj LF'!G34</f>
        <v>6778</v>
      </c>
      <c r="G32" s="390">
        <f>+'9. Weather Adj LF'!H34</f>
        <v>6728</v>
      </c>
      <c r="H32" s="390">
        <f>+'9. Weather Adj LF'!I34</f>
        <v>6652</v>
      </c>
      <c r="I32" s="390">
        <f>+'9. Weather Adj LF'!J34</f>
        <v>6766</v>
      </c>
      <c r="J32" s="390">
        <f>+'9. Weather Adj LF'!K34</f>
        <v>6840</v>
      </c>
      <c r="K32" s="390">
        <f>+'9. Weather Adj LF'!L34</f>
        <v>6768.3999999999987</v>
      </c>
      <c r="L32" s="390">
        <f>+'9. Weather Adj LF'!M34</f>
        <v>6765.9000000000005</v>
      </c>
      <c r="M32" s="390">
        <f>+'9. Weather Adj LF'!N34</f>
        <v>6769.9599999999991</v>
      </c>
      <c r="N32" s="390">
        <f>+'9. Weather Adj LF'!O34</f>
        <v>6772.6200970626942</v>
      </c>
      <c r="O32" s="391">
        <f>+'10.1 CDM Allocation'!O46</f>
        <v>3478.5478887149402</v>
      </c>
    </row>
    <row r="33" spans="2:15" x14ac:dyDescent="0.2">
      <c r="B33" s="89"/>
      <c r="C33" s="59"/>
      <c r="D33" s="390"/>
      <c r="E33" s="390"/>
      <c r="F33" s="390"/>
      <c r="G33" s="390"/>
      <c r="H33" s="390"/>
      <c r="I33" s="390"/>
      <c r="J33" s="390"/>
      <c r="K33" s="390"/>
      <c r="L33" s="390"/>
      <c r="M33" s="390"/>
      <c r="N33" s="390"/>
      <c r="O33" s="391"/>
    </row>
    <row r="34" spans="2:15" x14ac:dyDescent="0.2">
      <c r="B34" s="422" t="str">
        <f>+'9. Weather Adj LF'!C36</f>
        <v>Sentinel Lighting</v>
      </c>
      <c r="C34" s="88" t="s">
        <v>131</v>
      </c>
      <c r="D34" s="390">
        <f>+'9. Weather Adj LF'!E36</f>
        <v>250</v>
      </c>
      <c r="E34" s="390">
        <f>+'9. Weather Adj LF'!F36</f>
        <v>225</v>
      </c>
      <c r="F34" s="390">
        <f>+'9. Weather Adj LF'!G36</f>
        <v>225</v>
      </c>
      <c r="G34" s="390">
        <f>+'9. Weather Adj LF'!H36</f>
        <v>226</v>
      </c>
      <c r="H34" s="390">
        <f>+'9. Weather Adj LF'!I36</f>
        <v>226</v>
      </c>
      <c r="I34" s="390">
        <f>+'9. Weather Adj LF'!J36</f>
        <v>216</v>
      </c>
      <c r="J34" s="390">
        <f>+'9. Weather Adj LF'!K36</f>
        <v>209</v>
      </c>
      <c r="K34" s="390">
        <f>+'9. Weather Adj LF'!L36</f>
        <v>208.5</v>
      </c>
      <c r="L34" s="390">
        <f>+'9. Weather Adj LF'!M36</f>
        <v>206.5</v>
      </c>
      <c r="M34" s="390">
        <f>+'9. Weather Adj LF'!N36</f>
        <v>204</v>
      </c>
      <c r="N34" s="390">
        <f>+'9. Weather Adj LF'!O36</f>
        <v>199.44261639611278</v>
      </c>
      <c r="O34" s="391">
        <f>+'9. Weather Adj LF'!P36</f>
        <v>194.98704526924996</v>
      </c>
    </row>
    <row r="35" spans="2:15" x14ac:dyDescent="0.2">
      <c r="B35" s="197"/>
      <c r="C35" s="59" t="s">
        <v>36</v>
      </c>
      <c r="D35" s="388">
        <f>+'9. Weather Adj LF'!E37</f>
        <v>284178</v>
      </c>
      <c r="E35" s="388">
        <f>+'9. Weather Adj LF'!F37</f>
        <v>267504</v>
      </c>
      <c r="F35" s="388">
        <f>+'9. Weather Adj LF'!G37</f>
        <v>266011</v>
      </c>
      <c r="G35" s="388">
        <f>+'9. Weather Adj LF'!H37</f>
        <v>262124</v>
      </c>
      <c r="H35" s="388">
        <f>+'9. Weather Adj LF'!I37</f>
        <v>265370.21000000002</v>
      </c>
      <c r="I35" s="388">
        <f>+'9. Weather Adj LF'!J37</f>
        <v>233685.69</v>
      </c>
      <c r="J35" s="388">
        <f>+'9. Weather Adj LF'!K37</f>
        <v>270899.02</v>
      </c>
      <c r="K35" s="388">
        <f>+'9. Weather Adj LF'!L37</f>
        <v>243747.31</v>
      </c>
      <c r="L35" s="388">
        <f>+'9. Weather Adj LF'!M37</f>
        <v>270899.02</v>
      </c>
      <c r="M35" s="388">
        <f>+'9. Weather Adj LF'!N37</f>
        <v>245570.47</v>
      </c>
      <c r="N35" s="388">
        <f>+'9. Weather Adj LF'!O37</f>
        <v>244847.23163322191</v>
      </c>
      <c r="O35" s="389">
        <f>+'10.1 CDM Allocation'!O30</f>
        <v>240108.13352815731</v>
      </c>
    </row>
    <row r="36" spans="2:15" x14ac:dyDescent="0.2">
      <c r="B36" s="197"/>
      <c r="C36" s="59" t="s">
        <v>37</v>
      </c>
      <c r="D36" s="392">
        <f>+'9. Weather Adj LF'!E38</f>
        <v>783</v>
      </c>
      <c r="E36" s="392">
        <f>+'9. Weather Adj LF'!F38</f>
        <v>767</v>
      </c>
      <c r="F36" s="392">
        <f>+'9. Weather Adj LF'!G38</f>
        <v>766</v>
      </c>
      <c r="G36" s="392">
        <f>+'9. Weather Adj LF'!H38</f>
        <v>751</v>
      </c>
      <c r="H36" s="392">
        <f>+'9. Weather Adj LF'!I38</f>
        <v>756</v>
      </c>
      <c r="I36" s="392">
        <f>+'9. Weather Adj LF'!J38</f>
        <v>766</v>
      </c>
      <c r="J36" s="392">
        <f>+'9. Weather Adj LF'!K38</f>
        <v>734</v>
      </c>
      <c r="K36" s="392">
        <f>+'9. Weather Adj LF'!L38</f>
        <v>713</v>
      </c>
      <c r="L36" s="392">
        <f>+'9. Weather Adj LF'!M38</f>
        <v>700</v>
      </c>
      <c r="M36" s="392">
        <f>+'9. Weather Adj LF'!N38</f>
        <v>683.5</v>
      </c>
      <c r="N36" s="392">
        <f>+'9. Weather Adj LF'!O38</f>
        <v>697.71463936548889</v>
      </c>
      <c r="O36" s="489">
        <f>+'10.1 CDM Allocation'!O48</f>
        <v>684.21014473331786</v>
      </c>
    </row>
    <row r="37" spans="2:15" x14ac:dyDescent="0.2">
      <c r="B37" s="197"/>
      <c r="C37" s="59"/>
      <c r="D37" s="393"/>
      <c r="E37" s="393"/>
      <c r="F37" s="393"/>
      <c r="G37" s="393"/>
      <c r="H37" s="393"/>
      <c r="I37" s="393"/>
      <c r="J37" s="393"/>
      <c r="K37" s="393"/>
      <c r="L37" s="393"/>
      <c r="M37" s="393"/>
      <c r="N37" s="393"/>
      <c r="O37" s="431"/>
    </row>
    <row r="38" spans="2:15" x14ac:dyDescent="0.2">
      <c r="B38" s="488"/>
      <c r="C38" s="59" t="s">
        <v>131</v>
      </c>
      <c r="D38" s="393">
        <f>+'9. Weather Adj LF'!E40</f>
        <v>0</v>
      </c>
      <c r="E38" s="393">
        <f>+'9. Weather Adj LF'!F40</f>
        <v>0</v>
      </c>
      <c r="F38" s="393">
        <f>+'9. Weather Adj LF'!G40</f>
        <v>0</v>
      </c>
      <c r="G38" s="393">
        <f>+'9. Weather Adj LF'!H40</f>
        <v>0</v>
      </c>
      <c r="H38" s="393">
        <f>+'9. Weather Adj LF'!I40</f>
        <v>0</v>
      </c>
      <c r="I38" s="393">
        <f>+'9. Weather Adj LF'!J40</f>
        <v>0</v>
      </c>
      <c r="J38" s="393">
        <f>+'9. Weather Adj LF'!K40</f>
        <v>0</v>
      </c>
      <c r="K38" s="393">
        <f>+'9. Weather Adj LF'!L40</f>
        <v>0</v>
      </c>
      <c r="L38" s="393">
        <f>+'9. Weather Adj LF'!M40</f>
        <v>0</v>
      </c>
      <c r="M38" s="393">
        <f>+'9. Weather Adj LF'!N40</f>
        <v>0</v>
      </c>
      <c r="N38" s="393">
        <f>+'9. Weather Adj LF'!O40</f>
        <v>0</v>
      </c>
      <c r="O38" s="431">
        <f>+'9. Weather Adj LF'!P40</f>
        <v>0</v>
      </c>
    </row>
    <row r="39" spans="2:15" x14ac:dyDescent="0.2">
      <c r="B39" s="197"/>
      <c r="C39" s="59" t="s">
        <v>36</v>
      </c>
      <c r="D39" s="393">
        <f>+'9. Weather Adj LF'!E41</f>
        <v>0</v>
      </c>
      <c r="E39" s="393">
        <f>+'9. Weather Adj LF'!F41</f>
        <v>0</v>
      </c>
      <c r="F39" s="393">
        <f>+'9. Weather Adj LF'!G41</f>
        <v>0</v>
      </c>
      <c r="G39" s="393">
        <f>+'9. Weather Adj LF'!H41</f>
        <v>0</v>
      </c>
      <c r="H39" s="393">
        <f>+'9. Weather Adj LF'!I41</f>
        <v>0</v>
      </c>
      <c r="I39" s="393">
        <f>+'9. Weather Adj LF'!J41</f>
        <v>0</v>
      </c>
      <c r="J39" s="393">
        <f>+'9. Weather Adj LF'!K41</f>
        <v>0</v>
      </c>
      <c r="K39" s="393">
        <f>+'9. Weather Adj LF'!L41</f>
        <v>0</v>
      </c>
      <c r="L39" s="393">
        <f>+'9. Weather Adj LF'!M41</f>
        <v>0</v>
      </c>
      <c r="M39" s="393">
        <f>+'9. Weather Adj LF'!N41</f>
        <v>0</v>
      </c>
      <c r="N39" s="393">
        <f>+'9. Weather Adj LF'!O41</f>
        <v>0</v>
      </c>
      <c r="O39" s="431">
        <f>+'10.1 CDM Allocation'!O32</f>
        <v>0</v>
      </c>
    </row>
    <row r="40" spans="2:15" x14ac:dyDescent="0.2">
      <c r="B40" s="197"/>
      <c r="C40" s="59" t="s">
        <v>37</v>
      </c>
      <c r="D40" s="393">
        <f>+'9. Weather Adj LF'!E42</f>
        <v>0</v>
      </c>
      <c r="E40" s="393">
        <f>+'9. Weather Adj LF'!F42</f>
        <v>0</v>
      </c>
      <c r="F40" s="393">
        <f>+'9. Weather Adj LF'!G42</f>
        <v>0</v>
      </c>
      <c r="G40" s="393">
        <f>+'9. Weather Adj LF'!H42</f>
        <v>0</v>
      </c>
      <c r="H40" s="393">
        <f>+'9. Weather Adj LF'!I42</f>
        <v>0</v>
      </c>
      <c r="I40" s="393">
        <f>+'9. Weather Adj LF'!J42</f>
        <v>0</v>
      </c>
      <c r="J40" s="393">
        <f>+'9. Weather Adj LF'!K42</f>
        <v>0</v>
      </c>
      <c r="K40" s="393">
        <f>+'9. Weather Adj LF'!L42</f>
        <v>0</v>
      </c>
      <c r="L40" s="393">
        <f>+'9. Weather Adj LF'!M42</f>
        <v>0</v>
      </c>
      <c r="M40" s="393">
        <f>+'9. Weather Adj LF'!N42</f>
        <v>0</v>
      </c>
      <c r="N40" s="393">
        <f>+'9. Weather Adj LF'!O42</f>
        <v>0</v>
      </c>
      <c r="O40" s="431">
        <f>+'10.1 CDM Allocation'!O50</f>
        <v>0</v>
      </c>
    </row>
    <row r="41" spans="2:15" ht="13.5" thickBot="1" x14ac:dyDescent="0.25">
      <c r="B41" s="90"/>
      <c r="C41" s="91"/>
      <c r="D41" s="296"/>
      <c r="E41" s="296"/>
      <c r="F41" s="296"/>
      <c r="G41" s="296"/>
      <c r="H41" s="296"/>
      <c r="I41" s="296"/>
      <c r="J41" s="296"/>
      <c r="K41" s="296"/>
      <c r="L41" s="296"/>
      <c r="M41" s="296"/>
      <c r="N41" s="487"/>
      <c r="O41" s="436"/>
    </row>
    <row r="42" spans="2:15" hidden="1" x14ac:dyDescent="0.2">
      <c r="B42" s="484">
        <f>'2. Customer Classes'!B21</f>
        <v>0</v>
      </c>
      <c r="C42" s="485"/>
      <c r="D42" s="392"/>
      <c r="E42" s="392"/>
      <c r="F42" s="392"/>
      <c r="G42" s="392"/>
      <c r="H42" s="392"/>
      <c r="I42" s="392"/>
      <c r="J42" s="392"/>
      <c r="K42" s="392"/>
      <c r="L42" s="392"/>
      <c r="M42" s="392"/>
      <c r="N42" s="486"/>
      <c r="O42" s="489"/>
    </row>
    <row r="43" spans="2:15" hidden="1" x14ac:dyDescent="0.2">
      <c r="B43" s="197"/>
      <c r="C43" s="198"/>
      <c r="D43" s="393"/>
      <c r="E43" s="393"/>
      <c r="F43" s="393"/>
      <c r="G43" s="393"/>
      <c r="H43" s="393"/>
      <c r="I43" s="393"/>
      <c r="J43" s="393"/>
      <c r="K43" s="393"/>
      <c r="L43" s="393"/>
      <c r="M43" s="393"/>
      <c r="N43" s="394"/>
      <c r="O43" s="431"/>
    </row>
    <row r="44" spans="2:15" hidden="1" x14ac:dyDescent="0.2">
      <c r="B44" s="197"/>
      <c r="C44" s="198"/>
      <c r="D44" s="393"/>
      <c r="E44" s="393"/>
      <c r="F44" s="393"/>
      <c r="G44" s="393"/>
      <c r="H44" s="393"/>
      <c r="I44" s="393"/>
      <c r="J44" s="393"/>
      <c r="K44" s="393"/>
      <c r="L44" s="393"/>
      <c r="M44" s="393"/>
      <c r="N44" s="394"/>
      <c r="O44" s="431"/>
    </row>
    <row r="45" spans="2:15" hidden="1" x14ac:dyDescent="0.2">
      <c r="B45" s="197"/>
      <c r="C45" s="198"/>
      <c r="D45" s="393"/>
      <c r="E45" s="393"/>
      <c r="F45" s="393"/>
      <c r="G45" s="393"/>
      <c r="H45" s="393"/>
      <c r="I45" s="393"/>
      <c r="J45" s="393"/>
      <c r="K45" s="393"/>
      <c r="L45" s="393"/>
      <c r="M45" s="393"/>
      <c r="N45" s="394"/>
      <c r="O45" s="431"/>
    </row>
    <row r="46" spans="2:15" hidden="1" x14ac:dyDescent="0.2">
      <c r="B46" s="199" t="str">
        <f>'2. Customer Classes'!B22</f>
        <v>other</v>
      </c>
      <c r="C46" s="198"/>
      <c r="D46" s="393"/>
      <c r="E46" s="393"/>
      <c r="F46" s="393"/>
      <c r="G46" s="393"/>
      <c r="H46" s="393"/>
      <c r="I46" s="393"/>
      <c r="J46" s="393"/>
      <c r="K46" s="393"/>
      <c r="L46" s="393"/>
      <c r="M46" s="393"/>
      <c r="N46" s="394"/>
      <c r="O46" s="431"/>
    </row>
    <row r="47" spans="2:15" hidden="1" x14ac:dyDescent="0.2">
      <c r="B47" s="197"/>
      <c r="C47" s="198"/>
      <c r="D47" s="393"/>
      <c r="E47" s="393"/>
      <c r="F47" s="393"/>
      <c r="G47" s="393"/>
      <c r="H47" s="393"/>
      <c r="I47" s="393"/>
      <c r="J47" s="393"/>
      <c r="K47" s="393"/>
      <c r="L47" s="393"/>
      <c r="M47" s="393"/>
      <c r="N47" s="394"/>
      <c r="O47" s="431"/>
    </row>
    <row r="48" spans="2:15" hidden="1" x14ac:dyDescent="0.2">
      <c r="B48" s="197"/>
      <c r="C48" s="198"/>
      <c r="D48" s="393"/>
      <c r="E48" s="393"/>
      <c r="F48" s="393"/>
      <c r="G48" s="393"/>
      <c r="H48" s="393"/>
      <c r="I48" s="393"/>
      <c r="J48" s="393"/>
      <c r="K48" s="393"/>
      <c r="L48" s="393"/>
      <c r="M48" s="393"/>
      <c r="N48" s="394"/>
      <c r="O48" s="431"/>
    </row>
    <row r="49" spans="2:15" hidden="1" x14ac:dyDescent="0.2">
      <c r="B49" s="197"/>
      <c r="C49" s="198"/>
      <c r="D49" s="393"/>
      <c r="E49" s="393"/>
      <c r="F49" s="393"/>
      <c r="G49" s="393"/>
      <c r="H49" s="393"/>
      <c r="I49" s="393"/>
      <c r="J49" s="393"/>
      <c r="K49" s="393"/>
      <c r="L49" s="393"/>
      <c r="M49" s="393"/>
      <c r="N49" s="394"/>
      <c r="O49" s="431"/>
    </row>
    <row r="50" spans="2:15" hidden="1" x14ac:dyDescent="0.2">
      <c r="B50" s="199" t="str">
        <f>'2. Customer Classes'!B23</f>
        <v>other</v>
      </c>
      <c r="C50" s="198"/>
      <c r="D50" s="393"/>
      <c r="E50" s="393"/>
      <c r="F50" s="393"/>
      <c r="G50" s="393"/>
      <c r="H50" s="393"/>
      <c r="I50" s="393"/>
      <c r="J50" s="393"/>
      <c r="K50" s="393"/>
      <c r="L50" s="393"/>
      <c r="M50" s="393"/>
      <c r="N50" s="394"/>
      <c r="O50" s="431"/>
    </row>
    <row r="51" spans="2:15" hidden="1" x14ac:dyDescent="0.2">
      <c r="B51" s="199"/>
      <c r="C51" s="198"/>
      <c r="D51" s="393"/>
      <c r="E51" s="393"/>
      <c r="F51" s="393"/>
      <c r="G51" s="393"/>
      <c r="H51" s="393"/>
      <c r="I51" s="393"/>
      <c r="J51" s="393"/>
      <c r="K51" s="393"/>
      <c r="L51" s="393"/>
      <c r="M51" s="393"/>
      <c r="N51" s="394"/>
      <c r="O51" s="431"/>
    </row>
    <row r="52" spans="2:15" hidden="1" x14ac:dyDescent="0.2">
      <c r="B52" s="199"/>
      <c r="C52" s="198"/>
      <c r="D52" s="393"/>
      <c r="E52" s="393"/>
      <c r="F52" s="393"/>
      <c r="G52" s="393"/>
      <c r="H52" s="393"/>
      <c r="I52" s="393"/>
      <c r="J52" s="393"/>
      <c r="K52" s="393"/>
      <c r="L52" s="393"/>
      <c r="M52" s="393"/>
      <c r="N52" s="394"/>
      <c r="O52" s="431"/>
    </row>
    <row r="53" spans="2:15" hidden="1" x14ac:dyDescent="0.2">
      <c r="B53" s="199"/>
      <c r="C53" s="198"/>
      <c r="D53" s="393"/>
      <c r="E53" s="393"/>
      <c r="F53" s="393"/>
      <c r="G53" s="393"/>
      <c r="H53" s="393"/>
      <c r="I53" s="393"/>
      <c r="J53" s="393"/>
      <c r="K53" s="393"/>
      <c r="L53" s="393"/>
      <c r="M53" s="393"/>
      <c r="N53" s="394"/>
      <c r="O53" s="431"/>
    </row>
    <row r="54" spans="2:15" x14ac:dyDescent="0.2">
      <c r="B54" s="214" t="s">
        <v>16</v>
      </c>
      <c r="C54" s="215" t="s">
        <v>131</v>
      </c>
      <c r="D54" s="395">
        <f>D14+D18+D22+D26+D30+D34+D38+D42+D46+D50</f>
        <v>13126</v>
      </c>
      <c r="E54" s="395">
        <f t="shared" ref="E54:O56" si="0">E14+E18+E22+E26+E30+E34+E38+E42+E46+E50</f>
        <v>13161</v>
      </c>
      <c r="F54" s="395">
        <f t="shared" si="0"/>
        <v>13280</v>
      </c>
      <c r="G54" s="395">
        <f t="shared" si="0"/>
        <v>13260</v>
      </c>
      <c r="H54" s="395">
        <f t="shared" si="0"/>
        <v>13426</v>
      </c>
      <c r="I54" s="395">
        <f t="shared" si="0"/>
        <v>13424</v>
      </c>
      <c r="J54" s="395">
        <f t="shared" si="0"/>
        <v>13543</v>
      </c>
      <c r="K54" s="395">
        <f t="shared" si="0"/>
        <v>13596</v>
      </c>
      <c r="L54" s="395">
        <f t="shared" si="0"/>
        <v>13686.5</v>
      </c>
      <c r="M54" s="395">
        <f t="shared" si="0"/>
        <v>13796</v>
      </c>
      <c r="N54" s="395">
        <f t="shared" si="0"/>
        <v>13874.280651098334</v>
      </c>
      <c r="O54" s="396">
        <f t="shared" si="0"/>
        <v>13956.276005704729</v>
      </c>
    </row>
    <row r="55" spans="2:15" x14ac:dyDescent="0.2">
      <c r="B55" s="214"/>
      <c r="C55" s="215" t="s">
        <v>36</v>
      </c>
      <c r="D55" s="395">
        <f>D15+D19+D23+D27+D31+D35+D39+D43+D47+D51</f>
        <v>198415548</v>
      </c>
      <c r="E55" s="395">
        <f t="shared" si="0"/>
        <v>198466779</v>
      </c>
      <c r="F55" s="395">
        <f t="shared" si="0"/>
        <v>196184705</v>
      </c>
      <c r="G55" s="395">
        <f t="shared" si="0"/>
        <v>196409498</v>
      </c>
      <c r="H55" s="395">
        <f t="shared" si="0"/>
        <v>191997484.59</v>
      </c>
      <c r="I55" s="395">
        <f t="shared" si="0"/>
        <v>188245382.64000002</v>
      </c>
      <c r="J55" s="395">
        <f t="shared" si="0"/>
        <v>189602694.52000001</v>
      </c>
      <c r="K55" s="395">
        <f t="shared" si="0"/>
        <v>188143154.71000001</v>
      </c>
      <c r="L55" s="395">
        <f t="shared" si="0"/>
        <v>188591795.03</v>
      </c>
      <c r="M55" s="395">
        <f t="shared" si="0"/>
        <v>186786341.61999997</v>
      </c>
      <c r="N55" s="395">
        <f t="shared" si="0"/>
        <v>188822394.80606616</v>
      </c>
      <c r="O55" s="396">
        <f t="shared" si="0"/>
        <v>184031586.77690861</v>
      </c>
    </row>
    <row r="56" spans="2:15" ht="13.5" thickBot="1" x14ac:dyDescent="0.25">
      <c r="B56" s="216"/>
      <c r="C56" s="217" t="s">
        <v>37</v>
      </c>
      <c r="D56" s="397">
        <f>D16+D20+D24+D28+D32+D36+D40+D44+D48+D52</f>
        <v>220500</v>
      </c>
      <c r="E56" s="397">
        <f t="shared" si="0"/>
        <v>214551</v>
      </c>
      <c r="F56" s="397">
        <f t="shared" si="0"/>
        <v>220583</v>
      </c>
      <c r="G56" s="397">
        <f t="shared" si="0"/>
        <v>210334</v>
      </c>
      <c r="H56" s="397">
        <f t="shared" si="0"/>
        <v>217261</v>
      </c>
      <c r="I56" s="397">
        <f t="shared" si="0"/>
        <v>210307</v>
      </c>
      <c r="J56" s="397">
        <f t="shared" si="0"/>
        <v>211149</v>
      </c>
      <c r="K56" s="397">
        <f t="shared" si="0"/>
        <v>215397.4</v>
      </c>
      <c r="L56" s="397">
        <f t="shared" si="0"/>
        <v>223966.9</v>
      </c>
      <c r="M56" s="397">
        <f t="shared" si="0"/>
        <v>213852.46</v>
      </c>
      <c r="N56" s="397">
        <f t="shared" si="0"/>
        <v>206388.18231484928</v>
      </c>
      <c r="O56" s="398">
        <f t="shared" si="0"/>
        <v>199230.48573003805</v>
      </c>
    </row>
    <row r="57" spans="2:15" x14ac:dyDescent="0.2">
      <c r="O57" s="1"/>
    </row>
    <row r="60" spans="2:15" x14ac:dyDescent="0.2">
      <c r="O60" s="1"/>
    </row>
    <row r="61" spans="2:15" x14ac:dyDescent="0.2">
      <c r="O61" s="1"/>
    </row>
  </sheetData>
  <pageMargins left="0.70866141732283472" right="0.70866141732283472" top="0.74803149606299213" bottom="0.74803149606299213" header="0.31496062992125984" footer="0.31496062992125984"/>
  <pageSetup scale="5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workbookViewId="0">
      <selection activeCell="E13" sqref="E13:F13"/>
    </sheetView>
  </sheetViews>
  <sheetFormatPr defaultColWidth="10.5" defaultRowHeight="12.75" x14ac:dyDescent="0.2"/>
  <cols>
    <col min="1" max="1" width="13.6640625" style="62" customWidth="1"/>
    <col min="2" max="2" width="24.5" style="62" customWidth="1"/>
    <col min="3" max="16" width="14.1640625" style="62" customWidth="1"/>
    <col min="17" max="17" width="10.83203125" style="62" customWidth="1"/>
    <col min="18" max="18" width="8.5" style="62" bestFit="1" customWidth="1"/>
    <col min="19" max="19" width="10.6640625" style="62" bestFit="1" customWidth="1"/>
    <col min="20" max="20" width="8.33203125" style="62" bestFit="1" customWidth="1"/>
    <col min="21" max="22" width="9" style="62" bestFit="1" customWidth="1"/>
    <col min="23" max="23" width="10.83203125" style="62" customWidth="1"/>
    <col min="24" max="24" width="9.6640625" style="62" bestFit="1" customWidth="1"/>
    <col min="25" max="25" width="8.5" style="62" bestFit="1" customWidth="1"/>
    <col min="26" max="26" width="9.5" style="62" bestFit="1" customWidth="1"/>
    <col min="27" max="27" width="8.33203125" style="62" bestFit="1" customWidth="1"/>
    <col min="28" max="29" width="9" style="62" bestFit="1" customWidth="1"/>
    <col min="30" max="30" width="10.83203125" style="62" bestFit="1" customWidth="1"/>
    <col min="31" max="31" width="8" style="62" bestFit="1" customWidth="1"/>
    <col min="32" max="32" width="9" style="62" bestFit="1" customWidth="1"/>
    <col min="33" max="16384" width="10.5" style="62"/>
  </cols>
  <sheetData>
    <row r="1" spans="1:16" x14ac:dyDescent="0.2">
      <c r="A1" s="758" t="s">
        <v>272</v>
      </c>
    </row>
    <row r="11" spans="1:16" ht="23.25" x14ac:dyDescent="0.2">
      <c r="B11" s="154" t="s">
        <v>59</v>
      </c>
    </row>
    <row r="12" spans="1:16" ht="13.5" thickBot="1" x14ac:dyDescent="0.25"/>
    <row r="13" spans="1:16" ht="40.5" customHeight="1" x14ac:dyDescent="0.2">
      <c r="B13" s="202"/>
      <c r="C13" s="911" t="str">
        <f>+'11. Final Load Forecast'!B14</f>
        <v>Residential</v>
      </c>
      <c r="D13" s="912"/>
      <c r="E13" s="911" t="str">
        <f>+'11. Final Load Forecast'!B18</f>
        <v>General Service &lt; 50 kW</v>
      </c>
      <c r="F13" s="912"/>
      <c r="G13" s="914" t="str">
        <f>+'11. Final Load Forecast'!B22</f>
        <v>Unmetered Scattered Load</v>
      </c>
      <c r="H13" s="915"/>
      <c r="I13" s="914" t="str">
        <f>+'11. Final Load Forecast'!B26</f>
        <v>General Service &gt; 50 kW - 4999 kW</v>
      </c>
      <c r="J13" s="915"/>
      <c r="K13" s="914" t="str">
        <f>+'11. Final Load Forecast'!B30</f>
        <v>Streetlighting</v>
      </c>
      <c r="L13" s="915"/>
      <c r="M13" s="911" t="str">
        <f>+'11. Final Load Forecast'!B34</f>
        <v>Sentinel Lighting</v>
      </c>
      <c r="N13" s="912"/>
      <c r="O13" s="911">
        <f>+'11. Final Load Forecast'!B38</f>
        <v>0</v>
      </c>
      <c r="P13" s="913"/>
    </row>
    <row r="14" spans="1:16" ht="25.5" x14ac:dyDescent="0.2">
      <c r="B14" s="92" t="s">
        <v>33</v>
      </c>
      <c r="C14" s="93" t="s">
        <v>48</v>
      </c>
      <c r="D14" s="93" t="s">
        <v>132</v>
      </c>
      <c r="E14" s="93" t="s">
        <v>48</v>
      </c>
      <c r="F14" s="93" t="s">
        <v>132</v>
      </c>
      <c r="G14" s="93" t="s">
        <v>48</v>
      </c>
      <c r="H14" s="93" t="s">
        <v>132</v>
      </c>
      <c r="I14" s="93" t="s">
        <v>48</v>
      </c>
      <c r="J14" s="93" t="s">
        <v>132</v>
      </c>
      <c r="K14" s="93" t="s">
        <v>48</v>
      </c>
      <c r="L14" s="93" t="s">
        <v>132</v>
      </c>
      <c r="M14" s="93" t="s">
        <v>48</v>
      </c>
      <c r="N14" s="93" t="s">
        <v>132</v>
      </c>
      <c r="O14" s="93" t="s">
        <v>48</v>
      </c>
      <c r="P14" s="94" t="s">
        <v>132</v>
      </c>
    </row>
    <row r="15" spans="1:16" x14ac:dyDescent="0.2">
      <c r="B15" s="203">
        <f>'4. Customer Growth'!B17</f>
        <v>2005</v>
      </c>
      <c r="C15" s="95">
        <f>+'11. Final Load Forecast'!$D$15/'11. Final Load Forecast'!$D$14</f>
        <v>8912.1624347826091</v>
      </c>
      <c r="D15" s="95">
        <f>+'11. Final Load Forecast'!$D$16/'11. Final Load Forecast'!$D$14</f>
        <v>0</v>
      </c>
      <c r="E15" s="95">
        <f>+'11. Final Load Forecast'!$D$19/'11. Final Load Forecast'!$D$18</f>
        <v>29288.04077540107</v>
      </c>
      <c r="F15" s="95">
        <f>+'11. Final Load Forecast'!$D$20/'11. Final Load Forecast'!$D$18</f>
        <v>0</v>
      </c>
      <c r="G15" s="95">
        <f>+'11. Final Load Forecast'!$D$23/'11. Final Load Forecast'!$D$22</f>
        <v>34905.294117647056</v>
      </c>
      <c r="H15" s="95">
        <f>+'11. Final Load Forecast'!$D$24/'11. Final Load Forecast'!$D$22</f>
        <v>0</v>
      </c>
      <c r="I15" s="95">
        <f>+'11. Final Load Forecast'!$D$27/'11. Final Load Forecast'!$D$26</f>
        <v>555440.72388059704</v>
      </c>
      <c r="J15" s="95">
        <f>+'11. Final Load Forecast'!$D$28/'11. Final Load Forecast'!$D$26</f>
        <v>1589.1268656716418</v>
      </c>
      <c r="K15" s="95">
        <f>+'11. Final Load Forecast'!$D$31/'11. Final Load Forecast'!$D$30</f>
        <v>931.87903225806451</v>
      </c>
      <c r="L15" s="95">
        <f>+'11. Final Load Forecast'!$D$32/'11. Final Load Forecast'!$D$30</f>
        <v>2.6013824884792625</v>
      </c>
      <c r="M15" s="95">
        <f>+'11. Final Load Forecast'!$D$35/'11. Final Load Forecast'!$D$34</f>
        <v>1136.712</v>
      </c>
      <c r="N15" s="95">
        <f>+'11. Final Load Forecast'!$D$36/'11. Final Load Forecast'!$D$34</f>
        <v>3.1320000000000001</v>
      </c>
      <c r="O15" s="95" t="e">
        <f>+'11. Final Load Forecast'!$D$39/'11. Final Load Forecast'!$D$39</f>
        <v>#DIV/0!</v>
      </c>
      <c r="P15" s="96" t="e">
        <f>+'11. Final Load Forecast'!$D$40/'11. Final Load Forecast'!$D$39</f>
        <v>#DIV/0!</v>
      </c>
    </row>
    <row r="16" spans="1:16" x14ac:dyDescent="0.2">
      <c r="B16" s="203">
        <f>'4. Customer Growth'!B18</f>
        <v>2006</v>
      </c>
      <c r="C16" s="95">
        <f>+'11. Final Load Forecast'!$E$15/'11. Final Load Forecast'!$E$14</f>
        <v>9234.335901563938</v>
      </c>
      <c r="D16" s="95">
        <f>+'11. Final Load Forecast'!$E$16/'11. Final Load Forecast'!$E$14</f>
        <v>0</v>
      </c>
      <c r="E16" s="95">
        <f>+'11. Final Load Forecast'!$E$19/'11. Final Load Forecast'!$E$18</f>
        <v>27315.457556935817</v>
      </c>
      <c r="F16" s="95">
        <f>+'11. Final Load Forecast'!$E$20/'11. Final Load Forecast'!$E$18</f>
        <v>0</v>
      </c>
      <c r="G16" s="95">
        <f>+'11. Final Load Forecast'!$E$23/'11. Final Load Forecast'!$E$22</f>
        <v>18200.3</v>
      </c>
      <c r="H16" s="95">
        <f>+'11. Final Load Forecast'!$E$24/'11. Final Load Forecast'!$E$22</f>
        <v>0</v>
      </c>
      <c r="I16" s="95">
        <f>+'11. Final Load Forecast'!$E$27/'11. Final Load Forecast'!$E$26</f>
        <v>554675.69852941181</v>
      </c>
      <c r="J16" s="95">
        <f>+'11. Final Load Forecast'!$E$28/'11. Final Load Forecast'!$E$26</f>
        <v>1522.0588235294117</v>
      </c>
      <c r="K16" s="95">
        <f>+'11. Final Load Forecast'!$E$31/'11. Final Load Forecast'!$E$30</f>
        <v>955.40455407969637</v>
      </c>
      <c r="L16" s="95">
        <f>+'11. Final Load Forecast'!$E$32/'11. Final Load Forecast'!$E$30</f>
        <v>2.5745730550284631</v>
      </c>
      <c r="M16" s="95">
        <f>+'11. Final Load Forecast'!$E$35/'11. Final Load Forecast'!$E$34</f>
        <v>1188.9066666666668</v>
      </c>
      <c r="N16" s="95">
        <f>+'11. Final Load Forecast'!$E$36/'11. Final Load Forecast'!$E$34</f>
        <v>3.4088888888888889</v>
      </c>
      <c r="O16" s="95" t="e">
        <f>+'11. Final Load Forecast'!$E$39/'11. Final Load Forecast'!$E$38</f>
        <v>#DIV/0!</v>
      </c>
      <c r="P16" s="96" t="e">
        <f>+'11. Final Load Forecast'!$E$40/'11. Final Load Forecast'!$E$38</f>
        <v>#DIV/0!</v>
      </c>
    </row>
    <row r="17" spans="2:16" x14ac:dyDescent="0.2">
      <c r="B17" s="203">
        <f>'4. Customer Growth'!B19</f>
        <v>2007</v>
      </c>
      <c r="C17" s="95">
        <f>+'11. Final Load Forecast'!$F$15/'11. Final Load Forecast'!$F$14</f>
        <v>8956.1350891134061</v>
      </c>
      <c r="D17" s="95">
        <f>+'11. Final Load Forecast'!$F$16/'11. Final Load Forecast'!$F$14</f>
        <v>0</v>
      </c>
      <c r="E17" s="95">
        <f>+'11. Final Load Forecast'!$F$19/'11. Final Load Forecast'!$F$18</f>
        <v>24772.36962552011</v>
      </c>
      <c r="F17" s="95">
        <f>+'11. Final Load Forecast'!$F$20/'11. Final Load Forecast'!$F$18</f>
        <v>0</v>
      </c>
      <c r="G17" s="95">
        <f>+'11. Final Load Forecast'!$F$23/'11. Final Load Forecast'!$F$22</f>
        <v>17409.95</v>
      </c>
      <c r="H17" s="95">
        <f>+'11. Final Load Forecast'!$F$24/'11. Final Load Forecast'!$F$22</f>
        <v>0</v>
      </c>
      <c r="I17" s="95">
        <f>+'11. Final Load Forecast'!$F$27/'11. Final Load Forecast'!$F$26</f>
        <v>577409.3161764706</v>
      </c>
      <c r="J17" s="95">
        <f>+'11. Final Load Forecast'!$F$28/'11. Final Load Forecast'!$F$26</f>
        <v>1566.4632352941176</v>
      </c>
      <c r="K17" s="95">
        <f>+'11. Final Load Forecast'!$F$31/'11. Final Load Forecast'!$F$30</f>
        <v>916.34327794561932</v>
      </c>
      <c r="L17" s="95">
        <f>+'11. Final Load Forecast'!$F$32/'11. Final Load Forecast'!$F$30</f>
        <v>2.559667673716012</v>
      </c>
      <c r="M17" s="95">
        <f>+'11. Final Load Forecast'!$F$35/'11. Final Load Forecast'!$F$34</f>
        <v>1182.2711111111112</v>
      </c>
      <c r="N17" s="95">
        <f>+'11. Final Load Forecast'!$F$36/'11. Final Load Forecast'!$F$34</f>
        <v>3.4044444444444446</v>
      </c>
      <c r="O17" s="95" t="e">
        <f>+'11. Final Load Forecast'!$F$39/'11. Final Load Forecast'!$F$38</f>
        <v>#DIV/0!</v>
      </c>
      <c r="P17" s="96" t="e">
        <f>+'11. Final Load Forecast'!$F$40/'11. Final Load Forecast'!$F$38</f>
        <v>#DIV/0!</v>
      </c>
    </row>
    <row r="18" spans="2:16" x14ac:dyDescent="0.2">
      <c r="B18" s="203">
        <f>'4. Customer Growth'!B20</f>
        <v>2008</v>
      </c>
      <c r="C18" s="95">
        <f>+'11. Final Load Forecast'!$G$15/'11. Final Load Forecast'!$G$14</f>
        <v>8956.1350891134061</v>
      </c>
      <c r="D18" s="95">
        <f>+'11. Final Load Forecast'!$G$16/'11. Final Load Forecast'!$G$14</f>
        <v>0</v>
      </c>
      <c r="E18" s="95">
        <f>+'11. Final Load Forecast'!$G$19/'11. Final Load Forecast'!$G$18</f>
        <v>25409.298793470545</v>
      </c>
      <c r="F18" s="95">
        <f>+'11. Final Load Forecast'!$G$20/'11. Final Load Forecast'!$G$18</f>
        <v>0</v>
      </c>
      <c r="G18" s="95">
        <f>+'11. Final Load Forecast'!$G$23/'11. Final Load Forecast'!$G$22</f>
        <v>19347.2</v>
      </c>
      <c r="H18" s="95">
        <f>+'11. Final Load Forecast'!$G$24/'11. Final Load Forecast'!$G$22</f>
        <v>0</v>
      </c>
      <c r="I18" s="95">
        <f>+'11. Final Load Forecast'!$G$27/'11. Final Load Forecast'!$G$26</f>
        <v>550305.10489510489</v>
      </c>
      <c r="J18" s="95">
        <f>+'11. Final Load Forecast'!$G$28/'11. Final Load Forecast'!$G$26</f>
        <v>1418.5664335664335</v>
      </c>
      <c r="K18" s="95">
        <f>+'11. Final Load Forecast'!$G$31/'11. Final Load Forecast'!$G$30</f>
        <v>893.51828119110439</v>
      </c>
      <c r="L18" s="95">
        <f>+'11. Final Load Forecast'!$G$32/'11. Final Load Forecast'!$G$30</f>
        <v>2.5359969845457973</v>
      </c>
      <c r="M18" s="95">
        <f>+'11. Final Load Forecast'!$G$35/'11. Final Load Forecast'!$G$34</f>
        <v>1159.8407079646017</v>
      </c>
      <c r="N18" s="95">
        <f>+'11. Final Load Forecast'!$G$36/'11. Final Load Forecast'!$G$34</f>
        <v>3.3230088495575223</v>
      </c>
      <c r="O18" s="95" t="e">
        <f>+'11. Final Load Forecast'!$G$39/'11. Final Load Forecast'!$G$38</f>
        <v>#DIV/0!</v>
      </c>
      <c r="P18" s="96" t="e">
        <f>+'11. Final Load Forecast'!$G$40/'11. Final Load Forecast'!$G$38</f>
        <v>#DIV/0!</v>
      </c>
    </row>
    <row r="19" spans="2:16" x14ac:dyDescent="0.2">
      <c r="B19" s="203">
        <f>'4. Customer Growth'!B21</f>
        <v>2009</v>
      </c>
      <c r="C19" s="95">
        <f>+'11. Final Load Forecast'!$H$15/'11. Final Load Forecast'!$H$14</f>
        <v>8506.7622581366722</v>
      </c>
      <c r="D19" s="95">
        <f>+'11. Final Load Forecast'!$H$16/'11. Final Load Forecast'!$H$14</f>
        <v>0</v>
      </c>
      <c r="E19" s="95">
        <f>+'11. Final Load Forecast'!$H$19/'11. Final Load Forecast'!$H$18</f>
        <v>24532.337417503586</v>
      </c>
      <c r="F19" s="95">
        <f>+'11. Final Load Forecast'!$H$20/'11. Final Load Forecast'!$H$18</f>
        <v>0</v>
      </c>
      <c r="G19" s="95">
        <f>+'11. Final Load Forecast'!$H$23/'11. Final Load Forecast'!$H$22</f>
        <v>21897.613499999999</v>
      </c>
      <c r="H19" s="95">
        <f>+'11. Final Load Forecast'!$H$24/'11. Final Load Forecast'!$H$22</f>
        <v>0</v>
      </c>
      <c r="I19" s="95">
        <f>+'11. Final Load Forecast'!$H$27/'11. Final Load Forecast'!$H$26</f>
        <v>545990.52625</v>
      </c>
      <c r="J19" s="95">
        <f>+'11. Final Load Forecast'!$H$28/'11. Final Load Forecast'!$H$26</f>
        <v>1457.3125</v>
      </c>
      <c r="K19" s="95">
        <f>+'11. Final Load Forecast'!$H$31/'11. Final Load Forecast'!$H$30</f>
        <v>893.92322102924845</v>
      </c>
      <c r="L19" s="95">
        <f>+'11. Final Load Forecast'!$H$32/'11. Final Load Forecast'!$H$30</f>
        <v>2.4627915586819698</v>
      </c>
      <c r="M19" s="95">
        <f>+'11. Final Load Forecast'!$H$35/'11. Final Load Forecast'!$H$34</f>
        <v>1174.2044690265488</v>
      </c>
      <c r="N19" s="95">
        <f>+'11. Final Load Forecast'!$H$36/'11. Final Load Forecast'!$H$34</f>
        <v>3.3451327433628317</v>
      </c>
      <c r="O19" s="95" t="e">
        <f>+'11. Final Load Forecast'!$H$39/'11. Final Load Forecast'!$H$38</f>
        <v>#DIV/0!</v>
      </c>
      <c r="P19" s="96" t="e">
        <f>+'11. Final Load Forecast'!$H$40/'11. Final Load Forecast'!$H$38</f>
        <v>#DIV/0!</v>
      </c>
    </row>
    <row r="20" spans="2:16" x14ac:dyDescent="0.2">
      <c r="B20" s="203">
        <f>'4. Customer Growth'!B22</f>
        <v>2010</v>
      </c>
      <c r="C20" s="95">
        <f>+'11. Final Load Forecast'!$I$15/'11. Final Load Forecast'!$I$14</f>
        <v>8408.8232439977673</v>
      </c>
      <c r="D20" s="95">
        <f>+'11. Final Load Forecast'!$I$16/'11. Final Load Forecast'!$I$14</f>
        <v>0</v>
      </c>
      <c r="E20" s="95">
        <f>+'11. Final Load Forecast'!$I$19/'11. Final Load Forecast'!$I$18</f>
        <v>24313.568972303205</v>
      </c>
      <c r="F20" s="95">
        <f>+'11. Final Load Forecast'!$I$20/'11. Final Load Forecast'!$I$18</f>
        <v>0</v>
      </c>
      <c r="G20" s="95">
        <f>+'11. Final Load Forecast'!$I$23/'11. Final Load Forecast'!$I$22</f>
        <v>22926.32</v>
      </c>
      <c r="H20" s="95">
        <f>+'11. Final Load Forecast'!$I$24/'11. Final Load Forecast'!$I$22</f>
        <v>0</v>
      </c>
      <c r="I20" s="95">
        <f>+'11. Final Load Forecast'!$I$27/'11. Final Load Forecast'!$I$26</f>
        <v>516961.0454054054</v>
      </c>
      <c r="J20" s="95">
        <f>+'11. Final Load Forecast'!$I$28/'11. Final Load Forecast'!$I$26</f>
        <v>1370.1013513513512</v>
      </c>
      <c r="K20" s="95">
        <f>+'11. Final Load Forecast'!$I$31/'11. Final Load Forecast'!$I$30</f>
        <v>878.6240508661997</v>
      </c>
      <c r="L20" s="95">
        <f>+'11. Final Load Forecast'!$I$32/'11. Final Load Forecast'!$I$30</f>
        <v>2.4939181717655732</v>
      </c>
      <c r="M20" s="95">
        <f>+'11. Final Load Forecast'!$I$35/'11. Final Load Forecast'!$I$34</f>
        <v>1081.8781944444445</v>
      </c>
      <c r="N20" s="95">
        <f>+'11. Final Load Forecast'!$I$36/'11. Final Load Forecast'!$I$34</f>
        <v>3.5462962962962963</v>
      </c>
      <c r="O20" s="95" t="e">
        <f>+'11. Final Load Forecast'!$I$39/'11. Final Load Forecast'!$I$38</f>
        <v>#DIV/0!</v>
      </c>
      <c r="P20" s="96" t="e">
        <f>+'11. Final Load Forecast'!$I$40/'11. Final Load Forecast'!$I$38</f>
        <v>#DIV/0!</v>
      </c>
    </row>
    <row r="21" spans="2:16" x14ac:dyDescent="0.2">
      <c r="B21" s="203">
        <f>'4. Customer Growth'!B23</f>
        <v>2011</v>
      </c>
      <c r="C21" s="95">
        <f>+'11. Final Load Forecast'!$J$15/'11. Final Load Forecast'!$J$14</f>
        <v>8778.573627906977</v>
      </c>
      <c r="D21" s="95">
        <f>+'11. Final Load Forecast'!$J$16/'11. Final Load Forecast'!$J$14</f>
        <v>0</v>
      </c>
      <c r="E21" s="95">
        <f>+'11. Final Load Forecast'!$J$19/'11. Final Load Forecast'!$J$18</f>
        <v>23561.32567153285</v>
      </c>
      <c r="F21" s="95">
        <f>+'11. Final Load Forecast'!$J$20/'11. Final Load Forecast'!$J$18</f>
        <v>0</v>
      </c>
      <c r="G21" s="95">
        <f>+'11. Final Load Forecast'!$J$23/'11. Final Load Forecast'!$J$22</f>
        <v>23465.351999999999</v>
      </c>
      <c r="H21" s="95">
        <f>+'11. Final Load Forecast'!$J$24/'11. Final Load Forecast'!$J$22</f>
        <v>0</v>
      </c>
      <c r="I21" s="95">
        <f>+'11. Final Load Forecast'!$J$27/'11. Final Load Forecast'!$J$26</f>
        <v>516234.46503448283</v>
      </c>
      <c r="J21" s="95">
        <f>+'11. Final Load Forecast'!$J$28/'11. Final Load Forecast'!$J$26</f>
        <v>1403.9655172413793</v>
      </c>
      <c r="K21" s="95">
        <f>+'11. Final Load Forecast'!$J$31/'11. Final Load Forecast'!$J$30</f>
        <v>888.02997472011555</v>
      </c>
      <c r="L21" s="95">
        <f>+'11. Final Load Forecast'!$J$32/'11. Final Load Forecast'!$J$30</f>
        <v>2.4702058504875408</v>
      </c>
      <c r="M21" s="95">
        <f>+'11. Final Load Forecast'!$J$35/'11. Final Load Forecast'!$J$34</f>
        <v>1296.1675598086126</v>
      </c>
      <c r="N21" s="95">
        <f>+'11. Final Load Forecast'!$J$36/'11. Final Load Forecast'!$J$34</f>
        <v>3.5119617224880382</v>
      </c>
      <c r="O21" s="95" t="e">
        <f>+'11. Final Load Forecast'!$J$39/'11. Final Load Forecast'!$J$38</f>
        <v>#DIV/0!</v>
      </c>
      <c r="P21" s="96" t="e">
        <f>+'11. Final Load Forecast'!$J$40/'11. Final Load Forecast'!$J$38</f>
        <v>#DIV/0!</v>
      </c>
    </row>
    <row r="22" spans="2:16" x14ac:dyDescent="0.2">
      <c r="B22" s="203">
        <f>'4. Customer Growth'!B24</f>
        <v>2012</v>
      </c>
      <c r="C22" s="95">
        <f>+'11. Final Load Forecast'!$K$15/'11. Final Load Forecast'!$K$14</f>
        <v>8645.1047069828874</v>
      </c>
      <c r="D22" s="95">
        <f>+'11. Final Load Forecast'!$K$16/'11. Final Load Forecast'!$K$14</f>
        <v>0</v>
      </c>
      <c r="E22" s="95">
        <f>+'11. Final Load Forecast'!$K$19/'11. Final Load Forecast'!$K$18</f>
        <v>23465.678384135146</v>
      </c>
      <c r="F22" s="95">
        <f>+'11. Final Load Forecast'!$K$20/'11. Final Load Forecast'!$K$18</f>
        <v>0</v>
      </c>
      <c r="G22" s="95">
        <f>+'11. Final Load Forecast'!$K$23/'11. Final Load Forecast'!$K$22</f>
        <v>22407.9545</v>
      </c>
      <c r="H22" s="95">
        <f>+'11. Final Load Forecast'!$K$24/'11. Final Load Forecast'!$K$22</f>
        <v>0</v>
      </c>
      <c r="I22" s="95">
        <f>+'11. Final Load Forecast'!$K$27/'11. Final Load Forecast'!$K$26</f>
        <v>513905.47124137927</v>
      </c>
      <c r="J22" s="95">
        <f>+'11. Final Load Forecast'!$K$28/'11. Final Load Forecast'!$K$26</f>
        <v>1433.903448275862</v>
      </c>
      <c r="K22" s="95">
        <f>+'11. Final Load Forecast'!$K$31/'11. Final Load Forecast'!$K$30</f>
        <v>876.80300594701748</v>
      </c>
      <c r="L22" s="95">
        <f>+'11. Final Load Forecast'!$K$32/'11. Final Load Forecast'!$K$30</f>
        <v>2.4395026130834379</v>
      </c>
      <c r="M22" s="95">
        <f>+'11. Final Load Forecast'!$K$35/'11. Final Load Forecast'!$K$34</f>
        <v>1169.0518465227817</v>
      </c>
      <c r="N22" s="95">
        <f>+'11. Final Load Forecast'!$K$36/'11. Final Load Forecast'!$K$34</f>
        <v>3.4196642685851319</v>
      </c>
      <c r="O22" s="95" t="e">
        <f>+'11. Final Load Forecast'!$K$39/'11. Final Load Forecast'!$K$38</f>
        <v>#DIV/0!</v>
      </c>
      <c r="P22" s="96" t="e">
        <f>+'11. Final Load Forecast'!$K$40/'11. Final Load Forecast'!$K$38</f>
        <v>#DIV/0!</v>
      </c>
    </row>
    <row r="23" spans="2:16" x14ac:dyDescent="0.2">
      <c r="B23" s="203">
        <f>'4. Customer Growth'!B25</f>
        <v>2013</v>
      </c>
      <c r="C23" s="95">
        <f>+'11. Final Load Forecast'!$L$15/'11. Final Load Forecast'!$L$14</f>
        <v>8715.4120565524736</v>
      </c>
      <c r="D23" s="95">
        <f>+'11. Final Load Forecast'!$L$16/'11. Final Load Forecast'!$L$14</f>
        <v>0</v>
      </c>
      <c r="E23" s="95">
        <f>+'11. Final Load Forecast'!$L$19/'11. Final Load Forecast'!$L$18</f>
        <v>23795.901861163227</v>
      </c>
      <c r="F23" s="95">
        <f>+'11. Final Load Forecast'!$L$20/'11. Final Load Forecast'!$L$18</f>
        <v>0</v>
      </c>
      <c r="G23" s="95">
        <f>+'11. Final Load Forecast'!$L$23/'11. Final Load Forecast'!$L$22</f>
        <v>22673.535</v>
      </c>
      <c r="H23" s="95">
        <f>+'11. Final Load Forecast'!$L$24/'11. Final Load Forecast'!$L$22</f>
        <v>0</v>
      </c>
      <c r="I23" s="95">
        <f>+'11. Final Load Forecast'!$L$27/'11. Final Load Forecast'!$L$26</f>
        <v>505820.7794501718</v>
      </c>
      <c r="J23" s="95">
        <f>+'11. Final Load Forecast'!$L$28/'11. Final Load Forecast'!$L$26</f>
        <v>1487.979381443299</v>
      </c>
      <c r="K23" s="95">
        <f>+'11. Final Load Forecast'!$L$31/'11. Final Load Forecast'!$L$30</f>
        <v>869.84169716541089</v>
      </c>
      <c r="L23" s="95">
        <f>+'11. Final Load Forecast'!$L$32/'11. Final Load Forecast'!$L$30</f>
        <v>2.4276641550053824</v>
      </c>
      <c r="M23" s="95">
        <f>+'11. Final Load Forecast'!$L$35/'11. Final Load Forecast'!$L$34</f>
        <v>1311.8596610169493</v>
      </c>
      <c r="N23" s="95">
        <f>+'11. Final Load Forecast'!$L$36/'11. Final Load Forecast'!$L$34</f>
        <v>3.3898305084745761</v>
      </c>
      <c r="O23" s="95" t="e">
        <f>+'11. Final Load Forecast'!$L$39/'11. Final Load Forecast'!$L$38</f>
        <v>#DIV/0!</v>
      </c>
      <c r="P23" s="96" t="e">
        <f>+'11. Final Load Forecast'!$L$40/'11. Final Load Forecast'!$L$38</f>
        <v>#DIV/0!</v>
      </c>
    </row>
    <row r="24" spans="2:16" x14ac:dyDescent="0.2">
      <c r="B24" s="203">
        <f>'4. Customer Growth'!B26</f>
        <v>2014</v>
      </c>
      <c r="C24" s="95">
        <f>+'11. Final Load Forecast'!$M$15/'11. Final Load Forecast'!$M$14</f>
        <v>8542.0739634605052</v>
      </c>
      <c r="D24" s="95">
        <f>+'11. Final Load Forecast'!$M$16/'11. Final Load Forecast'!$M$14</f>
        <v>0</v>
      </c>
      <c r="E24" s="95">
        <f>+'11. Final Load Forecast'!$M$19/'11. Final Load Forecast'!$M$18</f>
        <v>24013.449256449167</v>
      </c>
      <c r="F24" s="95">
        <f>+'11. Final Load Forecast'!$M$20/'11. Final Load Forecast'!$M$18</f>
        <v>0</v>
      </c>
      <c r="G24" s="95">
        <f>+'11. Final Load Forecast'!$M$23/'11. Final Load Forecast'!$M$22</f>
        <v>22720.3125</v>
      </c>
      <c r="H24" s="95">
        <f>+'11. Final Load Forecast'!$M$24/'11. Final Load Forecast'!$M$22</f>
        <v>0</v>
      </c>
      <c r="I24" s="95">
        <f>+'11. Final Load Forecast'!$M$27/'11. Final Load Forecast'!$M$26</f>
        <v>494968.25242320809</v>
      </c>
      <c r="J24" s="95">
        <f>+'11. Final Load Forecast'!$M$28/'11. Final Load Forecast'!$M$26</f>
        <v>1408.8668941979522</v>
      </c>
      <c r="K24" s="95">
        <f>+'11. Final Load Forecast'!$M$31/'11. Final Load Forecast'!$M$30</f>
        <v>870.57683140053518</v>
      </c>
      <c r="L24" s="95">
        <f>+'11. Final Load Forecast'!$M$32/'11. Final Load Forecast'!$M$30</f>
        <v>2.4156859946476357</v>
      </c>
      <c r="M24" s="95">
        <f>+'11. Final Load Forecast'!$M$35/'11. Final Load Forecast'!$M$34</f>
        <v>1203.7768137254902</v>
      </c>
      <c r="N24" s="95">
        <f>+'11. Final Load Forecast'!$M$36/'11. Final Load Forecast'!$M$34</f>
        <v>3.3504901960784315</v>
      </c>
      <c r="O24" s="95" t="e">
        <f>+'11. Final Load Forecast'!$M$39/'11. Final Load Forecast'!$M$38</f>
        <v>#DIV/0!</v>
      </c>
      <c r="P24" s="96" t="e">
        <f>+'11. Final Load Forecast'!$M$40/'11. Final Load Forecast'!$M$38</f>
        <v>#DIV/0!</v>
      </c>
    </row>
    <row r="25" spans="2:16" x14ac:dyDescent="0.2">
      <c r="B25" s="204" t="str">
        <f>'4. Customer Growth'!B30</f>
        <v>2015</v>
      </c>
      <c r="C25" s="95">
        <f>+'11. Final Load Forecast'!$N$15/'11. Final Load Forecast'!$N$14</f>
        <v>8358.9669190130608</v>
      </c>
      <c r="D25" s="95">
        <f>+'11. Final Load Forecast'!$N$16/'11. Final Load Forecast'!$N$14</f>
        <v>0</v>
      </c>
      <c r="E25" s="95">
        <f>+'11. Final Load Forecast'!$N$19/'11. Final Load Forecast'!$N$18</f>
        <v>26896.253614401037</v>
      </c>
      <c r="F25" s="95">
        <f>+'11. Final Load Forecast'!$N$20/'11. Final Load Forecast'!$N$18</f>
        <v>0</v>
      </c>
      <c r="G25" s="95">
        <f>+'11. Final Load Forecast'!$N$23/'11. Final Load Forecast'!$N$22</f>
        <v>22653.398095734745</v>
      </c>
      <c r="H25" s="95">
        <f>+'11. Final Load Forecast'!$N$24/'11. Final Load Forecast'!$N$22</f>
        <v>0</v>
      </c>
      <c r="I25" s="95">
        <f>+'11. Final Load Forecast'!$N$27/'11. Final Load Forecast'!$N$26</f>
        <v>495200.60819990956</v>
      </c>
      <c r="J25" s="95">
        <f>+'11. Final Load Forecast'!$N$28/'11. Final Load Forecast'!$N$26</f>
        <v>1362.4510108111033</v>
      </c>
      <c r="K25" s="95">
        <f>+'11. Final Load Forecast'!$N$31/'11. Final Load Forecast'!$N$30</f>
        <v>860.9564848954949</v>
      </c>
      <c r="L25" s="95">
        <f>+'11. Final Load Forecast'!$N$32/'11. Final Load Forecast'!$N$30</f>
        <v>2.396989510867813</v>
      </c>
      <c r="M25" s="95">
        <f>+'11. Final Load Forecast'!$N$35/'11. Final Load Forecast'!$N$34</f>
        <v>1227.6575390834778</v>
      </c>
      <c r="N25" s="95">
        <f>+'11. Final Load Forecast'!$N$36/'11. Final Load Forecast'!$N$34</f>
        <v>3.4983227354968034</v>
      </c>
      <c r="O25" s="95" t="e">
        <f>+'11. Final Load Forecast'!$N$39/'11. Final Load Forecast'!$N$38</f>
        <v>#DIV/0!</v>
      </c>
      <c r="P25" s="96" t="e">
        <f>+'11. Final Load Forecast'!$N$40/'11. Final Load Forecast'!$N$38</f>
        <v>#DIV/0!</v>
      </c>
    </row>
    <row r="26" spans="2:16" ht="13.5" thickBot="1" x14ac:dyDescent="0.25">
      <c r="B26" s="205" t="str">
        <f>'4. Customer Growth'!B31</f>
        <v>2016</v>
      </c>
      <c r="C26" s="97">
        <f>+'11. Final Load Forecast'!$O$15/'11. Final Load Forecast'!$O$14</f>
        <v>8128.349349595851</v>
      </c>
      <c r="D26" s="97">
        <f>+'11. Final Load Forecast'!$O$16/'11. Final Load Forecast'!$O$14</f>
        <v>0</v>
      </c>
      <c r="E26" s="97">
        <f>+'11. Final Load Forecast'!$O$19/'11. Final Load Forecast'!$O$18</f>
        <v>26749.543461085836</v>
      </c>
      <c r="F26" s="97">
        <f>+'11. Final Load Forecast'!$O$20/'11. Final Load Forecast'!$O$18</f>
        <v>0</v>
      </c>
      <c r="G26" s="97">
        <f>+'11. Final Load Forecast'!$O$23/'11. Final Load Forecast'!$O$22</f>
        <v>22214.934179795564</v>
      </c>
      <c r="H26" s="97">
        <f>+'11. Final Load Forecast'!$O$24/'11. Final Load Forecast'!$O$22</f>
        <v>0</v>
      </c>
      <c r="I26" s="97">
        <f>+'11. Final Load Forecast'!$O$27/'11. Final Load Forecast'!$O$26</f>
        <v>479053.46255754924</v>
      </c>
      <c r="J26" s="97">
        <f>+'11. Final Load Forecast'!$O$28/'11. Final Load Forecast'!$O$26</f>
        <v>1318.0251871391204</v>
      </c>
      <c r="K26" s="97">
        <f>+'11. Final Load Forecast'!$O$31/'11. Final Load Forecast'!$O$30</f>
        <v>438.60897387078029</v>
      </c>
      <c r="L26" s="97">
        <f>+'11. Final Load Forecast'!$O$32/'11. Final Load Forecast'!$O$30</f>
        <v>1.221131530089316</v>
      </c>
      <c r="M26" s="97">
        <f>+'11. Final Load Forecast'!$O$35/'11. Final Load Forecast'!$O$34</f>
        <v>1231.4055695166896</v>
      </c>
      <c r="N26" s="97">
        <f>+'11. Final Load Forecast'!$O$36/'11. Final Load Forecast'!$O$34</f>
        <v>3.5090030919157678</v>
      </c>
      <c r="O26" s="97" t="e">
        <f>+'11. Final Load Forecast'!$O$39/'11. Final Load Forecast'!$O$38</f>
        <v>#DIV/0!</v>
      </c>
      <c r="P26" s="98" t="e">
        <f>+'11. Final Load Forecast'!$O$40/'11. Final Load Forecast'!$O$38</f>
        <v>#DIV/0!</v>
      </c>
    </row>
  </sheetData>
  <mergeCells count="7">
    <mergeCell ref="C13:D13"/>
    <mergeCell ref="E13:F13"/>
    <mergeCell ref="O13:P13"/>
    <mergeCell ref="M13:N13"/>
    <mergeCell ref="G13:H13"/>
    <mergeCell ref="K13:L13"/>
    <mergeCell ref="I13:J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election activeCell="S54" sqref="S54"/>
    </sheetView>
  </sheetViews>
  <sheetFormatPr defaultRowHeight="12.75" x14ac:dyDescent="0.2"/>
  <cols>
    <col min="1" max="1" width="13.1640625" customWidth="1"/>
    <col min="2" max="2" width="23.1640625" customWidth="1"/>
    <col min="3" max="3" width="18.83203125" bestFit="1" customWidth="1"/>
    <col min="4" max="4" width="19.83203125" bestFit="1" customWidth="1"/>
    <col min="5" max="5" width="18.83203125" bestFit="1" customWidth="1"/>
    <col min="6" max="6" width="19.83203125" bestFit="1" customWidth="1"/>
    <col min="7" max="7" width="18.83203125" bestFit="1" customWidth="1"/>
    <col min="8" max="8" width="19.83203125" bestFit="1" customWidth="1"/>
    <col min="9" max="9" width="18.83203125" bestFit="1" customWidth="1"/>
  </cols>
  <sheetData>
    <row r="1" spans="1:10" s="536" customFormat="1" x14ac:dyDescent="0.2">
      <c r="A1" s="758" t="s">
        <v>272</v>
      </c>
    </row>
    <row r="2" spans="1:10" s="536" customFormat="1" x14ac:dyDescent="0.2"/>
    <row r="3" spans="1:10" s="536" customFormat="1" x14ac:dyDescent="0.2"/>
    <row r="4" spans="1:10" s="536" customFormat="1" x14ac:dyDescent="0.2"/>
    <row r="5" spans="1:10" s="536" customFormat="1" x14ac:dyDescent="0.2"/>
    <row r="6" spans="1:10" s="536" customFormat="1" x14ac:dyDescent="0.2"/>
    <row r="7" spans="1:10" s="536" customFormat="1" x14ac:dyDescent="0.2"/>
    <row r="8" spans="1:10" s="536" customFormat="1" x14ac:dyDescent="0.2"/>
    <row r="9" spans="1:10" s="536" customFormat="1" x14ac:dyDescent="0.2"/>
    <row r="10" spans="1:10" s="536" customFormat="1" x14ac:dyDescent="0.2"/>
    <row r="11" spans="1:10" s="536" customFormat="1" ht="23.25" x14ac:dyDescent="0.2">
      <c r="B11" s="133" t="s">
        <v>103</v>
      </c>
    </row>
    <row r="12" spans="1:10" s="536" customFormat="1" ht="12.75" customHeight="1" x14ac:dyDescent="0.2">
      <c r="B12" s="133"/>
    </row>
    <row r="13" spans="1:10" s="536" customFormat="1" x14ac:dyDescent="0.2">
      <c r="B13" s="784" t="s">
        <v>282</v>
      </c>
      <c r="C13" s="785" t="s">
        <v>283</v>
      </c>
      <c r="D13" s="784" t="s">
        <v>282</v>
      </c>
      <c r="E13" s="785" t="s">
        <v>283</v>
      </c>
      <c r="F13" s="784" t="s">
        <v>282</v>
      </c>
      <c r="G13" s="785" t="s">
        <v>283</v>
      </c>
      <c r="H13" s="784" t="s">
        <v>282</v>
      </c>
      <c r="I13" s="785" t="s">
        <v>283</v>
      </c>
    </row>
    <row r="14" spans="1:10" s="536" customFormat="1" x14ac:dyDescent="0.2">
      <c r="B14" s="786" t="s">
        <v>284</v>
      </c>
      <c r="C14" s="787">
        <v>13142570.375399999</v>
      </c>
      <c r="D14" s="786" t="s">
        <v>285</v>
      </c>
      <c r="E14" s="787">
        <v>14771571.713964712</v>
      </c>
      <c r="F14" s="786" t="s">
        <v>286</v>
      </c>
      <c r="G14" s="787">
        <v>16076421.379999999</v>
      </c>
      <c r="H14" s="788" t="s">
        <v>287</v>
      </c>
      <c r="I14" s="787">
        <v>18286019</v>
      </c>
    </row>
    <row r="15" spans="1:10" x14ac:dyDescent="0.2">
      <c r="B15" s="786" t="s">
        <v>288</v>
      </c>
      <c r="C15" s="787">
        <v>13197164.210000001</v>
      </c>
      <c r="D15" s="789" t="s">
        <v>289</v>
      </c>
      <c r="E15" s="787">
        <v>14773248.220000001</v>
      </c>
      <c r="F15" s="786" t="s">
        <v>290</v>
      </c>
      <c r="G15" s="787">
        <v>16145185.029999999</v>
      </c>
      <c r="H15" s="790" t="s">
        <v>291</v>
      </c>
      <c r="I15" s="787">
        <v>18353283.109999999</v>
      </c>
      <c r="J15" s="515"/>
    </row>
    <row r="16" spans="1:10" x14ac:dyDescent="0.2">
      <c r="B16" s="790" t="s">
        <v>292</v>
      </c>
      <c r="C16" s="787">
        <v>13231223.890000001</v>
      </c>
      <c r="D16" s="786" t="s">
        <v>293</v>
      </c>
      <c r="E16" s="787">
        <v>14838362.260899998</v>
      </c>
      <c r="F16" s="789" t="s">
        <v>294</v>
      </c>
      <c r="G16" s="787">
        <v>16259992.859999999</v>
      </c>
      <c r="H16" s="788" t="s">
        <v>295</v>
      </c>
      <c r="I16" s="787">
        <v>18549948.033</v>
      </c>
      <c r="J16" s="515"/>
    </row>
    <row r="17" spans="2:10" x14ac:dyDescent="0.2">
      <c r="B17" s="786" t="s">
        <v>296</v>
      </c>
      <c r="C17" s="787">
        <v>13562494.850000001</v>
      </c>
      <c r="D17" s="790" t="s">
        <v>297</v>
      </c>
      <c r="E17" s="787">
        <v>14896602.02</v>
      </c>
      <c r="F17" s="790" t="s">
        <v>298</v>
      </c>
      <c r="G17" s="787">
        <v>16320059.470000001</v>
      </c>
      <c r="H17" s="790" t="s">
        <v>299</v>
      </c>
      <c r="I17" s="787">
        <v>18569676.210000001</v>
      </c>
      <c r="J17" s="515"/>
    </row>
    <row r="18" spans="2:10" x14ac:dyDescent="0.2">
      <c r="B18" s="786" t="s">
        <v>300</v>
      </c>
      <c r="C18" s="787">
        <v>13562663.460000001</v>
      </c>
      <c r="D18" s="789" t="s">
        <v>301</v>
      </c>
      <c r="E18" s="787">
        <v>14962494.51</v>
      </c>
      <c r="F18" s="790" t="s">
        <v>302</v>
      </c>
      <c r="G18" s="787">
        <v>16336448.780000001</v>
      </c>
      <c r="H18" s="790" t="s">
        <v>303</v>
      </c>
      <c r="I18" s="787">
        <v>18576054.222617</v>
      </c>
      <c r="J18" s="515"/>
    </row>
    <row r="19" spans="2:10" x14ac:dyDescent="0.2">
      <c r="B19" s="790" t="s">
        <v>304</v>
      </c>
      <c r="C19" s="787">
        <v>13621301.949999999</v>
      </c>
      <c r="D19" s="786" t="s">
        <v>305</v>
      </c>
      <c r="E19" s="787">
        <v>14969028.680756001</v>
      </c>
      <c r="F19" s="789" t="s">
        <v>306</v>
      </c>
      <c r="G19" s="787">
        <v>16379523.159999998</v>
      </c>
      <c r="H19" s="788" t="s">
        <v>307</v>
      </c>
      <c r="I19" s="787">
        <v>18577263.48</v>
      </c>
      <c r="J19" s="515"/>
    </row>
    <row r="20" spans="2:10" x14ac:dyDescent="0.2">
      <c r="B20" s="790" t="s">
        <v>308</v>
      </c>
      <c r="C20" s="787">
        <v>13925725.6516</v>
      </c>
      <c r="D20" s="786" t="s">
        <v>309</v>
      </c>
      <c r="E20" s="787">
        <v>15016413.851820258</v>
      </c>
      <c r="F20" s="789" t="s">
        <v>310</v>
      </c>
      <c r="G20" s="787">
        <v>16553181.857891716</v>
      </c>
      <c r="H20" s="790" t="s">
        <v>311</v>
      </c>
      <c r="I20" s="787">
        <v>18728375.258694019</v>
      </c>
      <c r="J20" s="515"/>
    </row>
    <row r="21" spans="2:10" x14ac:dyDescent="0.2">
      <c r="B21" s="789" t="s">
        <v>312</v>
      </c>
      <c r="C21" s="787">
        <v>14032949.92</v>
      </c>
      <c r="D21" s="789" t="s">
        <v>313</v>
      </c>
      <c r="E21" s="787">
        <v>15077804.041620001</v>
      </c>
      <c r="F21" s="790" t="s">
        <v>314</v>
      </c>
      <c r="G21" s="787">
        <v>16590760.577996613</v>
      </c>
      <c r="H21" s="788" t="s">
        <v>315</v>
      </c>
      <c r="I21" s="787">
        <v>19353299.849999998</v>
      </c>
      <c r="J21" s="515"/>
    </row>
    <row r="22" spans="2:10" x14ac:dyDescent="0.2">
      <c r="B22" s="789" t="s">
        <v>316</v>
      </c>
      <c r="C22" s="787">
        <v>14189419.83</v>
      </c>
      <c r="D22" s="789" t="s">
        <v>317</v>
      </c>
      <c r="E22" s="787">
        <v>15176419.100000001</v>
      </c>
      <c r="F22" s="786" t="s">
        <v>318</v>
      </c>
      <c r="G22" s="787">
        <v>16686329.729999999</v>
      </c>
      <c r="H22" s="788" t="s">
        <v>319</v>
      </c>
      <c r="I22" s="787">
        <v>19481450.321269371</v>
      </c>
      <c r="J22" s="515"/>
    </row>
    <row r="23" spans="2:10" x14ac:dyDescent="0.2">
      <c r="B23" s="786" t="s">
        <v>320</v>
      </c>
      <c r="C23" s="787">
        <v>14231044.66</v>
      </c>
      <c r="D23" s="786" t="s">
        <v>321</v>
      </c>
      <c r="E23" s="787">
        <v>15187168.289077807</v>
      </c>
      <c r="F23" s="790" t="s">
        <v>322</v>
      </c>
      <c r="G23" s="787">
        <v>16701386.796254</v>
      </c>
      <c r="H23" s="788" t="s">
        <v>323</v>
      </c>
      <c r="I23" s="787">
        <v>19661405.159099996</v>
      </c>
      <c r="J23" s="515"/>
    </row>
    <row r="24" spans="2:10" x14ac:dyDescent="0.2">
      <c r="B24" s="789" t="s">
        <v>324</v>
      </c>
      <c r="C24" s="787">
        <v>14261991.7149</v>
      </c>
      <c r="D24" s="790" t="s">
        <v>325</v>
      </c>
      <c r="E24" s="787">
        <v>15269362.011053002</v>
      </c>
      <c r="F24" s="786" t="s">
        <v>326</v>
      </c>
      <c r="G24" s="787">
        <v>16708052.818849999</v>
      </c>
      <c r="H24" s="788" t="s">
        <v>327</v>
      </c>
      <c r="I24" s="787">
        <v>19664058.609999999</v>
      </c>
      <c r="J24" s="515"/>
    </row>
    <row r="25" spans="2:10" x14ac:dyDescent="0.2">
      <c r="B25" s="786" t="s">
        <v>328</v>
      </c>
      <c r="C25" s="787">
        <v>14275293.41</v>
      </c>
      <c r="D25" s="790" t="s">
        <v>329</v>
      </c>
      <c r="E25" s="787">
        <v>15285765.959005743</v>
      </c>
      <c r="F25" s="786" t="s">
        <v>330</v>
      </c>
      <c r="G25" s="787">
        <v>16708349.158282166</v>
      </c>
      <c r="H25" s="788" t="s">
        <v>331</v>
      </c>
      <c r="I25" s="787">
        <v>19667098.419999998</v>
      </c>
      <c r="J25" s="515"/>
    </row>
    <row r="26" spans="2:10" x14ac:dyDescent="0.2">
      <c r="B26" s="786" t="s">
        <v>332</v>
      </c>
      <c r="C26" s="787">
        <v>14315020.859999999</v>
      </c>
      <c r="D26" s="789" t="s">
        <v>333</v>
      </c>
      <c r="E26" s="787">
        <v>15301048.23</v>
      </c>
      <c r="F26" s="786" t="s">
        <v>334</v>
      </c>
      <c r="G26" s="787">
        <v>16710915.369999999</v>
      </c>
      <c r="H26" s="788" t="s">
        <v>335</v>
      </c>
      <c r="I26" s="787">
        <v>19878921.599999998</v>
      </c>
      <c r="J26" s="515"/>
    </row>
    <row r="27" spans="2:10" x14ac:dyDescent="0.2">
      <c r="B27" s="789" t="s">
        <v>336</v>
      </c>
      <c r="C27" s="787">
        <v>14325029.304391</v>
      </c>
      <c r="D27" s="789" t="s">
        <v>337</v>
      </c>
      <c r="E27" s="787">
        <v>15381044.64521</v>
      </c>
      <c r="F27" s="789" t="s">
        <v>338</v>
      </c>
      <c r="G27" s="787">
        <v>16774606.08</v>
      </c>
      <c r="H27" s="788" t="s">
        <v>339</v>
      </c>
      <c r="I27" s="787">
        <v>20050342.48</v>
      </c>
      <c r="J27" s="515"/>
    </row>
    <row r="28" spans="2:10" x14ac:dyDescent="0.2">
      <c r="B28" s="786" t="s">
        <v>340</v>
      </c>
      <c r="C28" s="787">
        <v>14379977.777999999</v>
      </c>
      <c r="D28" s="789" t="s">
        <v>341</v>
      </c>
      <c r="E28" s="787">
        <v>15401820.369999999</v>
      </c>
      <c r="F28" s="786" t="s">
        <v>342</v>
      </c>
      <c r="G28" s="787">
        <v>16804953.34</v>
      </c>
      <c r="H28" s="788" t="s">
        <v>343</v>
      </c>
      <c r="I28" s="787">
        <v>20077998.356498003</v>
      </c>
      <c r="J28" s="515"/>
    </row>
    <row r="29" spans="2:10" x14ac:dyDescent="0.2">
      <c r="B29" s="789" t="s">
        <v>344</v>
      </c>
      <c r="C29" s="787">
        <v>14397153.609999999</v>
      </c>
      <c r="D29" s="786" t="s">
        <v>345</v>
      </c>
      <c r="E29" s="787">
        <v>15412186.68</v>
      </c>
      <c r="F29" s="789" t="s">
        <v>346</v>
      </c>
      <c r="G29" s="787">
        <v>17264814.59</v>
      </c>
      <c r="H29" s="788" t="s">
        <v>347</v>
      </c>
      <c r="I29" s="787">
        <v>20103852.542633999</v>
      </c>
      <c r="J29" s="515"/>
    </row>
    <row r="30" spans="2:10" x14ac:dyDescent="0.2">
      <c r="B30" s="789" t="s">
        <v>348</v>
      </c>
      <c r="C30" s="787">
        <v>14401253.280000001</v>
      </c>
      <c r="D30" s="786" t="s">
        <v>349</v>
      </c>
      <c r="E30" s="787">
        <v>15495250.050000001</v>
      </c>
      <c r="F30" s="790" t="s">
        <v>350</v>
      </c>
      <c r="G30" s="787">
        <v>17309380.59</v>
      </c>
      <c r="H30" s="788" t="s">
        <v>351</v>
      </c>
      <c r="I30" s="787">
        <v>20156456.619999997</v>
      </c>
      <c r="J30" s="515"/>
    </row>
    <row r="31" spans="2:10" x14ac:dyDescent="0.2">
      <c r="B31" s="789" t="s">
        <v>352</v>
      </c>
      <c r="C31" s="787">
        <v>14452668.02</v>
      </c>
      <c r="D31" s="789" t="s">
        <v>353</v>
      </c>
      <c r="E31" s="787">
        <v>15547543.850000001</v>
      </c>
      <c r="F31" s="789" t="s">
        <v>354</v>
      </c>
      <c r="G31" s="787">
        <v>17326611.672388487</v>
      </c>
      <c r="H31" s="788" t="s">
        <v>355</v>
      </c>
      <c r="I31" s="787">
        <v>20219113.609999999</v>
      </c>
      <c r="J31" s="515"/>
    </row>
    <row r="32" spans="2:10" x14ac:dyDescent="0.2">
      <c r="B32" s="790" t="s">
        <v>356</v>
      </c>
      <c r="C32" s="787">
        <v>14463639.93</v>
      </c>
      <c r="D32" s="786" t="s">
        <v>357</v>
      </c>
      <c r="E32" s="787">
        <v>15622868.66</v>
      </c>
      <c r="F32" s="790" t="s">
        <v>358</v>
      </c>
      <c r="G32" s="787">
        <v>17502908.710000001</v>
      </c>
      <c r="H32" s="788" t="s">
        <v>359</v>
      </c>
      <c r="I32" s="787">
        <v>20238954.513</v>
      </c>
      <c r="J32" s="515"/>
    </row>
    <row r="33" spans="2:10" x14ac:dyDescent="0.2">
      <c r="B33" s="790" t="s">
        <v>360</v>
      </c>
      <c r="C33" s="787">
        <v>14470448.540000001</v>
      </c>
      <c r="D33" s="789" t="s">
        <v>361</v>
      </c>
      <c r="E33" s="787">
        <v>15636274.029739005</v>
      </c>
      <c r="F33" s="786" t="s">
        <v>362</v>
      </c>
      <c r="G33" s="787">
        <v>17567835.690000001</v>
      </c>
      <c r="H33" s="788" t="s">
        <v>363</v>
      </c>
      <c r="I33" s="787">
        <v>20437551.590970002</v>
      </c>
      <c r="J33" s="515"/>
    </row>
    <row r="34" spans="2:10" x14ac:dyDescent="0.2">
      <c r="B34" s="790" t="s">
        <v>364</v>
      </c>
      <c r="C34" s="787">
        <v>14497262.369999999</v>
      </c>
      <c r="D34" s="789" t="s">
        <v>365</v>
      </c>
      <c r="E34" s="787">
        <v>15683038.34</v>
      </c>
      <c r="F34" s="789" t="s">
        <v>366</v>
      </c>
      <c r="G34" s="787">
        <v>17609345.43</v>
      </c>
      <c r="H34" s="788" t="s">
        <v>367</v>
      </c>
      <c r="I34" s="787">
        <v>20524877.23</v>
      </c>
      <c r="J34" s="515"/>
    </row>
    <row r="35" spans="2:10" x14ac:dyDescent="0.2">
      <c r="B35" s="786" t="s">
        <v>368</v>
      </c>
      <c r="C35" s="787">
        <v>14550142.923020002</v>
      </c>
      <c r="D35" s="789" t="s">
        <v>369</v>
      </c>
      <c r="E35" s="787">
        <v>15748089.349450001</v>
      </c>
      <c r="F35" s="790" t="s">
        <v>370</v>
      </c>
      <c r="G35" s="787">
        <v>17633486.812399998</v>
      </c>
      <c r="H35" s="788" t="s">
        <v>371</v>
      </c>
      <c r="I35" s="787">
        <v>20811741.748199999</v>
      </c>
      <c r="J35" s="515"/>
    </row>
    <row r="36" spans="2:10" x14ac:dyDescent="0.2">
      <c r="B36" s="790" t="s">
        <v>372</v>
      </c>
      <c r="C36" s="787">
        <v>14561831.641099997</v>
      </c>
      <c r="D36" s="789" t="s">
        <v>373</v>
      </c>
      <c r="E36" s="787">
        <v>15758011.33</v>
      </c>
      <c r="F36" s="790" t="s">
        <v>374</v>
      </c>
      <c r="G36" s="787">
        <v>17771679.620000001</v>
      </c>
      <c r="H36" s="788" t="s">
        <v>375</v>
      </c>
      <c r="I36" s="787">
        <v>21239545.866999999</v>
      </c>
      <c r="J36" s="515"/>
    </row>
    <row r="37" spans="2:10" x14ac:dyDescent="0.2">
      <c r="B37" s="789" t="s">
        <v>376</v>
      </c>
      <c r="C37" s="787">
        <v>14607590.370000001</v>
      </c>
      <c r="D37" s="790" t="s">
        <v>377</v>
      </c>
      <c r="E37" s="787">
        <v>15774969.868452001</v>
      </c>
      <c r="F37" s="788" t="s">
        <v>378</v>
      </c>
      <c r="G37" s="787">
        <v>17805492.899999999</v>
      </c>
      <c r="H37" s="788" t="s">
        <v>379</v>
      </c>
      <c r="I37" s="787">
        <v>21744464.640000001</v>
      </c>
      <c r="J37" s="515"/>
    </row>
    <row r="38" spans="2:10" x14ac:dyDescent="0.2">
      <c r="B38" s="790" t="s">
        <v>380</v>
      </c>
      <c r="C38" s="787">
        <v>14608518.360000001</v>
      </c>
      <c r="D38" s="789" t="s">
        <v>381</v>
      </c>
      <c r="E38" s="787">
        <v>15810906.49</v>
      </c>
      <c r="F38" s="790" t="s">
        <v>382</v>
      </c>
      <c r="G38" s="787">
        <v>17959423.102491997</v>
      </c>
      <c r="H38" s="788" t="s">
        <v>383</v>
      </c>
      <c r="I38" s="787">
        <v>21764978.050000001</v>
      </c>
      <c r="J38" s="515"/>
    </row>
    <row r="39" spans="2:10" x14ac:dyDescent="0.2">
      <c r="B39" s="790" t="s">
        <v>384</v>
      </c>
      <c r="C39" s="787">
        <v>14621069.789999999</v>
      </c>
      <c r="D39" s="786" t="s">
        <v>385</v>
      </c>
      <c r="E39" s="787">
        <v>15831167.129999999</v>
      </c>
      <c r="F39" s="788" t="s">
        <v>386</v>
      </c>
      <c r="G39" s="787">
        <v>18046844.399999999</v>
      </c>
      <c r="H39" s="788" t="s">
        <v>387</v>
      </c>
      <c r="I39" s="787">
        <v>21851520.649999999</v>
      </c>
      <c r="J39" s="515"/>
    </row>
    <row r="40" spans="2:10" x14ac:dyDescent="0.2">
      <c r="B40" s="786" t="s">
        <v>388</v>
      </c>
      <c r="C40" s="787">
        <v>14622897.859999999</v>
      </c>
      <c r="D40" s="789" t="s">
        <v>389</v>
      </c>
      <c r="E40" s="787">
        <v>15840370.5626</v>
      </c>
      <c r="F40" s="790" t="s">
        <v>390</v>
      </c>
      <c r="G40" s="787">
        <v>18117945.16894</v>
      </c>
      <c r="H40" s="788" t="s">
        <v>391</v>
      </c>
      <c r="I40" s="787">
        <v>21962594.901799999</v>
      </c>
      <c r="J40" s="515"/>
    </row>
    <row r="41" spans="2:10" x14ac:dyDescent="0.2">
      <c r="B41" s="790" t="s">
        <v>392</v>
      </c>
      <c r="C41" s="787">
        <v>14660940.24</v>
      </c>
      <c r="D41" s="790" t="s">
        <v>393</v>
      </c>
      <c r="E41" s="787">
        <v>15890996.970000001</v>
      </c>
      <c r="F41" s="790" t="s">
        <v>394</v>
      </c>
      <c r="G41" s="787">
        <v>18155599.109999999</v>
      </c>
      <c r="H41" s="788" t="s">
        <v>395</v>
      </c>
      <c r="I41" s="787">
        <v>22597983.941599999</v>
      </c>
      <c r="J41" s="515"/>
    </row>
    <row r="42" spans="2:10" x14ac:dyDescent="0.2">
      <c r="B42" s="789" t="s">
        <v>396</v>
      </c>
      <c r="C42" s="787">
        <v>14663820.33</v>
      </c>
      <c r="D42" s="790" t="s">
        <v>397</v>
      </c>
      <c r="E42" s="787">
        <v>15902024.119999999</v>
      </c>
      <c r="F42" s="788" t="s">
        <v>398</v>
      </c>
      <c r="G42" s="787">
        <v>18157595.420000002</v>
      </c>
      <c r="H42" s="788" t="s">
        <v>399</v>
      </c>
      <c r="I42" s="787">
        <v>22616689.791279998</v>
      </c>
      <c r="J42" s="515"/>
    </row>
    <row r="43" spans="2:10" x14ac:dyDescent="0.2">
      <c r="B43" s="790" t="s">
        <v>400</v>
      </c>
      <c r="C43" s="787">
        <v>14737358.42</v>
      </c>
      <c r="D43" s="789" t="s">
        <v>401</v>
      </c>
      <c r="E43" s="787">
        <v>16044093.470000001</v>
      </c>
      <c r="F43" s="788" t="s">
        <v>402</v>
      </c>
      <c r="G43" s="787">
        <v>18188849.137899999</v>
      </c>
      <c r="H43" s="788" t="s">
        <v>403</v>
      </c>
      <c r="I43" s="787">
        <v>23335022.759390123</v>
      </c>
      <c r="J43" s="515"/>
    </row>
    <row r="44" spans="2:10" x14ac:dyDescent="0.2">
      <c r="B44" s="723"/>
      <c r="C44" s="791"/>
      <c r="D44" s="723"/>
      <c r="E44" s="723"/>
      <c r="F44" s="723"/>
      <c r="G44" s="723"/>
      <c r="H44" s="723"/>
      <c r="I44" s="723"/>
      <c r="J44" s="515"/>
    </row>
    <row r="45" spans="2:10" x14ac:dyDescent="0.2">
      <c r="B45" s="788" t="s">
        <v>404</v>
      </c>
      <c r="C45" s="791"/>
      <c r="D45" s="723"/>
      <c r="E45" s="723"/>
      <c r="F45" s="723"/>
      <c r="G45" s="723"/>
      <c r="H45" s="723"/>
      <c r="I45" s="723"/>
      <c r="J45" s="515"/>
    </row>
    <row r="46" spans="2:10" x14ac:dyDescent="0.2">
      <c r="B46" s="789" t="s">
        <v>405</v>
      </c>
      <c r="C46" s="791"/>
      <c r="D46" s="723"/>
      <c r="E46" s="723"/>
      <c r="F46" s="723"/>
      <c r="G46" s="723"/>
      <c r="H46" s="723"/>
      <c r="I46" s="723"/>
      <c r="J46" s="515"/>
    </row>
    <row r="47" spans="2:10" x14ac:dyDescent="0.2">
      <c r="B47" s="790" t="s">
        <v>406</v>
      </c>
      <c r="C47" s="791"/>
      <c r="D47" s="723"/>
      <c r="E47" s="723"/>
      <c r="F47" s="723"/>
      <c r="G47" s="723"/>
      <c r="H47" s="723"/>
      <c r="I47" s="723"/>
      <c r="J47" s="515"/>
    </row>
    <row r="48" spans="2:10" x14ac:dyDescent="0.2">
      <c r="B48" s="786" t="s">
        <v>407</v>
      </c>
      <c r="C48" s="791"/>
      <c r="D48" s="723"/>
      <c r="E48" s="723"/>
      <c r="F48" s="723"/>
      <c r="G48" s="723"/>
      <c r="H48" s="723"/>
      <c r="I48" s="723"/>
      <c r="J48" s="515"/>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showGridLines="0" workbookViewId="0">
      <selection activeCell="O105" sqref="O105"/>
    </sheetView>
  </sheetViews>
  <sheetFormatPr defaultColWidth="10.5" defaultRowHeight="12.75" x14ac:dyDescent="0.2"/>
  <cols>
    <col min="1" max="1" width="13.6640625" style="1" customWidth="1"/>
    <col min="2" max="2" width="14" style="1" customWidth="1"/>
    <col min="3" max="3" width="13.33203125" style="1" customWidth="1"/>
    <col min="4" max="4" width="13.33203125" style="536" customWidth="1"/>
    <col min="5" max="9" width="13.33203125" style="1" customWidth="1"/>
    <col min="10" max="10" width="11.33203125" style="1" bestFit="1" customWidth="1"/>
    <col min="11" max="11" width="6.6640625" style="1" customWidth="1"/>
    <col min="12" max="12" width="11.33203125" style="1" bestFit="1" customWidth="1"/>
    <col min="13" max="13" width="5.5" style="1" bestFit="1" customWidth="1"/>
    <col min="14" max="14" width="11.33203125" style="1" bestFit="1" customWidth="1"/>
    <col min="15" max="15" width="7.83203125" style="1" customWidth="1"/>
    <col min="16" max="16" width="11.33203125" style="1" bestFit="1" customWidth="1"/>
    <col min="17" max="17" width="5.5" style="1" bestFit="1" customWidth="1"/>
    <col min="18" max="18" width="11.33203125" style="1" bestFit="1" customWidth="1"/>
    <col min="19" max="19" width="5.5" style="1" bestFit="1" customWidth="1"/>
    <col min="20" max="20" width="11.33203125" style="1" bestFit="1" customWidth="1"/>
    <col min="21" max="21" width="8.1640625" style="1" customWidth="1"/>
    <col min="22" max="22" width="11.33203125" style="1" bestFit="1" customWidth="1"/>
    <col min="23" max="23" width="4.5" style="1" bestFit="1" customWidth="1"/>
    <col min="24" max="24" width="11.33203125" style="1" bestFit="1" customWidth="1"/>
    <col min="25" max="25" width="6.5" style="1" bestFit="1" customWidth="1"/>
    <col min="26" max="27" width="11.33203125" style="1" bestFit="1" customWidth="1"/>
    <col min="28" max="29" width="10.5" style="1"/>
    <col min="30" max="31" width="1.83203125" style="1" bestFit="1" customWidth="1"/>
    <col min="32" max="16384" width="10.5" style="1"/>
  </cols>
  <sheetData>
    <row r="1" spans="1:9" s="536" customFormat="1" x14ac:dyDescent="0.2">
      <c r="A1" s="758" t="s">
        <v>272</v>
      </c>
    </row>
    <row r="2" spans="1:9" s="536" customFormat="1" x14ac:dyDescent="0.2"/>
    <row r="3" spans="1:9" s="536" customFormat="1" x14ac:dyDescent="0.2"/>
    <row r="4" spans="1:9" s="536" customFormat="1" x14ac:dyDescent="0.2"/>
    <row r="5" spans="1:9" s="536" customFormat="1" x14ac:dyDescent="0.2"/>
    <row r="6" spans="1:9" s="536" customFormat="1" x14ac:dyDescent="0.2"/>
    <row r="7" spans="1:9" s="536" customFormat="1" x14ac:dyDescent="0.2"/>
    <row r="8" spans="1:9" s="536" customFormat="1" x14ac:dyDescent="0.2"/>
    <row r="9" spans="1:9" s="536" customFormat="1" x14ac:dyDescent="0.2"/>
    <row r="11" spans="1:9" ht="23.25" x14ac:dyDescent="0.2">
      <c r="B11" s="133" t="s">
        <v>103</v>
      </c>
    </row>
    <row r="12" spans="1:9" x14ac:dyDescent="0.2">
      <c r="B12" s="64"/>
      <c r="C12" s="145" t="s">
        <v>30</v>
      </c>
      <c r="D12" s="145"/>
      <c r="E12" s="145"/>
      <c r="F12" s="145"/>
      <c r="G12" s="145"/>
    </row>
    <row r="13" spans="1:9" x14ac:dyDescent="0.2">
      <c r="B13" s="916" t="str">
        <f>+'11. Final Load Forecast'!B14</f>
        <v>Residential</v>
      </c>
      <c r="C13" s="917"/>
      <c r="D13" s="917"/>
      <c r="E13" s="917"/>
      <c r="F13" s="917"/>
      <c r="G13" s="917"/>
      <c r="H13" s="917"/>
      <c r="I13" s="917"/>
    </row>
    <row r="14" spans="1:9" x14ac:dyDescent="0.2">
      <c r="B14" s="805" t="s">
        <v>33</v>
      </c>
      <c r="C14" s="805" t="s">
        <v>49</v>
      </c>
      <c r="D14" s="805" t="s">
        <v>281</v>
      </c>
      <c r="E14" s="805" t="s">
        <v>62</v>
      </c>
      <c r="F14" s="93" t="s">
        <v>36</v>
      </c>
      <c r="G14" s="805" t="s">
        <v>62</v>
      </c>
      <c r="H14" s="93" t="s">
        <v>37</v>
      </c>
      <c r="I14" s="805" t="s">
        <v>62</v>
      </c>
    </row>
    <row r="15" spans="1:9" x14ac:dyDescent="0.2">
      <c r="B15" s="805">
        <v>2005</v>
      </c>
      <c r="C15" s="95">
        <f>'11. Final Load Forecast'!$D$14</f>
        <v>8625</v>
      </c>
      <c r="D15" s="95"/>
      <c r="E15" s="95"/>
      <c r="F15" s="95">
        <f>+'11. Final Load Forecast'!$D$15</f>
        <v>76867401</v>
      </c>
      <c r="G15" s="95"/>
      <c r="H15" s="95">
        <f>+'11. Final Load Forecast'!$D$16</f>
        <v>0</v>
      </c>
      <c r="I15" s="95"/>
    </row>
    <row r="16" spans="1:9" x14ac:dyDescent="0.2">
      <c r="B16" s="805">
        <v>2006</v>
      </c>
      <c r="C16" s="95">
        <f>'11. Final Load Forecast'!$E$14</f>
        <v>8696</v>
      </c>
      <c r="D16" s="95">
        <f t="shared" ref="D16:D25" si="0">C16-C15</f>
        <v>71</v>
      </c>
      <c r="E16" s="187">
        <f t="shared" ref="E16:E26" si="1">(C16-C15)/C15</f>
        <v>8.2318840579710152E-3</v>
      </c>
      <c r="F16" s="95">
        <f>+'11. Final Load Forecast'!$E$15</f>
        <v>80301785</v>
      </c>
      <c r="G16" s="187">
        <f t="shared" ref="G16:G26" si="2">(F16-F15)/F15</f>
        <v>4.4679330318453205E-2</v>
      </c>
      <c r="H16" s="95">
        <f>+'11. Final Load Forecast'!$E$16</f>
        <v>0</v>
      </c>
      <c r="I16" s="187" t="e">
        <f t="shared" ref="I16:I26" si="3">(H16-H15)/H15</f>
        <v>#DIV/0!</v>
      </c>
    </row>
    <row r="17" spans="2:31" x14ac:dyDescent="0.2">
      <c r="B17" s="805">
        <v>2007</v>
      </c>
      <c r="C17" s="95">
        <f>'11. Final Load Forecast'!$F$14</f>
        <v>8809</v>
      </c>
      <c r="D17" s="95">
        <f t="shared" si="0"/>
        <v>113</v>
      </c>
      <c r="E17" s="187">
        <f t="shared" si="1"/>
        <v>1.2994480220791168E-2</v>
      </c>
      <c r="F17" s="95">
        <f>+'11. Final Load Forecast'!$F$15</f>
        <v>78894594</v>
      </c>
      <c r="G17" s="187">
        <f t="shared" si="2"/>
        <v>-1.7523782316918608E-2</v>
      </c>
      <c r="H17" s="95">
        <f>+'11. Final Load Forecast'!$F$16</f>
        <v>0</v>
      </c>
      <c r="I17" s="187" t="e">
        <f t="shared" si="3"/>
        <v>#DIV/0!</v>
      </c>
    </row>
    <row r="18" spans="2:31" x14ac:dyDescent="0.2">
      <c r="B18" s="805">
        <v>2008</v>
      </c>
      <c r="C18" s="95">
        <f>'11. Final Load Forecast'!$G$14</f>
        <v>8809</v>
      </c>
      <c r="D18" s="95">
        <f t="shared" si="0"/>
        <v>0</v>
      </c>
      <c r="E18" s="187">
        <f t="shared" si="1"/>
        <v>0</v>
      </c>
      <c r="F18" s="95">
        <f>+'11. Final Load Forecast'!$G$15</f>
        <v>78894594</v>
      </c>
      <c r="G18" s="187">
        <f t="shared" si="2"/>
        <v>0</v>
      </c>
      <c r="H18" s="95">
        <f>+'11. Final Load Forecast'!$G$16</f>
        <v>0</v>
      </c>
      <c r="I18" s="187" t="e">
        <f t="shared" si="3"/>
        <v>#DIV/0!</v>
      </c>
    </row>
    <row r="19" spans="2:31" x14ac:dyDescent="0.2">
      <c r="B19" s="805">
        <v>2009</v>
      </c>
      <c r="C19" s="95">
        <f>'11. Final Load Forecast'!$H$14</f>
        <v>8941</v>
      </c>
      <c r="D19" s="95">
        <f t="shared" si="0"/>
        <v>132</v>
      </c>
      <c r="E19" s="187">
        <f t="shared" si="1"/>
        <v>1.4984674764445453E-2</v>
      </c>
      <c r="F19" s="95">
        <f>+'11. Final Load Forecast'!$H$15</f>
        <v>76058961.349999994</v>
      </c>
      <c r="G19" s="187">
        <f t="shared" si="2"/>
        <v>-3.5942039957769553E-2</v>
      </c>
      <c r="H19" s="95">
        <f>+'11. Final Load Forecast'!$H$16</f>
        <v>0</v>
      </c>
      <c r="I19" s="187" t="e">
        <f t="shared" si="3"/>
        <v>#DIV/0!</v>
      </c>
    </row>
    <row r="20" spans="2:31" x14ac:dyDescent="0.2">
      <c r="B20" s="805">
        <v>2010</v>
      </c>
      <c r="C20" s="95">
        <f>'11. Final Load Forecast'!$I$14</f>
        <v>8955</v>
      </c>
      <c r="D20" s="95">
        <f t="shared" si="0"/>
        <v>14</v>
      </c>
      <c r="E20" s="187">
        <f t="shared" si="1"/>
        <v>1.5658203780337769E-3</v>
      </c>
      <c r="F20" s="95">
        <f>+'11. Final Load Forecast'!$I$15</f>
        <v>75301012.150000006</v>
      </c>
      <c r="G20" s="187">
        <f t="shared" si="2"/>
        <v>-9.9652846495252353E-3</v>
      </c>
      <c r="H20" s="95">
        <f>+'11. Final Load Forecast'!$I$16</f>
        <v>0</v>
      </c>
      <c r="I20" s="187" t="e">
        <f t="shared" si="3"/>
        <v>#DIV/0!</v>
      </c>
    </row>
    <row r="21" spans="2:31" x14ac:dyDescent="0.2">
      <c r="B21" s="805">
        <v>2011</v>
      </c>
      <c r="C21" s="95">
        <f>'11. Final Load Forecast'!$J$14</f>
        <v>9030</v>
      </c>
      <c r="D21" s="95">
        <f t="shared" si="0"/>
        <v>75</v>
      </c>
      <c r="E21" s="187">
        <f t="shared" si="1"/>
        <v>8.3752093802345051E-3</v>
      </c>
      <c r="F21" s="95">
        <f>+'11. Final Load Forecast'!$J$15</f>
        <v>79270519.859999999</v>
      </c>
      <c r="G21" s="187">
        <f t="shared" si="2"/>
        <v>5.2715197268433968E-2</v>
      </c>
      <c r="H21" s="95">
        <f>+'11. Final Load Forecast'!$J$16</f>
        <v>0</v>
      </c>
      <c r="I21" s="187" t="e">
        <f t="shared" si="3"/>
        <v>#DIV/0!</v>
      </c>
    </row>
    <row r="22" spans="2:31" x14ac:dyDescent="0.2">
      <c r="B22" s="805">
        <v>2012</v>
      </c>
      <c r="C22" s="95">
        <f>'11. Final Load Forecast'!$K$14</f>
        <v>9086.5</v>
      </c>
      <c r="D22" s="95">
        <f t="shared" si="0"/>
        <v>56.5</v>
      </c>
      <c r="E22" s="187">
        <f t="shared" si="1"/>
        <v>6.2569213732004431E-3</v>
      </c>
      <c r="F22" s="95">
        <f>+'11. Final Load Forecast'!$K$15</f>
        <v>78553743.920000002</v>
      </c>
      <c r="G22" s="187">
        <f t="shared" si="2"/>
        <v>-9.0421501116165082E-3</v>
      </c>
      <c r="H22" s="95">
        <f>+'11. Final Load Forecast'!$K$16</f>
        <v>0</v>
      </c>
      <c r="I22" s="187" t="e">
        <f t="shared" si="3"/>
        <v>#DIV/0!</v>
      </c>
    </row>
    <row r="23" spans="2:31" x14ac:dyDescent="0.2">
      <c r="B23" s="805">
        <v>2013</v>
      </c>
      <c r="C23" s="95">
        <f>'11. Final Load Forecast'!$L$14</f>
        <v>9195</v>
      </c>
      <c r="D23" s="95">
        <f t="shared" si="0"/>
        <v>108.5</v>
      </c>
      <c r="E23" s="187">
        <f t="shared" si="1"/>
        <v>1.194079128377263E-2</v>
      </c>
      <c r="F23" s="95">
        <f>+'11. Final Load Forecast'!$L$15</f>
        <v>80138213.859999999</v>
      </c>
      <c r="G23" s="187">
        <f t="shared" si="2"/>
        <v>2.0170520982598094E-2</v>
      </c>
      <c r="H23" s="95">
        <f>+'11. Final Load Forecast'!$L$16</f>
        <v>0</v>
      </c>
      <c r="I23" s="187" t="e">
        <f t="shared" si="3"/>
        <v>#DIV/0!</v>
      </c>
    </row>
    <row r="24" spans="2:31" x14ac:dyDescent="0.2">
      <c r="B24" s="805">
        <v>2014</v>
      </c>
      <c r="C24" s="95">
        <f>'11. Final Load Forecast'!$M$14</f>
        <v>9305</v>
      </c>
      <c r="D24" s="95">
        <f t="shared" si="0"/>
        <v>110</v>
      </c>
      <c r="E24" s="187">
        <f t="shared" si="1"/>
        <v>1.1963023382272975E-2</v>
      </c>
      <c r="F24" s="95">
        <f>+'11. Final Load Forecast'!$M$15</f>
        <v>79483998.230000004</v>
      </c>
      <c r="G24" s="187">
        <f t="shared" si="2"/>
        <v>-8.1635913565892299E-3</v>
      </c>
      <c r="H24" s="95">
        <f>+'11. Final Load Forecast'!$M$16</f>
        <v>0</v>
      </c>
      <c r="I24" s="187" t="e">
        <f t="shared" si="3"/>
        <v>#DIV/0!</v>
      </c>
    </row>
    <row r="25" spans="2:31" x14ac:dyDescent="0.2">
      <c r="B25" s="805">
        <v>2015</v>
      </c>
      <c r="C25" s="95">
        <f>'11. Final Load Forecast'!$N$14</f>
        <v>9383.7903594694271</v>
      </c>
      <c r="D25" s="95">
        <f t="shared" si="0"/>
        <v>78.790359469427131</v>
      </c>
      <c r="E25" s="188">
        <f t="shared" si="1"/>
        <v>8.4675292283102766E-3</v>
      </c>
      <c r="F25" s="95">
        <f>+'11. Final Load Forecast'!$N$15</f>
        <v>78438793.189758614</v>
      </c>
      <c r="G25" s="188">
        <f t="shared" si="2"/>
        <v>-1.3149880020088043E-2</v>
      </c>
      <c r="H25" s="95">
        <f>+'11. Final Load Forecast'!$N$16</f>
        <v>0</v>
      </c>
      <c r="I25" s="188" t="e">
        <f t="shared" si="3"/>
        <v>#DIV/0!</v>
      </c>
      <c r="AD25" s="1" t="s">
        <v>30</v>
      </c>
      <c r="AE25" s="1" t="s">
        <v>30</v>
      </c>
    </row>
    <row r="26" spans="2:31" x14ac:dyDescent="0.2">
      <c r="B26" s="805">
        <v>2016</v>
      </c>
      <c r="C26" s="95">
        <f>'11. Final Load Forecast'!$O$14</f>
        <v>9463.2478786105712</v>
      </c>
      <c r="D26" s="95">
        <f>C26-C25</f>
        <v>79.457519141144076</v>
      </c>
      <c r="E26" s="188">
        <f t="shared" si="1"/>
        <v>8.4675292283103304E-3</v>
      </c>
      <c r="F26" s="95">
        <f>+'11. Final Load Forecast'!$O$15</f>
        <v>76920584.739168555</v>
      </c>
      <c r="G26" s="188">
        <f t="shared" si="2"/>
        <v>-1.9355326476240133E-2</v>
      </c>
      <c r="H26" s="95">
        <f>+'11. Final Load Forecast'!$O$16</f>
        <v>0</v>
      </c>
      <c r="I26" s="188" t="e">
        <f t="shared" si="3"/>
        <v>#DIV/0!</v>
      </c>
    </row>
    <row r="28" spans="2:31" x14ac:dyDescent="0.2">
      <c r="C28" s="145"/>
      <c r="D28" s="145"/>
      <c r="E28" s="145"/>
      <c r="F28" s="145"/>
      <c r="G28" s="145"/>
    </row>
    <row r="29" spans="2:31" x14ac:dyDescent="0.2">
      <c r="B29" s="916" t="str">
        <f>+'11. Final Load Forecast'!B18</f>
        <v>General Service &lt; 50 kW</v>
      </c>
      <c r="C29" s="917"/>
      <c r="D29" s="917"/>
      <c r="E29" s="917"/>
      <c r="F29" s="917"/>
      <c r="G29" s="917"/>
      <c r="H29" s="917"/>
      <c r="I29" s="917"/>
    </row>
    <row r="30" spans="2:31" x14ac:dyDescent="0.2">
      <c r="B30" s="805" t="s">
        <v>33</v>
      </c>
      <c r="C30" s="805" t="s">
        <v>49</v>
      </c>
      <c r="D30" s="805" t="s">
        <v>281</v>
      </c>
      <c r="E30" s="805" t="s">
        <v>62</v>
      </c>
      <c r="F30" s="93" t="s">
        <v>36</v>
      </c>
      <c r="G30" s="805" t="s">
        <v>62</v>
      </c>
      <c r="H30" s="93" t="s">
        <v>37</v>
      </c>
      <c r="I30" s="805" t="s">
        <v>62</v>
      </c>
    </row>
    <row r="31" spans="2:31" x14ac:dyDescent="0.2">
      <c r="B31" s="805">
        <v>2005</v>
      </c>
      <c r="C31" s="95">
        <f>'11. Final Load Forecast'!$D$18</f>
        <v>1496</v>
      </c>
      <c r="D31" s="95"/>
      <c r="E31" s="95"/>
      <c r="F31" s="95">
        <f>+'11. Final Load Forecast'!$D$19</f>
        <v>43814909</v>
      </c>
      <c r="G31" s="95"/>
      <c r="H31" s="95">
        <f>+'11. Final Load Forecast'!$D$20</f>
        <v>0</v>
      </c>
      <c r="I31" s="95"/>
    </row>
    <row r="32" spans="2:31" x14ac:dyDescent="0.2">
      <c r="B32" s="805">
        <v>2006</v>
      </c>
      <c r="C32" s="95">
        <f>'11. Final Load Forecast'!$E$18</f>
        <v>1449</v>
      </c>
      <c r="D32" s="95">
        <f t="shared" ref="D32:D41" si="4">C32-C31</f>
        <v>-47</v>
      </c>
      <c r="E32" s="187">
        <f t="shared" ref="E32:E42" si="5">(C32-C31)/C31</f>
        <v>-3.1417112299465241E-2</v>
      </c>
      <c r="F32" s="95">
        <f>+'11. Final Load Forecast'!$E$19</f>
        <v>39580098</v>
      </c>
      <c r="G32" s="187">
        <f t="shared" ref="G32:G42" si="6">(F32-F31)/F31</f>
        <v>-9.6652283358616586E-2</v>
      </c>
      <c r="H32" s="95">
        <f>+'11. Final Load Forecast'!$E$20</f>
        <v>0</v>
      </c>
      <c r="I32" s="187" t="e">
        <f t="shared" ref="I32:I42" si="7">(H32-H31)/H31</f>
        <v>#DIV/0!</v>
      </c>
    </row>
    <row r="33" spans="2:10" x14ac:dyDescent="0.2">
      <c r="B33" s="805">
        <v>2007</v>
      </c>
      <c r="C33" s="95">
        <f>'11. Final Load Forecast'!$F$18</f>
        <v>1442</v>
      </c>
      <c r="D33" s="95">
        <f t="shared" si="4"/>
        <v>-7</v>
      </c>
      <c r="E33" s="187">
        <f t="shared" si="5"/>
        <v>-4.830917874396135E-3</v>
      </c>
      <c r="F33" s="95">
        <f>+'11. Final Load Forecast'!$F$19</f>
        <v>35721757</v>
      </c>
      <c r="G33" s="187">
        <f t="shared" si="6"/>
        <v>-9.7481845547729568E-2</v>
      </c>
      <c r="H33" s="95">
        <f>+'11. Final Load Forecast'!$F$20</f>
        <v>0</v>
      </c>
      <c r="I33" s="187" t="e">
        <f t="shared" si="7"/>
        <v>#DIV/0!</v>
      </c>
    </row>
    <row r="34" spans="2:10" x14ac:dyDescent="0.2">
      <c r="B34" s="805">
        <v>2008</v>
      </c>
      <c r="C34" s="95">
        <f>'11. Final Load Forecast'!$G$18</f>
        <v>1409</v>
      </c>
      <c r="D34" s="95">
        <f t="shared" si="4"/>
        <v>-33</v>
      </c>
      <c r="E34" s="187">
        <f t="shared" si="5"/>
        <v>-2.2884882108183079E-2</v>
      </c>
      <c r="F34" s="95">
        <f>+'11. Final Load Forecast'!$G$19</f>
        <v>35801702</v>
      </c>
      <c r="G34" s="187">
        <f t="shared" si="6"/>
        <v>2.2379918210630009E-3</v>
      </c>
      <c r="H34" s="95">
        <f>+'11. Final Load Forecast'!$G$20</f>
        <v>0</v>
      </c>
      <c r="I34" s="187" t="e">
        <f t="shared" si="7"/>
        <v>#DIV/0!</v>
      </c>
    </row>
    <row r="35" spans="2:10" x14ac:dyDescent="0.2">
      <c r="B35" s="805">
        <v>2009</v>
      </c>
      <c r="C35" s="95">
        <f>'11. Final Load Forecast'!$H$18</f>
        <v>1394</v>
      </c>
      <c r="D35" s="95">
        <f t="shared" si="4"/>
        <v>-15</v>
      </c>
      <c r="E35" s="187">
        <f t="shared" si="5"/>
        <v>-1.0645848119233499E-2</v>
      </c>
      <c r="F35" s="95">
        <f>+'11. Final Load Forecast'!$H$19</f>
        <v>34198078.359999999</v>
      </c>
      <c r="G35" s="187">
        <f t="shared" si="6"/>
        <v>-4.4791826936049037E-2</v>
      </c>
      <c r="H35" s="95">
        <f>+'11. Final Load Forecast'!$H$20</f>
        <v>0</v>
      </c>
      <c r="I35" s="187" t="e">
        <f t="shared" si="7"/>
        <v>#DIV/0!</v>
      </c>
    </row>
    <row r="36" spans="2:10" x14ac:dyDescent="0.2">
      <c r="B36" s="805">
        <v>2010</v>
      </c>
      <c r="C36" s="95">
        <f>'11. Final Load Forecast'!$I$18</f>
        <v>1372</v>
      </c>
      <c r="D36" s="95">
        <f t="shared" si="4"/>
        <v>-22</v>
      </c>
      <c r="E36" s="187">
        <f t="shared" si="5"/>
        <v>-1.5781922525107604E-2</v>
      </c>
      <c r="F36" s="95">
        <f>+'11. Final Load Forecast'!$I$19</f>
        <v>33358216.629999999</v>
      </c>
      <c r="G36" s="187">
        <f t="shared" si="6"/>
        <v>-2.4558740440291816E-2</v>
      </c>
      <c r="H36" s="95">
        <f>+'11. Final Load Forecast'!$I$20</f>
        <v>0</v>
      </c>
      <c r="I36" s="187" t="e">
        <f t="shared" si="7"/>
        <v>#DIV/0!</v>
      </c>
    </row>
    <row r="37" spans="2:10" x14ac:dyDescent="0.2">
      <c r="B37" s="805">
        <v>2011</v>
      </c>
      <c r="C37" s="95">
        <f>'11. Final Load Forecast'!$J$18</f>
        <v>1370</v>
      </c>
      <c r="D37" s="95">
        <f t="shared" si="4"/>
        <v>-2</v>
      </c>
      <c r="E37" s="187">
        <f t="shared" si="5"/>
        <v>-1.4577259475218659E-3</v>
      </c>
      <c r="F37" s="95">
        <f>+'11. Final Load Forecast'!$J$19</f>
        <v>32279016.170000002</v>
      </c>
      <c r="G37" s="187">
        <f t="shared" si="6"/>
        <v>-3.2351863169730759E-2</v>
      </c>
      <c r="H37" s="95">
        <f>+'11. Final Load Forecast'!$J$20</f>
        <v>0</v>
      </c>
      <c r="I37" s="187" t="e">
        <f t="shared" si="7"/>
        <v>#DIV/0!</v>
      </c>
    </row>
    <row r="38" spans="2:10" x14ac:dyDescent="0.2">
      <c r="B38" s="805">
        <v>2012</v>
      </c>
      <c r="C38" s="95">
        <f>'11. Final Load Forecast'!$K$18</f>
        <v>1361.5</v>
      </c>
      <c r="D38" s="95">
        <f t="shared" si="4"/>
        <v>-8.5</v>
      </c>
      <c r="E38" s="187">
        <f t="shared" si="5"/>
        <v>-6.2043795620437955E-3</v>
      </c>
      <c r="F38" s="95">
        <f>+'11. Final Load Forecast'!$K$19</f>
        <v>31948521.120000001</v>
      </c>
      <c r="G38" s="187">
        <f t="shared" si="6"/>
        <v>-1.0238696503617778E-2</v>
      </c>
      <c r="H38" s="95">
        <f>+'11. Final Load Forecast'!$K$20</f>
        <v>0</v>
      </c>
      <c r="I38" s="187" t="e">
        <f t="shared" si="7"/>
        <v>#DIV/0!</v>
      </c>
    </row>
    <row r="39" spans="2:10" x14ac:dyDescent="0.2">
      <c r="B39" s="805">
        <v>2013</v>
      </c>
      <c r="C39" s="95">
        <f>+'11. Final Load Forecast'!$L$18</f>
        <v>1332.5</v>
      </c>
      <c r="D39" s="95">
        <f t="shared" si="4"/>
        <v>-29</v>
      </c>
      <c r="E39" s="187">
        <f t="shared" si="5"/>
        <v>-2.1300036724201249E-2</v>
      </c>
      <c r="F39" s="95">
        <f>+'11. Final Load Forecast'!$L$19</f>
        <v>31708039.23</v>
      </c>
      <c r="G39" s="187">
        <f t="shared" si="6"/>
        <v>-7.5271681307795251E-3</v>
      </c>
      <c r="H39" s="95">
        <f>+'11. Final Load Forecast'!$L$20</f>
        <v>0</v>
      </c>
      <c r="I39" s="187" t="e">
        <f t="shared" si="7"/>
        <v>#DIV/0!</v>
      </c>
    </row>
    <row r="40" spans="2:10" x14ac:dyDescent="0.2">
      <c r="B40" s="805">
        <v>2014</v>
      </c>
      <c r="C40" s="95">
        <f>'11. Final Load Forecast'!$M$18</f>
        <v>1318</v>
      </c>
      <c r="D40" s="95">
        <f t="shared" si="4"/>
        <v>-14.5</v>
      </c>
      <c r="E40" s="187">
        <f t="shared" si="5"/>
        <v>-1.0881801125703566E-2</v>
      </c>
      <c r="F40" s="95">
        <f>+'11. Final Load Forecast'!$M$19</f>
        <v>31649726.120000001</v>
      </c>
      <c r="G40" s="187">
        <f t="shared" si="6"/>
        <v>-1.8390638909273043E-3</v>
      </c>
      <c r="H40" s="95">
        <f>+'11. Final Load Forecast'!$M$20</f>
        <v>0</v>
      </c>
      <c r="I40" s="187" t="e">
        <f t="shared" si="7"/>
        <v>#DIV/0!</v>
      </c>
    </row>
    <row r="41" spans="2:10" x14ac:dyDescent="0.2">
      <c r="B41" s="805">
        <v>2015</v>
      </c>
      <c r="C41" s="95">
        <f>'11. Final Load Forecast'!$N$18</f>
        <v>1299.5784496245794</v>
      </c>
      <c r="D41" s="95">
        <f t="shared" si="4"/>
        <v>-18.421550375420566</v>
      </c>
      <c r="E41" s="188">
        <f t="shared" si="5"/>
        <v>-1.3976897098194663E-2</v>
      </c>
      <c r="F41" s="95">
        <f>+'11. Final Load Forecast'!$N$19</f>
        <v>34953791.57291279</v>
      </c>
      <c r="G41" s="188">
        <f t="shared" si="6"/>
        <v>0.1043947565418234</v>
      </c>
      <c r="H41" s="95">
        <f>+'11. Final Load Forecast'!$N$20</f>
        <v>0</v>
      </c>
      <c r="I41" s="188" t="e">
        <f t="shared" si="7"/>
        <v>#DIV/0!</v>
      </c>
    </row>
    <row r="42" spans="2:10" x14ac:dyDescent="0.2">
      <c r="B42" s="805">
        <v>2016</v>
      </c>
      <c r="C42" s="95">
        <f>'11. Final Load Forecast'!$O$18</f>
        <v>1281.4143753631454</v>
      </c>
      <c r="D42" s="95">
        <f>C42-C41</f>
        <v>-18.164074261434052</v>
      </c>
      <c r="E42" s="188">
        <f t="shared" si="5"/>
        <v>-1.3976897098194625E-2</v>
      </c>
      <c r="F42" s="95">
        <f>+'11. Final Load Forecast'!$O$19</f>
        <v>34277249.525436617</v>
      </c>
      <c r="G42" s="188">
        <f t="shared" si="6"/>
        <v>-1.935532647623997E-2</v>
      </c>
      <c r="H42" s="95">
        <f>+'11. Final Load Forecast'!$O$20</f>
        <v>0</v>
      </c>
      <c r="I42" s="188" t="e">
        <f t="shared" si="7"/>
        <v>#DIV/0!</v>
      </c>
    </row>
    <row r="44" spans="2:10" x14ac:dyDescent="0.2">
      <c r="C44" s="145"/>
      <c r="D44" s="145"/>
      <c r="E44" s="145"/>
      <c r="F44" s="145"/>
      <c r="G44" s="145"/>
      <c r="H44" s="145"/>
      <c r="I44" s="145"/>
      <c r="J44" s="64"/>
    </row>
    <row r="45" spans="2:10" x14ac:dyDescent="0.2">
      <c r="B45" s="916" t="str">
        <f>+'11. Final Load Forecast'!B22</f>
        <v>Unmetered Scattered Load</v>
      </c>
      <c r="C45" s="917"/>
      <c r="D45" s="917"/>
      <c r="E45" s="917"/>
      <c r="F45" s="917"/>
      <c r="G45" s="917"/>
      <c r="H45" s="917"/>
      <c r="I45" s="917"/>
    </row>
    <row r="46" spans="2:10" x14ac:dyDescent="0.2">
      <c r="B46" s="805" t="s">
        <v>33</v>
      </c>
      <c r="C46" s="805" t="s">
        <v>49</v>
      </c>
      <c r="D46" s="805" t="s">
        <v>281</v>
      </c>
      <c r="E46" s="805" t="s">
        <v>62</v>
      </c>
      <c r="F46" s="93" t="s">
        <v>36</v>
      </c>
      <c r="G46" s="805" t="s">
        <v>62</v>
      </c>
      <c r="H46" s="93" t="s">
        <v>37</v>
      </c>
      <c r="I46" s="805" t="s">
        <v>62</v>
      </c>
    </row>
    <row r="47" spans="2:10" x14ac:dyDescent="0.2">
      <c r="B47" s="805">
        <v>2005</v>
      </c>
      <c r="C47" s="95">
        <f>'11. Final Load Forecast'!$D$22</f>
        <v>17</v>
      </c>
      <c r="D47" s="95"/>
      <c r="E47" s="95"/>
      <c r="F47" s="95">
        <f>+'11. Final Load Forecast'!$D$23</f>
        <v>593390</v>
      </c>
      <c r="G47" s="95"/>
      <c r="H47" s="95">
        <f>+'11. Final Load Forecast'!$D$24</f>
        <v>0</v>
      </c>
      <c r="I47" s="95"/>
    </row>
    <row r="48" spans="2:10" x14ac:dyDescent="0.2">
      <c r="B48" s="805">
        <v>2006</v>
      </c>
      <c r="C48" s="95">
        <f>'11. Final Load Forecast'!$E$22</f>
        <v>20</v>
      </c>
      <c r="D48" s="95">
        <f t="shared" ref="D48:D57" si="8">C48-C47</f>
        <v>3</v>
      </c>
      <c r="E48" s="187">
        <f t="shared" ref="E48:E58" si="9">(C48-C47)/C47</f>
        <v>0.17647058823529413</v>
      </c>
      <c r="F48" s="95">
        <f>+'11. Final Load Forecast'!$E$23</f>
        <v>364006</v>
      </c>
      <c r="G48" s="187">
        <f t="shared" ref="G48:G58" si="10">(F48-F47)/F47</f>
        <v>-0.386565328030469</v>
      </c>
      <c r="H48" s="95">
        <f>+'11. Final Load Forecast'!$E$24</f>
        <v>0</v>
      </c>
      <c r="I48" s="187" t="e">
        <f t="shared" ref="I48:I58" si="11">(H48-H47)/H47</f>
        <v>#DIV/0!</v>
      </c>
    </row>
    <row r="49" spans="2:9" x14ac:dyDescent="0.2">
      <c r="B49" s="805">
        <v>2007</v>
      </c>
      <c r="C49" s="95">
        <f>'11. Final Load Forecast'!$F$22</f>
        <v>20</v>
      </c>
      <c r="D49" s="95">
        <f t="shared" si="8"/>
        <v>0</v>
      </c>
      <c r="E49" s="187">
        <f t="shared" si="9"/>
        <v>0</v>
      </c>
      <c r="F49" s="95">
        <f>+'11. Final Load Forecast'!$F$23</f>
        <v>348199</v>
      </c>
      <c r="G49" s="187">
        <f t="shared" si="10"/>
        <v>-4.3425108377334438E-2</v>
      </c>
      <c r="H49" s="95">
        <f>+'11. Final Load Forecast'!$F$24</f>
        <v>0</v>
      </c>
      <c r="I49" s="187" t="e">
        <f t="shared" si="11"/>
        <v>#DIV/0!</v>
      </c>
    </row>
    <row r="50" spans="2:9" x14ac:dyDescent="0.2">
      <c r="B50" s="805">
        <v>2008</v>
      </c>
      <c r="C50" s="95">
        <f>'11. Final Load Forecast'!$G$22</f>
        <v>20</v>
      </c>
      <c r="D50" s="95">
        <f t="shared" si="8"/>
        <v>0</v>
      </c>
      <c r="E50" s="187">
        <f t="shared" si="9"/>
        <v>0</v>
      </c>
      <c r="F50" s="95">
        <f>+'11. Final Load Forecast'!$G$23</f>
        <v>386944</v>
      </c>
      <c r="G50" s="187">
        <f t="shared" si="10"/>
        <v>0.11127257688850341</v>
      </c>
      <c r="H50" s="95">
        <f>+'11. Final Load Forecast'!$G$24</f>
        <v>0</v>
      </c>
      <c r="I50" s="187" t="e">
        <f t="shared" si="11"/>
        <v>#DIV/0!</v>
      </c>
    </row>
    <row r="51" spans="2:9" x14ac:dyDescent="0.2">
      <c r="B51" s="805">
        <v>2009</v>
      </c>
      <c r="C51" s="95">
        <f>'11. Final Load Forecast'!$H$22</f>
        <v>20</v>
      </c>
      <c r="D51" s="95">
        <f t="shared" si="8"/>
        <v>0</v>
      </c>
      <c r="E51" s="187">
        <f t="shared" si="9"/>
        <v>0</v>
      </c>
      <c r="F51" s="95">
        <f>+'11. Final Load Forecast'!$H$23</f>
        <v>437952.27</v>
      </c>
      <c r="G51" s="187">
        <f t="shared" si="10"/>
        <v>0.13182339046477015</v>
      </c>
      <c r="H51" s="95">
        <f>+'11. Final Load Forecast'!$H$24</f>
        <v>0</v>
      </c>
      <c r="I51" s="187" t="e">
        <f t="shared" si="11"/>
        <v>#DIV/0!</v>
      </c>
    </row>
    <row r="52" spans="2:9" x14ac:dyDescent="0.2">
      <c r="B52" s="805">
        <v>2010</v>
      </c>
      <c r="C52" s="95">
        <f>+'11. Final Load Forecast'!$I$22</f>
        <v>20</v>
      </c>
      <c r="D52" s="95">
        <f t="shared" si="8"/>
        <v>0</v>
      </c>
      <c r="E52" s="187">
        <f t="shared" si="9"/>
        <v>0</v>
      </c>
      <c r="F52" s="95">
        <f>+'11. Final Load Forecast'!$I$23</f>
        <v>458526.4</v>
      </c>
      <c r="G52" s="187">
        <f t="shared" si="10"/>
        <v>4.6978018860365775E-2</v>
      </c>
      <c r="H52" s="95">
        <f>+'11. Final Load Forecast'!$I$24</f>
        <v>0</v>
      </c>
      <c r="I52" s="187" t="e">
        <f t="shared" si="11"/>
        <v>#DIV/0!</v>
      </c>
    </row>
    <row r="53" spans="2:9" x14ac:dyDescent="0.2">
      <c r="B53" s="805">
        <v>2011</v>
      </c>
      <c r="C53" s="95">
        <f>'11. Final Load Forecast'!$J$22</f>
        <v>20</v>
      </c>
      <c r="D53" s="95">
        <f t="shared" si="8"/>
        <v>0</v>
      </c>
      <c r="E53" s="187">
        <f t="shared" si="9"/>
        <v>0</v>
      </c>
      <c r="F53" s="95">
        <f>+'11. Final Load Forecast'!$J$23</f>
        <v>469307.04</v>
      </c>
      <c r="G53" s="187">
        <f t="shared" si="10"/>
        <v>2.3511492468045361E-2</v>
      </c>
      <c r="H53" s="95">
        <f>+'11. Final Load Forecast'!$J$24</f>
        <v>0</v>
      </c>
      <c r="I53" s="187" t="e">
        <f t="shared" si="11"/>
        <v>#DIV/0!</v>
      </c>
    </row>
    <row r="54" spans="2:9" x14ac:dyDescent="0.2">
      <c r="B54" s="805">
        <v>2012</v>
      </c>
      <c r="C54" s="95">
        <f>'11. Final Load Forecast'!$K$22</f>
        <v>20</v>
      </c>
      <c r="D54" s="95">
        <f t="shared" si="8"/>
        <v>0</v>
      </c>
      <c r="E54" s="187">
        <f t="shared" si="9"/>
        <v>0</v>
      </c>
      <c r="F54" s="95">
        <f>+'11. Final Load Forecast'!$K$23</f>
        <v>448159.09</v>
      </c>
      <c r="G54" s="187">
        <f t="shared" si="10"/>
        <v>-4.5062077057271409E-2</v>
      </c>
      <c r="H54" s="95">
        <f>+'11. Final Load Forecast'!$K$24</f>
        <v>0</v>
      </c>
      <c r="I54" s="187" t="e">
        <f t="shared" si="11"/>
        <v>#DIV/0!</v>
      </c>
    </row>
    <row r="55" spans="2:9" x14ac:dyDescent="0.2">
      <c r="B55" s="805">
        <v>2013</v>
      </c>
      <c r="C55" s="95">
        <f>'11. Final Load Forecast'!$L$22</f>
        <v>20</v>
      </c>
      <c r="D55" s="95">
        <f t="shared" si="8"/>
        <v>0</v>
      </c>
      <c r="E55" s="187">
        <f t="shared" si="9"/>
        <v>0</v>
      </c>
      <c r="F55" s="95">
        <f>+'11. Final Load Forecast'!$L$23</f>
        <v>453470.7</v>
      </c>
      <c r="G55" s="187">
        <f t="shared" si="10"/>
        <v>1.1852063516105377E-2</v>
      </c>
      <c r="H55" s="95">
        <f>+'11. Final Load Forecast'!$L$24</f>
        <v>0</v>
      </c>
      <c r="I55" s="187" t="e">
        <f t="shared" si="11"/>
        <v>#DIV/0!</v>
      </c>
    </row>
    <row r="56" spans="2:9" x14ac:dyDescent="0.2">
      <c r="B56" s="805">
        <v>2014</v>
      </c>
      <c r="C56" s="95">
        <f>'11. Final Load Forecast'!$M$22</f>
        <v>20</v>
      </c>
      <c r="D56" s="95">
        <f t="shared" si="8"/>
        <v>0</v>
      </c>
      <c r="E56" s="187">
        <f t="shared" si="9"/>
        <v>0</v>
      </c>
      <c r="F56" s="95">
        <f>+'11. Final Load Forecast'!$M$23</f>
        <v>454406.25</v>
      </c>
      <c r="G56" s="187">
        <f t="shared" si="10"/>
        <v>2.0630880892635144E-3</v>
      </c>
      <c r="H56" s="95">
        <f>+'11. Final Load Forecast'!$M$24</f>
        <v>0</v>
      </c>
      <c r="I56" s="187" t="e">
        <f t="shared" si="11"/>
        <v>#DIV/0!</v>
      </c>
    </row>
    <row r="57" spans="2:9" x14ac:dyDescent="0.2">
      <c r="B57" s="805">
        <v>2015</v>
      </c>
      <c r="C57" s="95">
        <f>'11. Final Load Forecast'!$N$22</f>
        <v>20</v>
      </c>
      <c r="D57" s="95">
        <f t="shared" si="8"/>
        <v>0</v>
      </c>
      <c r="E57" s="188">
        <f t="shared" si="9"/>
        <v>0</v>
      </c>
      <c r="F57" s="95">
        <f>+'11. Final Load Forecast'!$N$23</f>
        <v>453067.96191469493</v>
      </c>
      <c r="G57" s="188">
        <f t="shared" si="10"/>
        <v>-2.945135735490156E-3</v>
      </c>
      <c r="H57" s="95">
        <f>+'11. Final Load Forecast'!$N$24</f>
        <v>0</v>
      </c>
      <c r="I57" s="188" t="e">
        <f t="shared" si="11"/>
        <v>#DIV/0!</v>
      </c>
    </row>
    <row r="58" spans="2:9" x14ac:dyDescent="0.2">
      <c r="B58" s="805">
        <v>2016</v>
      </c>
      <c r="C58" s="95">
        <f>'11. Final Load Forecast'!$O$22</f>
        <v>20</v>
      </c>
      <c r="D58" s="95">
        <f>C58-C57</f>
        <v>0</v>
      </c>
      <c r="E58" s="188">
        <f t="shared" si="9"/>
        <v>0</v>
      </c>
      <c r="F58" s="95">
        <f>+'11. Final Load Forecast'!$O$23</f>
        <v>444298.68359591131</v>
      </c>
      <c r="G58" s="188">
        <f t="shared" si="10"/>
        <v>-1.935532647624006E-2</v>
      </c>
      <c r="H58" s="95">
        <f>+'11. Final Load Forecast'!$O$24</f>
        <v>0</v>
      </c>
      <c r="I58" s="188" t="e">
        <f t="shared" si="11"/>
        <v>#DIV/0!</v>
      </c>
    </row>
    <row r="60" spans="2:9" x14ac:dyDescent="0.2">
      <c r="B60" s="30"/>
      <c r="C60" s="32" t="s">
        <v>30</v>
      </c>
      <c r="D60" s="537"/>
      <c r="E60" s="32"/>
      <c r="F60" s="32"/>
      <c r="G60" s="32"/>
      <c r="H60" s="32"/>
      <c r="I60" s="32"/>
    </row>
    <row r="61" spans="2:9" x14ac:dyDescent="0.2">
      <c r="B61" s="916" t="str">
        <f>+'11. Final Load Forecast'!B26</f>
        <v>General Service &gt; 50 kW - 4999 kW</v>
      </c>
      <c r="C61" s="917"/>
      <c r="D61" s="917"/>
      <c r="E61" s="917"/>
      <c r="F61" s="917"/>
      <c r="G61" s="917"/>
      <c r="H61" s="917"/>
      <c r="I61" s="917"/>
    </row>
    <row r="62" spans="2:9" x14ac:dyDescent="0.2">
      <c r="B62" s="805" t="s">
        <v>33</v>
      </c>
      <c r="C62" s="805" t="s">
        <v>49</v>
      </c>
      <c r="D62" s="805" t="s">
        <v>281</v>
      </c>
      <c r="E62" s="805" t="s">
        <v>62</v>
      </c>
      <c r="F62" s="93" t="s">
        <v>36</v>
      </c>
      <c r="G62" s="805" t="s">
        <v>62</v>
      </c>
      <c r="H62" s="93" t="s">
        <v>37</v>
      </c>
      <c r="I62" s="93"/>
    </row>
    <row r="63" spans="2:9" x14ac:dyDescent="0.2">
      <c r="B63" s="805">
        <v>2005</v>
      </c>
      <c r="C63" s="95">
        <f>'11. Final Load Forecast'!$D$26</f>
        <v>134</v>
      </c>
      <c r="D63" s="95"/>
      <c r="E63" s="95"/>
      <c r="F63" s="95">
        <f>+'11. Final Load Forecast'!$D$27</f>
        <v>74429057</v>
      </c>
      <c r="G63" s="95"/>
      <c r="H63" s="95">
        <f>+'11. Final Load Forecast'!$D$28</f>
        <v>212943</v>
      </c>
      <c r="I63" s="95"/>
    </row>
    <row r="64" spans="2:9" x14ac:dyDescent="0.2">
      <c r="B64" s="805">
        <v>2006</v>
      </c>
      <c r="C64" s="95">
        <f>'11. Final Load Forecast'!$E$26</f>
        <v>136</v>
      </c>
      <c r="D64" s="95">
        <f t="shared" ref="D64:D73" si="12">C64-C63</f>
        <v>2</v>
      </c>
      <c r="E64" s="187">
        <f t="shared" ref="E64:E74" si="13">(C64-C63)/C63</f>
        <v>1.4925373134328358E-2</v>
      </c>
      <c r="F64" s="95">
        <f>+'11. Final Load Forecast'!$E$27</f>
        <v>75435895</v>
      </c>
      <c r="G64" s="187">
        <f t="shared" ref="G64:G74" si="14">(F64-F63)/F63</f>
        <v>1.3527485643140689E-2</v>
      </c>
      <c r="H64" s="95">
        <f>+'11. Final Load Forecast'!$E$28</f>
        <v>207000</v>
      </c>
      <c r="I64" s="187">
        <f t="shared" ref="I64:I74" si="15">(H64-H63)/H63</f>
        <v>-2.7908877023428806E-2</v>
      </c>
    </row>
    <row r="65" spans="2:9" x14ac:dyDescent="0.2">
      <c r="B65" s="805">
        <v>2007</v>
      </c>
      <c r="C65" s="95">
        <f>'11. Final Load Forecast'!$F$26</f>
        <v>136</v>
      </c>
      <c r="D65" s="95">
        <f t="shared" si="12"/>
        <v>0</v>
      </c>
      <c r="E65" s="187">
        <f t="shared" si="13"/>
        <v>0</v>
      </c>
      <c r="F65" s="95">
        <f>+'11. Final Load Forecast'!$F$27</f>
        <v>78527667</v>
      </c>
      <c r="G65" s="187">
        <f t="shared" si="14"/>
        <v>4.0985422125633955E-2</v>
      </c>
      <c r="H65" s="95">
        <f>+'11. Final Load Forecast'!$F$28</f>
        <v>213039</v>
      </c>
      <c r="I65" s="187">
        <f t="shared" si="15"/>
        <v>2.9173913043478262E-2</v>
      </c>
    </row>
    <row r="66" spans="2:9" x14ac:dyDescent="0.2">
      <c r="B66" s="805">
        <v>2008</v>
      </c>
      <c r="C66" s="95">
        <f>'11. Final Load Forecast'!$G$26</f>
        <v>143</v>
      </c>
      <c r="D66" s="95">
        <f t="shared" si="12"/>
        <v>7</v>
      </c>
      <c r="E66" s="187">
        <f t="shared" si="13"/>
        <v>5.1470588235294115E-2</v>
      </c>
      <c r="F66" s="95">
        <f>+'11. Final Load Forecast'!$G$27</f>
        <v>78693630</v>
      </c>
      <c r="G66" s="187">
        <f t="shared" si="14"/>
        <v>2.1134334730713443E-3</v>
      </c>
      <c r="H66" s="95">
        <f>+'11. Final Load Forecast'!$G$28</f>
        <v>202855</v>
      </c>
      <c r="I66" s="187">
        <f t="shared" si="15"/>
        <v>-4.7803453827702909E-2</v>
      </c>
    </row>
    <row r="67" spans="2:9" x14ac:dyDescent="0.2">
      <c r="B67" s="805">
        <v>2009</v>
      </c>
      <c r="C67" s="95">
        <f>+'11. Final Load Forecast'!$H$26</f>
        <v>144</v>
      </c>
      <c r="D67" s="95">
        <f t="shared" si="12"/>
        <v>1</v>
      </c>
      <c r="E67" s="187">
        <f t="shared" si="13"/>
        <v>6.993006993006993E-3</v>
      </c>
      <c r="F67" s="95">
        <f>+'11. Final Load Forecast'!$H$27</f>
        <v>78622635.780000001</v>
      </c>
      <c r="G67" s="187">
        <f t="shared" si="14"/>
        <v>-9.0215967925229539E-4</v>
      </c>
      <c r="H67" s="95">
        <f>+'11. Final Load Forecast'!$H$28</f>
        <v>209853</v>
      </c>
      <c r="I67" s="187">
        <f t="shared" si="15"/>
        <v>3.4497547509304678E-2</v>
      </c>
    </row>
    <row r="68" spans="2:9" x14ac:dyDescent="0.2">
      <c r="B68" s="805">
        <v>2010</v>
      </c>
      <c r="C68" s="95">
        <f>+'11. Final Load Forecast'!$I$26</f>
        <v>148</v>
      </c>
      <c r="D68" s="95">
        <f t="shared" si="12"/>
        <v>4</v>
      </c>
      <c r="E68" s="187">
        <f t="shared" si="13"/>
        <v>2.7777777777777776E-2</v>
      </c>
      <c r="F68" s="95">
        <f>+'11. Final Load Forecast'!$I$27</f>
        <v>76510234.719999999</v>
      </c>
      <c r="G68" s="187">
        <f t="shared" si="14"/>
        <v>-2.6867594033744596E-2</v>
      </c>
      <c r="H68" s="95">
        <f>+'11. Final Load Forecast'!$I$28</f>
        <v>202775</v>
      </c>
      <c r="I68" s="187">
        <f t="shared" si="15"/>
        <v>-3.3728371764997406E-2</v>
      </c>
    </row>
    <row r="69" spans="2:9" x14ac:dyDescent="0.2">
      <c r="B69" s="805">
        <v>2011</v>
      </c>
      <c r="C69" s="95">
        <f>'11. Final Load Forecast'!$J$26</f>
        <v>145</v>
      </c>
      <c r="D69" s="95">
        <f t="shared" si="12"/>
        <v>-3</v>
      </c>
      <c r="E69" s="187">
        <f t="shared" si="13"/>
        <v>-2.0270270270270271E-2</v>
      </c>
      <c r="F69" s="95">
        <f>+'11. Final Load Forecast'!$J$27</f>
        <v>74853997.430000007</v>
      </c>
      <c r="G69" s="187">
        <f t="shared" si="14"/>
        <v>-2.1647264526912326E-2</v>
      </c>
      <c r="H69" s="95">
        <f>+'11. Final Load Forecast'!$J$28</f>
        <v>203575</v>
      </c>
      <c r="I69" s="187">
        <f t="shared" si="15"/>
        <v>3.9452595241030695E-3</v>
      </c>
    </row>
    <row r="70" spans="2:9" x14ac:dyDescent="0.2">
      <c r="B70" s="805">
        <v>2012</v>
      </c>
      <c r="C70" s="95">
        <f>'11. Final Load Forecast'!$K$26</f>
        <v>145</v>
      </c>
      <c r="D70" s="95">
        <f t="shared" si="12"/>
        <v>0</v>
      </c>
      <c r="E70" s="187">
        <f t="shared" si="13"/>
        <v>0</v>
      </c>
      <c r="F70" s="95">
        <f>+'11. Final Load Forecast'!$K$27</f>
        <v>74516293.329999998</v>
      </c>
      <c r="G70" s="187">
        <f t="shared" si="14"/>
        <v>-4.5115038821515732E-3</v>
      </c>
      <c r="H70" s="95">
        <f>+'11. Final Load Forecast'!$K$28</f>
        <v>207916</v>
      </c>
      <c r="I70" s="187">
        <f t="shared" si="15"/>
        <v>2.1323836423922389E-2</v>
      </c>
    </row>
    <row r="71" spans="2:9" x14ac:dyDescent="0.2">
      <c r="B71" s="805">
        <v>2013</v>
      </c>
      <c r="C71" s="95">
        <f>'11. Final Load Forecast'!$L$26</f>
        <v>145.5</v>
      </c>
      <c r="D71" s="95">
        <f t="shared" si="12"/>
        <v>0.5</v>
      </c>
      <c r="E71" s="187">
        <f t="shared" si="13"/>
        <v>3.4482758620689655E-3</v>
      </c>
      <c r="F71" s="95">
        <f>+'11. Final Load Forecast'!$L$27</f>
        <v>73596923.409999996</v>
      </c>
      <c r="G71" s="187">
        <f t="shared" si="14"/>
        <v>-1.233783752405015E-2</v>
      </c>
      <c r="H71" s="95">
        <f>+'11. Final Load Forecast'!$L$28</f>
        <v>216501</v>
      </c>
      <c r="I71" s="187">
        <f t="shared" si="15"/>
        <v>4.1290713557398183E-2</v>
      </c>
    </row>
    <row r="72" spans="2:9" x14ac:dyDescent="0.2">
      <c r="B72" s="805">
        <v>2014</v>
      </c>
      <c r="C72" s="95">
        <f>'11. Final Load Forecast'!$M$26</f>
        <v>146.5</v>
      </c>
      <c r="D72" s="95">
        <f t="shared" si="12"/>
        <v>1</v>
      </c>
      <c r="E72" s="187">
        <f t="shared" si="13"/>
        <v>6.8728522336769758E-3</v>
      </c>
      <c r="F72" s="95">
        <f>+'11. Final Load Forecast'!$M$27</f>
        <v>72512848.979999989</v>
      </c>
      <c r="G72" s="187">
        <f t="shared" si="14"/>
        <v>-1.472988787806731E-2</v>
      </c>
      <c r="H72" s="95">
        <f>+'11. Final Load Forecast'!$M$28</f>
        <v>206399</v>
      </c>
      <c r="I72" s="187">
        <f t="shared" si="15"/>
        <v>-4.6660292562159068E-2</v>
      </c>
    </row>
    <row r="73" spans="2:9" x14ac:dyDescent="0.2">
      <c r="B73" s="805">
        <v>2015</v>
      </c>
      <c r="C73" s="95">
        <f>'11. Final Load Forecast'!$N$26</f>
        <v>146</v>
      </c>
      <c r="D73" s="95">
        <f t="shared" si="12"/>
        <v>-0.5</v>
      </c>
      <c r="E73" s="188">
        <f t="shared" si="13"/>
        <v>-3.4129692832764505E-3</v>
      </c>
      <c r="F73" s="95">
        <f>+'11. Final Load Forecast'!$N$27</f>
        <v>72299288.797186792</v>
      </c>
      <c r="G73" s="188">
        <f t="shared" si="14"/>
        <v>-2.9451357354901351E-3</v>
      </c>
      <c r="H73" s="95">
        <f>+'11. Final Load Forecast'!$N$28</f>
        <v>198917.84757842109</v>
      </c>
      <c r="I73" s="188">
        <f t="shared" si="15"/>
        <v>-3.6246069126201728E-2</v>
      </c>
    </row>
    <row r="74" spans="2:9" x14ac:dyDescent="0.2">
      <c r="B74" s="805">
        <v>2016</v>
      </c>
      <c r="C74" s="95">
        <f>'11. Final Load Forecast'!$O$26</f>
        <v>148</v>
      </c>
      <c r="D74" s="95">
        <f>C74-C73</f>
        <v>2</v>
      </c>
      <c r="E74" s="188">
        <f t="shared" si="13"/>
        <v>1.3698630136986301E-2</v>
      </c>
      <c r="F74" s="95">
        <f>+'11. Final Load Forecast'!$O$27</f>
        <v>70899912.458517283</v>
      </c>
      <c r="G74" s="188">
        <f t="shared" si="14"/>
        <v>-1.935532647623996E-2</v>
      </c>
      <c r="H74" s="95">
        <f>+'11. Final Load Forecast'!$O$28</f>
        <v>195067.72769658981</v>
      </c>
      <c r="I74" s="188">
        <f t="shared" si="15"/>
        <v>-1.9355326476239988E-2</v>
      </c>
    </row>
    <row r="76" spans="2:9" x14ac:dyDescent="0.2">
      <c r="B76" s="64"/>
      <c r="C76" s="145"/>
      <c r="D76" s="145"/>
      <c r="E76" s="145"/>
      <c r="F76" s="145"/>
      <c r="G76" s="64"/>
    </row>
    <row r="77" spans="2:9" x14ac:dyDescent="0.2">
      <c r="B77" s="916" t="str">
        <f>+'11. Final Load Forecast'!B30</f>
        <v>Streetlighting</v>
      </c>
      <c r="C77" s="917"/>
      <c r="D77" s="917"/>
      <c r="E77" s="917"/>
      <c r="F77" s="917"/>
      <c r="G77" s="917"/>
      <c r="H77" s="917"/>
      <c r="I77" s="917"/>
    </row>
    <row r="78" spans="2:9" x14ac:dyDescent="0.2">
      <c r="B78" s="805" t="s">
        <v>33</v>
      </c>
      <c r="C78" s="805" t="s">
        <v>49</v>
      </c>
      <c r="D78" s="805"/>
      <c r="E78" s="805" t="s">
        <v>62</v>
      </c>
      <c r="F78" s="93" t="s">
        <v>36</v>
      </c>
      <c r="G78" s="805" t="s">
        <v>62</v>
      </c>
      <c r="H78" s="93" t="s">
        <v>37</v>
      </c>
      <c r="I78" s="805" t="s">
        <v>62</v>
      </c>
    </row>
    <row r="79" spans="2:9" x14ac:dyDescent="0.2">
      <c r="B79" s="805">
        <v>2005</v>
      </c>
      <c r="C79" s="95">
        <f>'11. Final Load Forecast'!$D$30</f>
        <v>2604</v>
      </c>
      <c r="D79" s="95"/>
      <c r="E79" s="95"/>
      <c r="F79" s="95">
        <f>+'11. Final Load Forecast'!$D$31</f>
        <v>2426613</v>
      </c>
      <c r="G79" s="95"/>
      <c r="H79" s="95">
        <f>+'11. Final Load Forecast'!$D$32</f>
        <v>6774</v>
      </c>
      <c r="I79" s="95"/>
    </row>
    <row r="80" spans="2:9" x14ac:dyDescent="0.2">
      <c r="B80" s="805">
        <v>2006</v>
      </c>
      <c r="C80" s="95">
        <f>'11. Final Load Forecast'!$E$30</f>
        <v>2635</v>
      </c>
      <c r="D80" s="95">
        <f t="shared" ref="D80:D89" si="16">C80-C79</f>
        <v>31</v>
      </c>
      <c r="E80" s="187">
        <f t="shared" ref="E80:E90" si="17">(C80-C79)/C79</f>
        <v>1.1904761904761904E-2</v>
      </c>
      <c r="F80" s="95">
        <f>+'11. Final Load Forecast'!$E$31</f>
        <v>2517491</v>
      </c>
      <c r="G80" s="187">
        <f t="shared" ref="G80:G90" si="18">(F80-F79)/F79</f>
        <v>3.7450553508120168E-2</v>
      </c>
      <c r="H80" s="95">
        <f>+'11. Final Load Forecast'!$E$32</f>
        <v>6784</v>
      </c>
      <c r="I80" s="187">
        <f t="shared" ref="I80:I90" si="19">(H80-H79)/H79</f>
        <v>1.4762326542663124E-3</v>
      </c>
    </row>
    <row r="81" spans="2:9" x14ac:dyDescent="0.2">
      <c r="B81" s="805">
        <v>2007</v>
      </c>
      <c r="C81" s="95">
        <f>'11. Final Load Forecast'!$F$30</f>
        <v>2648</v>
      </c>
      <c r="D81" s="95">
        <f t="shared" si="16"/>
        <v>13</v>
      </c>
      <c r="E81" s="187">
        <f t="shared" si="17"/>
        <v>4.9335863377609106E-3</v>
      </c>
      <c r="F81" s="95">
        <f>+'11. Final Load Forecast'!$F$31</f>
        <v>2426477</v>
      </c>
      <c r="G81" s="187">
        <f t="shared" si="18"/>
        <v>-3.6152661518948824E-2</v>
      </c>
      <c r="H81" s="95">
        <f>+'11. Final Load Forecast'!$F$32</f>
        <v>6778</v>
      </c>
      <c r="I81" s="187">
        <f t="shared" si="19"/>
        <v>-8.8443396226415096E-4</v>
      </c>
    </row>
    <row r="82" spans="2:9" x14ac:dyDescent="0.2">
      <c r="B82" s="805">
        <v>2008</v>
      </c>
      <c r="C82" s="95">
        <f>'11. Final Load Forecast'!$G$30</f>
        <v>2653</v>
      </c>
      <c r="D82" s="95">
        <f t="shared" si="16"/>
        <v>5</v>
      </c>
      <c r="E82" s="187">
        <f t="shared" si="17"/>
        <v>1.8882175226586104E-3</v>
      </c>
      <c r="F82" s="95">
        <f>+'11. Final Load Forecast'!$G$31</f>
        <v>2370504</v>
      </c>
      <c r="G82" s="187">
        <f t="shared" si="18"/>
        <v>-2.3067599651676072E-2</v>
      </c>
      <c r="H82" s="95">
        <f>+'11. Final Load Forecast'!$G$32</f>
        <v>6728</v>
      </c>
      <c r="I82" s="187">
        <f t="shared" si="19"/>
        <v>-7.3768073177928589E-3</v>
      </c>
    </row>
    <row r="83" spans="2:9" x14ac:dyDescent="0.2">
      <c r="B83" s="805">
        <v>2009</v>
      </c>
      <c r="C83" s="95">
        <f>'11. Final Load Forecast'!$H$30</f>
        <v>2701</v>
      </c>
      <c r="D83" s="95">
        <f t="shared" si="16"/>
        <v>48</v>
      </c>
      <c r="E83" s="187">
        <f t="shared" si="17"/>
        <v>1.8092725216735772E-2</v>
      </c>
      <c r="F83" s="95">
        <f>+'11. Final Load Forecast'!$H$31</f>
        <v>2414486.62</v>
      </c>
      <c r="G83" s="187">
        <f t="shared" si="18"/>
        <v>1.8554121823882226E-2</v>
      </c>
      <c r="H83" s="95">
        <f>+'11. Final Load Forecast'!$H$32</f>
        <v>6652</v>
      </c>
      <c r="I83" s="187">
        <f t="shared" si="19"/>
        <v>-1.1296076099881093E-2</v>
      </c>
    </row>
    <row r="84" spans="2:9" x14ac:dyDescent="0.2">
      <c r="B84" s="805">
        <v>2010</v>
      </c>
      <c r="C84" s="95">
        <f>'11. Final Load Forecast'!$I$30</f>
        <v>2713</v>
      </c>
      <c r="D84" s="95">
        <f t="shared" si="16"/>
        <v>12</v>
      </c>
      <c r="E84" s="187">
        <f t="shared" si="17"/>
        <v>4.4427989633469087E-3</v>
      </c>
      <c r="F84" s="95">
        <f>+'11. Final Load Forecast'!$I$31</f>
        <v>2383707.0499999998</v>
      </c>
      <c r="G84" s="187">
        <f t="shared" si="18"/>
        <v>-1.2747873500330392E-2</v>
      </c>
      <c r="H84" s="95">
        <f>+'11. Final Load Forecast'!$I$32</f>
        <v>6766</v>
      </c>
      <c r="I84" s="187">
        <f t="shared" si="19"/>
        <v>1.7137702946482262E-2</v>
      </c>
    </row>
    <row r="85" spans="2:9" x14ac:dyDescent="0.2">
      <c r="B85" s="805">
        <v>2011</v>
      </c>
      <c r="C85" s="95">
        <f>'11. Final Load Forecast'!$J$30</f>
        <v>2769</v>
      </c>
      <c r="D85" s="95">
        <f t="shared" si="16"/>
        <v>56</v>
      </c>
      <c r="E85" s="187">
        <f t="shared" si="17"/>
        <v>2.0641356431994103E-2</v>
      </c>
      <c r="F85" s="95">
        <f>+'11. Final Load Forecast'!$J$31</f>
        <v>2458955</v>
      </c>
      <c r="G85" s="187">
        <f t="shared" si="18"/>
        <v>3.1567616498847956E-2</v>
      </c>
      <c r="H85" s="95">
        <f>+'11. Final Load Forecast'!$J$32</f>
        <v>6840</v>
      </c>
      <c r="I85" s="187">
        <f t="shared" si="19"/>
        <v>1.093703813183565E-2</v>
      </c>
    </row>
    <row r="86" spans="2:9" x14ac:dyDescent="0.2">
      <c r="B86" s="805">
        <v>2012</v>
      </c>
      <c r="C86" s="95">
        <f>'11. Final Load Forecast'!$K$30</f>
        <v>2774.5</v>
      </c>
      <c r="D86" s="95">
        <f t="shared" si="16"/>
        <v>5.5</v>
      </c>
      <c r="E86" s="187">
        <f t="shared" si="17"/>
        <v>1.9862766341639583E-3</v>
      </c>
      <c r="F86" s="95">
        <f>+'11. Final Load Forecast'!$K$31</f>
        <v>2432689.94</v>
      </c>
      <c r="G86" s="187">
        <f t="shared" si="18"/>
        <v>-1.0681391078730621E-2</v>
      </c>
      <c r="H86" s="95">
        <f>+'11. Final Load Forecast'!$K$32</f>
        <v>6768.3999999999987</v>
      </c>
      <c r="I86" s="187">
        <f t="shared" si="19"/>
        <v>-1.0467836257310128E-2</v>
      </c>
    </row>
    <row r="87" spans="2:9" x14ac:dyDescent="0.2">
      <c r="B87" s="805">
        <v>2013</v>
      </c>
      <c r="C87" s="95">
        <f>'11. Final Load Forecast'!$L$30</f>
        <v>2787</v>
      </c>
      <c r="D87" s="95">
        <f t="shared" si="16"/>
        <v>12.5</v>
      </c>
      <c r="E87" s="187">
        <f t="shared" si="17"/>
        <v>4.5053162732023788E-3</v>
      </c>
      <c r="F87" s="95">
        <f>+'11. Final Load Forecast'!$L$31</f>
        <v>2424248.81</v>
      </c>
      <c r="G87" s="187">
        <f t="shared" si="18"/>
        <v>-3.4698749977154458E-3</v>
      </c>
      <c r="H87" s="95">
        <f>+'11. Final Load Forecast'!$L$32</f>
        <v>6765.9000000000005</v>
      </c>
      <c r="I87" s="187">
        <f t="shared" si="19"/>
        <v>-3.6936351279448341E-4</v>
      </c>
    </row>
    <row r="88" spans="2:9" x14ac:dyDescent="0.2">
      <c r="B88" s="805">
        <v>2014</v>
      </c>
      <c r="C88" s="95">
        <f>'11. Final Load Forecast'!$M$30</f>
        <v>2802.5</v>
      </c>
      <c r="D88" s="95">
        <f t="shared" si="16"/>
        <v>15.5</v>
      </c>
      <c r="E88" s="187">
        <f t="shared" si="17"/>
        <v>5.5615357014711158E-3</v>
      </c>
      <c r="F88" s="95">
        <f>+'11. Final Load Forecast'!$M$31</f>
        <v>2439791.5699999998</v>
      </c>
      <c r="G88" s="187">
        <f t="shared" si="18"/>
        <v>6.4113716116456611E-3</v>
      </c>
      <c r="H88" s="95">
        <f>+'11. Final Load Forecast'!$M$32</f>
        <v>6769.9599999999991</v>
      </c>
      <c r="I88" s="187">
        <f t="shared" si="19"/>
        <v>6.0006798799843049E-4</v>
      </c>
    </row>
    <row r="89" spans="2:9" x14ac:dyDescent="0.2">
      <c r="B89" s="805">
        <v>2015</v>
      </c>
      <c r="C89" s="95">
        <f>'11. Final Load Forecast'!$N$30</f>
        <v>2825.4692256082153</v>
      </c>
      <c r="D89" s="95">
        <f t="shared" si="16"/>
        <v>22.969225608215311</v>
      </c>
      <c r="E89" s="188">
        <f t="shared" si="17"/>
        <v>8.1959770234488177E-3</v>
      </c>
      <c r="F89" s="95">
        <f>+'11. Final Load Forecast'!$N$31</f>
        <v>2432606.0526600452</v>
      </c>
      <c r="G89" s="188">
        <f t="shared" si="18"/>
        <v>-2.9451357354901503E-3</v>
      </c>
      <c r="H89" s="95">
        <f>+'11. Final Load Forecast'!$N$32</f>
        <v>6772.6200970626942</v>
      </c>
      <c r="I89" s="188">
        <f t="shared" si="19"/>
        <v>3.9292655535557949E-4</v>
      </c>
    </row>
    <row r="90" spans="2:9" x14ac:dyDescent="0.2">
      <c r="B90" s="805">
        <v>2016</v>
      </c>
      <c r="C90" s="95">
        <f>'11. Final Load Forecast'!$O$30</f>
        <v>2848.6267064617618</v>
      </c>
      <c r="D90" s="95">
        <f>C90-C89</f>
        <v>23.157480853546531</v>
      </c>
      <c r="E90" s="188">
        <f t="shared" si="17"/>
        <v>8.1959770234487726E-3</v>
      </c>
      <c r="F90" s="95">
        <f>+'11. Final Load Forecast'!$O$31</f>
        <v>1249433.2366620938</v>
      </c>
      <c r="G90" s="188">
        <f t="shared" si="18"/>
        <v>-0.48638077452128203</v>
      </c>
      <c r="H90" s="95">
        <f>+'11. Final Load Forecast'!$O$32</f>
        <v>3478.5478887149402</v>
      </c>
      <c r="I90" s="188">
        <f t="shared" si="19"/>
        <v>-0.48638077452128209</v>
      </c>
    </row>
    <row r="93" spans="2:9" x14ac:dyDescent="0.2">
      <c r="B93" s="916" t="str">
        <f>+'11. Final Load Forecast'!B34</f>
        <v>Sentinel Lighting</v>
      </c>
      <c r="C93" s="917"/>
      <c r="D93" s="917"/>
      <c r="E93" s="917"/>
      <c r="F93" s="917"/>
      <c r="G93" s="917"/>
      <c r="H93" s="917"/>
      <c r="I93" s="917"/>
    </row>
    <row r="94" spans="2:9" x14ac:dyDescent="0.2">
      <c r="B94" s="805" t="s">
        <v>33</v>
      </c>
      <c r="C94" s="805" t="s">
        <v>49</v>
      </c>
      <c r="D94" s="805" t="s">
        <v>281</v>
      </c>
      <c r="E94" s="805" t="s">
        <v>62</v>
      </c>
      <c r="F94" s="93" t="s">
        <v>36</v>
      </c>
      <c r="G94" s="805" t="s">
        <v>62</v>
      </c>
      <c r="H94" s="93" t="s">
        <v>37</v>
      </c>
      <c r="I94" s="805" t="s">
        <v>62</v>
      </c>
    </row>
    <row r="95" spans="2:9" x14ac:dyDescent="0.2">
      <c r="B95" s="805">
        <v>2005</v>
      </c>
      <c r="C95" s="95">
        <f>'11. Final Load Forecast'!$D$34</f>
        <v>250</v>
      </c>
      <c r="D95" s="95"/>
      <c r="E95" s="95"/>
      <c r="F95" s="95">
        <f>+'11. Final Load Forecast'!$D$35</f>
        <v>284178</v>
      </c>
      <c r="G95" s="95"/>
      <c r="H95" s="95">
        <f>+'11. Final Load Forecast'!$D$36</f>
        <v>783</v>
      </c>
      <c r="I95" s="95"/>
    </row>
    <row r="96" spans="2:9" x14ac:dyDescent="0.2">
      <c r="B96" s="805">
        <v>2006</v>
      </c>
      <c r="C96" s="95">
        <f>'11. Final Load Forecast'!$E$34</f>
        <v>225</v>
      </c>
      <c r="D96" s="95">
        <f t="shared" ref="D96:D105" si="20">C96-C95</f>
        <v>-25</v>
      </c>
      <c r="E96" s="187">
        <f t="shared" ref="E96:E106" si="21">(C96-C95)/C95</f>
        <v>-0.1</v>
      </c>
      <c r="F96" s="95">
        <f>+'11. Final Load Forecast'!$E$35</f>
        <v>267504</v>
      </c>
      <c r="G96" s="187">
        <f t="shared" ref="G96:G106" si="22">(F96-F95)/F95</f>
        <v>-5.8674492747503325E-2</v>
      </c>
      <c r="H96" s="95">
        <f>+'11. Final Load Forecast'!$E$36</f>
        <v>767</v>
      </c>
      <c r="I96" s="187">
        <f t="shared" ref="I96:I106" si="23">(H96-H95)/H95</f>
        <v>-2.0434227330779056E-2</v>
      </c>
    </row>
    <row r="97" spans="2:9" x14ac:dyDescent="0.2">
      <c r="B97" s="805">
        <v>2007</v>
      </c>
      <c r="C97" s="95">
        <f>'11. Final Load Forecast'!$F$34</f>
        <v>225</v>
      </c>
      <c r="D97" s="95">
        <f t="shared" si="20"/>
        <v>0</v>
      </c>
      <c r="E97" s="187">
        <f t="shared" si="21"/>
        <v>0</v>
      </c>
      <c r="F97" s="95">
        <f>+'11. Final Load Forecast'!$F$35</f>
        <v>266011</v>
      </c>
      <c r="G97" s="187">
        <f t="shared" si="22"/>
        <v>-5.5812249536455532E-3</v>
      </c>
      <c r="H97" s="95">
        <f>+'11. Final Load Forecast'!$F$36</f>
        <v>766</v>
      </c>
      <c r="I97" s="187">
        <f t="shared" si="23"/>
        <v>-1.3037809647979139E-3</v>
      </c>
    </row>
    <row r="98" spans="2:9" x14ac:dyDescent="0.2">
      <c r="B98" s="805">
        <v>2008</v>
      </c>
      <c r="C98" s="95">
        <f>'11. Final Load Forecast'!$G$34</f>
        <v>226</v>
      </c>
      <c r="D98" s="95">
        <f t="shared" si="20"/>
        <v>1</v>
      </c>
      <c r="E98" s="187">
        <f t="shared" si="21"/>
        <v>4.4444444444444444E-3</v>
      </c>
      <c r="F98" s="95">
        <f>+'11. Final Load Forecast'!$G$35</f>
        <v>262124</v>
      </c>
      <c r="G98" s="187">
        <f t="shared" si="22"/>
        <v>-1.461217769189996E-2</v>
      </c>
      <c r="H98" s="95">
        <f>+'11. Final Load Forecast'!$G$36</f>
        <v>751</v>
      </c>
      <c r="I98" s="187">
        <f t="shared" si="23"/>
        <v>-1.95822454308094E-2</v>
      </c>
    </row>
    <row r="99" spans="2:9" x14ac:dyDescent="0.2">
      <c r="B99" s="805">
        <v>2009</v>
      </c>
      <c r="C99" s="95">
        <f>'11. Final Load Forecast'!$H$34</f>
        <v>226</v>
      </c>
      <c r="D99" s="95">
        <f t="shared" si="20"/>
        <v>0</v>
      </c>
      <c r="E99" s="187">
        <f t="shared" si="21"/>
        <v>0</v>
      </c>
      <c r="F99" s="95">
        <f>+'11. Final Load Forecast'!$H$35</f>
        <v>265370.21000000002</v>
      </c>
      <c r="G99" s="187">
        <f t="shared" si="22"/>
        <v>1.2384253254185122E-2</v>
      </c>
      <c r="H99" s="95">
        <f>+'11. Final Load Forecast'!$H$36</f>
        <v>756</v>
      </c>
      <c r="I99" s="187">
        <f t="shared" si="23"/>
        <v>6.6577896138482022E-3</v>
      </c>
    </row>
    <row r="100" spans="2:9" x14ac:dyDescent="0.2">
      <c r="B100" s="805">
        <v>2010</v>
      </c>
      <c r="C100" s="95">
        <f>'11. Final Load Forecast'!$I$34</f>
        <v>216</v>
      </c>
      <c r="D100" s="95">
        <f t="shared" si="20"/>
        <v>-10</v>
      </c>
      <c r="E100" s="187">
        <f t="shared" si="21"/>
        <v>-4.4247787610619468E-2</v>
      </c>
      <c r="F100" s="95">
        <f>+'11. Final Load Forecast'!$I$35</f>
        <v>233685.69</v>
      </c>
      <c r="G100" s="187">
        <f t="shared" si="22"/>
        <v>-0.11939742595824911</v>
      </c>
      <c r="H100" s="95">
        <f>+'11. Final Load Forecast'!$I$36</f>
        <v>766</v>
      </c>
      <c r="I100" s="187">
        <f t="shared" si="23"/>
        <v>1.3227513227513227E-2</v>
      </c>
    </row>
    <row r="101" spans="2:9" x14ac:dyDescent="0.2">
      <c r="B101" s="805">
        <v>2011</v>
      </c>
      <c r="C101" s="95">
        <f>'11. Final Load Forecast'!$J$34</f>
        <v>209</v>
      </c>
      <c r="D101" s="95">
        <f t="shared" si="20"/>
        <v>-7</v>
      </c>
      <c r="E101" s="187">
        <f t="shared" si="21"/>
        <v>-3.2407407407407406E-2</v>
      </c>
      <c r="F101" s="95">
        <f>+'11. Final Load Forecast'!$J$35</f>
        <v>270899.02</v>
      </c>
      <c r="G101" s="187">
        <f t="shared" si="22"/>
        <v>0.15924522378755848</v>
      </c>
      <c r="H101" s="95">
        <f>+'11. Final Load Forecast'!$J$36</f>
        <v>734</v>
      </c>
      <c r="I101" s="187">
        <f t="shared" si="23"/>
        <v>-4.1775456919060053E-2</v>
      </c>
    </row>
    <row r="102" spans="2:9" x14ac:dyDescent="0.2">
      <c r="B102" s="805">
        <v>2012</v>
      </c>
      <c r="C102" s="95">
        <f>'11. Final Load Forecast'!$K$34</f>
        <v>208.5</v>
      </c>
      <c r="D102" s="95">
        <f t="shared" si="20"/>
        <v>-0.5</v>
      </c>
      <c r="E102" s="187">
        <f t="shared" si="21"/>
        <v>-2.3923444976076554E-3</v>
      </c>
      <c r="F102" s="95">
        <f>+'11. Final Load Forecast'!$K$35</f>
        <v>243747.31</v>
      </c>
      <c r="G102" s="187">
        <f t="shared" si="22"/>
        <v>-0.10022815881725973</v>
      </c>
      <c r="H102" s="95">
        <f>+'11. Final Load Forecast'!$K$36</f>
        <v>713</v>
      </c>
      <c r="I102" s="187">
        <f t="shared" si="23"/>
        <v>-2.8610354223433242E-2</v>
      </c>
    </row>
    <row r="103" spans="2:9" x14ac:dyDescent="0.2">
      <c r="B103" s="805">
        <v>2013</v>
      </c>
      <c r="C103" s="95">
        <f>'11. Final Load Forecast'!$L$34</f>
        <v>206.5</v>
      </c>
      <c r="D103" s="95">
        <f t="shared" si="20"/>
        <v>-2</v>
      </c>
      <c r="E103" s="187">
        <f t="shared" si="21"/>
        <v>-9.5923261390887284E-3</v>
      </c>
      <c r="F103" s="95">
        <f>+'11. Final Load Forecast'!$L$35</f>
        <v>270899.02</v>
      </c>
      <c r="G103" s="187">
        <f t="shared" si="22"/>
        <v>0.11139286008940989</v>
      </c>
      <c r="H103" s="95">
        <f>+'11. Final Load Forecast'!$L$36</f>
        <v>700</v>
      </c>
      <c r="I103" s="187">
        <f t="shared" si="23"/>
        <v>-1.82328190743338E-2</v>
      </c>
    </row>
    <row r="104" spans="2:9" x14ac:dyDescent="0.2">
      <c r="B104" s="805">
        <v>2014</v>
      </c>
      <c r="C104" s="95">
        <f>'11. Final Load Forecast'!$M$34</f>
        <v>204</v>
      </c>
      <c r="D104" s="95">
        <f t="shared" si="20"/>
        <v>-2.5</v>
      </c>
      <c r="E104" s="187">
        <f t="shared" si="21"/>
        <v>-1.2106537530266344E-2</v>
      </c>
      <c r="F104" s="95">
        <f>+'11. Final Load Forecast'!$M$35</f>
        <v>245570.47</v>
      </c>
      <c r="G104" s="187">
        <f t="shared" si="22"/>
        <v>-9.3498123396681232E-2</v>
      </c>
      <c r="H104" s="95">
        <f>+'11. Final Load Forecast'!$M$36</f>
        <v>683.5</v>
      </c>
      <c r="I104" s="187">
        <f t="shared" si="23"/>
        <v>-2.3571428571428573E-2</v>
      </c>
    </row>
    <row r="105" spans="2:9" x14ac:dyDescent="0.2">
      <c r="B105" s="805">
        <v>2015</v>
      </c>
      <c r="C105" s="95">
        <f>'11. Final Load Forecast'!$N$34</f>
        <v>199.44261639611278</v>
      </c>
      <c r="D105" s="95">
        <f t="shared" si="20"/>
        <v>-4.5573836038872173</v>
      </c>
      <c r="E105" s="188">
        <f t="shared" si="21"/>
        <v>-2.2340115705329497E-2</v>
      </c>
      <c r="F105" s="95">
        <f>+'11. Final Load Forecast'!$N$35</f>
        <v>244847.23163322191</v>
      </c>
      <c r="G105" s="188">
        <f t="shared" si="22"/>
        <v>-2.9451357354900853E-3</v>
      </c>
      <c r="H105" s="95">
        <f>+'11. Final Load Forecast'!$N$36</f>
        <v>697.71463936548889</v>
      </c>
      <c r="I105" s="188">
        <f t="shared" si="23"/>
        <v>2.0796838866845489E-2</v>
      </c>
    </row>
    <row r="106" spans="2:9" x14ac:dyDescent="0.2">
      <c r="B106" s="805">
        <v>2016</v>
      </c>
      <c r="C106" s="95">
        <f>'11. Final Load Forecast'!$O$34</f>
        <v>194.98704526924996</v>
      </c>
      <c r="D106" s="95">
        <f>C106-C105</f>
        <v>-4.4555711268628215</v>
      </c>
      <c r="E106" s="188">
        <f t="shared" si="21"/>
        <v>-2.2340115705329577E-2</v>
      </c>
      <c r="F106" s="95">
        <f>+'11. Final Load Forecast'!$O$35</f>
        <v>240108.13352815731</v>
      </c>
      <c r="G106" s="188">
        <f t="shared" si="22"/>
        <v>-1.9355326476240102E-2</v>
      </c>
      <c r="H106" s="95">
        <f>+'11. Final Load Forecast'!$O$36</f>
        <v>684.21014473331786</v>
      </c>
      <c r="I106" s="188">
        <f t="shared" si="23"/>
        <v>-1.9355326476239915E-2</v>
      </c>
    </row>
    <row r="109" spans="2:9" x14ac:dyDescent="0.2">
      <c r="B109" s="916">
        <f>+'11. Final Load Forecast'!B38</f>
        <v>0</v>
      </c>
      <c r="C109" s="917"/>
      <c r="D109" s="917"/>
      <c r="E109" s="917"/>
      <c r="F109" s="917"/>
      <c r="G109" s="917"/>
      <c r="H109" s="917"/>
      <c r="I109" s="917"/>
    </row>
    <row r="110" spans="2:9" x14ac:dyDescent="0.2">
      <c r="B110" s="805" t="s">
        <v>33</v>
      </c>
      <c r="C110" s="805" t="s">
        <v>49</v>
      </c>
      <c r="D110" s="805" t="s">
        <v>281</v>
      </c>
      <c r="E110" s="805" t="s">
        <v>62</v>
      </c>
      <c r="F110" s="93" t="s">
        <v>36</v>
      </c>
      <c r="G110" s="805" t="s">
        <v>62</v>
      </c>
      <c r="H110" s="93" t="s">
        <v>37</v>
      </c>
      <c r="I110" s="805" t="s">
        <v>62</v>
      </c>
    </row>
    <row r="111" spans="2:9" x14ac:dyDescent="0.2">
      <c r="B111" s="805">
        <v>2005</v>
      </c>
      <c r="C111" s="95">
        <f>'11. Final Load Forecast'!$D$39</f>
        <v>0</v>
      </c>
      <c r="D111" s="95"/>
      <c r="E111" s="95"/>
      <c r="F111" s="95">
        <f>+'11. Final Load Forecast'!$D$39</f>
        <v>0</v>
      </c>
      <c r="G111" s="95"/>
      <c r="H111" s="95">
        <f>+'11. Final Load Forecast'!$D$40</f>
        <v>0</v>
      </c>
      <c r="I111" s="95"/>
    </row>
    <row r="112" spans="2:9" x14ac:dyDescent="0.2">
      <c r="B112" s="805">
        <v>2006</v>
      </c>
      <c r="C112" s="95">
        <f>'11. Final Load Forecast'!$E$38</f>
        <v>0</v>
      </c>
      <c r="D112" s="95">
        <f t="shared" ref="D112:D121" si="24">C112-C111</f>
        <v>0</v>
      </c>
      <c r="E112" s="187" t="e">
        <f t="shared" ref="E112:E122" si="25">(C112-C111)/C111</f>
        <v>#DIV/0!</v>
      </c>
      <c r="F112" s="95">
        <f>+'11. Final Load Forecast'!$E$39</f>
        <v>0</v>
      </c>
      <c r="G112" s="187" t="e">
        <f t="shared" ref="G112:G122" si="26">(F112-F111)/F111</f>
        <v>#DIV/0!</v>
      </c>
      <c r="H112" s="95">
        <f>+'11. Final Load Forecast'!$E$40</f>
        <v>0</v>
      </c>
      <c r="I112" s="187" t="e">
        <f t="shared" ref="I112:I122" si="27">(H112-H111)/H111</f>
        <v>#DIV/0!</v>
      </c>
    </row>
    <row r="113" spans="2:9" x14ac:dyDescent="0.2">
      <c r="B113" s="805">
        <v>2007</v>
      </c>
      <c r="C113" s="95">
        <f>'11. Final Load Forecast'!$F$38</f>
        <v>0</v>
      </c>
      <c r="D113" s="95">
        <f t="shared" si="24"/>
        <v>0</v>
      </c>
      <c r="E113" s="187" t="e">
        <f t="shared" si="25"/>
        <v>#DIV/0!</v>
      </c>
      <c r="F113" s="95">
        <f>+'11. Final Load Forecast'!$F$39</f>
        <v>0</v>
      </c>
      <c r="G113" s="187" t="e">
        <f t="shared" si="26"/>
        <v>#DIV/0!</v>
      </c>
      <c r="H113" s="95">
        <f>+'11. Final Load Forecast'!$F$40</f>
        <v>0</v>
      </c>
      <c r="I113" s="187" t="e">
        <f t="shared" si="27"/>
        <v>#DIV/0!</v>
      </c>
    </row>
    <row r="114" spans="2:9" x14ac:dyDescent="0.2">
      <c r="B114" s="805">
        <v>2008</v>
      </c>
      <c r="C114" s="95">
        <f>'11. Final Load Forecast'!$G$38</f>
        <v>0</v>
      </c>
      <c r="D114" s="95">
        <f t="shared" si="24"/>
        <v>0</v>
      </c>
      <c r="E114" s="187" t="e">
        <f t="shared" si="25"/>
        <v>#DIV/0!</v>
      </c>
      <c r="F114" s="95">
        <f>+'11. Final Load Forecast'!$G$39</f>
        <v>0</v>
      </c>
      <c r="G114" s="187" t="e">
        <f t="shared" si="26"/>
        <v>#DIV/0!</v>
      </c>
      <c r="H114" s="95">
        <f>+'11. Final Load Forecast'!$G$40</f>
        <v>0</v>
      </c>
      <c r="I114" s="187" t="e">
        <f t="shared" si="27"/>
        <v>#DIV/0!</v>
      </c>
    </row>
    <row r="115" spans="2:9" x14ac:dyDescent="0.2">
      <c r="B115" s="805">
        <v>2009</v>
      </c>
      <c r="C115" s="95">
        <f>'11. Final Load Forecast'!$H$38</f>
        <v>0</v>
      </c>
      <c r="D115" s="95">
        <f t="shared" si="24"/>
        <v>0</v>
      </c>
      <c r="E115" s="187" t="e">
        <f t="shared" si="25"/>
        <v>#DIV/0!</v>
      </c>
      <c r="F115" s="95">
        <f>+'11. Final Load Forecast'!$H$39</f>
        <v>0</v>
      </c>
      <c r="G115" s="187" t="e">
        <f t="shared" si="26"/>
        <v>#DIV/0!</v>
      </c>
      <c r="H115" s="95">
        <f>+'11. Final Load Forecast'!$H$40</f>
        <v>0</v>
      </c>
      <c r="I115" s="187" t="e">
        <f t="shared" si="27"/>
        <v>#DIV/0!</v>
      </c>
    </row>
    <row r="116" spans="2:9" x14ac:dyDescent="0.2">
      <c r="B116" s="805">
        <v>2010</v>
      </c>
      <c r="C116" s="95">
        <f>'11. Final Load Forecast'!$I$38</f>
        <v>0</v>
      </c>
      <c r="D116" s="95">
        <f t="shared" si="24"/>
        <v>0</v>
      </c>
      <c r="E116" s="187" t="e">
        <f t="shared" si="25"/>
        <v>#DIV/0!</v>
      </c>
      <c r="F116" s="95">
        <f>+'11. Final Load Forecast'!$I$39</f>
        <v>0</v>
      </c>
      <c r="G116" s="187" t="e">
        <f t="shared" si="26"/>
        <v>#DIV/0!</v>
      </c>
      <c r="H116" s="95">
        <f>+'11. Final Load Forecast'!$I$40</f>
        <v>0</v>
      </c>
      <c r="I116" s="187" t="e">
        <f t="shared" si="27"/>
        <v>#DIV/0!</v>
      </c>
    </row>
    <row r="117" spans="2:9" x14ac:dyDescent="0.2">
      <c r="B117" s="805">
        <v>2011</v>
      </c>
      <c r="C117" s="95">
        <f>'11. Final Load Forecast'!$J$38</f>
        <v>0</v>
      </c>
      <c r="D117" s="95">
        <f t="shared" si="24"/>
        <v>0</v>
      </c>
      <c r="E117" s="187" t="e">
        <f t="shared" si="25"/>
        <v>#DIV/0!</v>
      </c>
      <c r="F117" s="95">
        <f>+'11. Final Load Forecast'!$J$39</f>
        <v>0</v>
      </c>
      <c r="G117" s="187" t="e">
        <f t="shared" si="26"/>
        <v>#DIV/0!</v>
      </c>
      <c r="H117" s="95">
        <f>+'11. Final Load Forecast'!$J$40</f>
        <v>0</v>
      </c>
      <c r="I117" s="187" t="e">
        <f t="shared" si="27"/>
        <v>#DIV/0!</v>
      </c>
    </row>
    <row r="118" spans="2:9" x14ac:dyDescent="0.2">
      <c r="B118" s="805">
        <v>2012</v>
      </c>
      <c r="C118" s="95">
        <f>'11. Final Load Forecast'!$K$38</f>
        <v>0</v>
      </c>
      <c r="D118" s="95">
        <f t="shared" si="24"/>
        <v>0</v>
      </c>
      <c r="E118" s="187" t="e">
        <f t="shared" si="25"/>
        <v>#DIV/0!</v>
      </c>
      <c r="F118" s="95">
        <f>+'11. Final Load Forecast'!$K$39</f>
        <v>0</v>
      </c>
      <c r="G118" s="187" t="e">
        <f t="shared" si="26"/>
        <v>#DIV/0!</v>
      </c>
      <c r="H118" s="95">
        <f>+'11. Final Load Forecast'!$K$40</f>
        <v>0</v>
      </c>
      <c r="I118" s="187" t="e">
        <f t="shared" si="27"/>
        <v>#DIV/0!</v>
      </c>
    </row>
    <row r="119" spans="2:9" x14ac:dyDescent="0.2">
      <c r="B119" s="805">
        <v>2013</v>
      </c>
      <c r="C119" s="95">
        <f>'11. Final Load Forecast'!$L$38</f>
        <v>0</v>
      </c>
      <c r="D119" s="95">
        <f t="shared" si="24"/>
        <v>0</v>
      </c>
      <c r="E119" s="187" t="e">
        <f t="shared" si="25"/>
        <v>#DIV/0!</v>
      </c>
      <c r="F119" s="95">
        <f>+'11. Final Load Forecast'!$L$39</f>
        <v>0</v>
      </c>
      <c r="G119" s="187" t="e">
        <f t="shared" si="26"/>
        <v>#DIV/0!</v>
      </c>
      <c r="H119" s="95">
        <f>+'11. Final Load Forecast'!$L$40</f>
        <v>0</v>
      </c>
      <c r="I119" s="187" t="e">
        <f t="shared" si="27"/>
        <v>#DIV/0!</v>
      </c>
    </row>
    <row r="120" spans="2:9" x14ac:dyDescent="0.2">
      <c r="B120" s="805">
        <v>2014</v>
      </c>
      <c r="C120" s="95">
        <f>'11. Final Load Forecast'!$M$38</f>
        <v>0</v>
      </c>
      <c r="D120" s="95">
        <f t="shared" si="24"/>
        <v>0</v>
      </c>
      <c r="E120" s="187" t="e">
        <f t="shared" si="25"/>
        <v>#DIV/0!</v>
      </c>
      <c r="F120" s="95">
        <f>+'11. Final Load Forecast'!$M$39</f>
        <v>0</v>
      </c>
      <c r="G120" s="187" t="e">
        <f t="shared" si="26"/>
        <v>#DIV/0!</v>
      </c>
      <c r="H120" s="95">
        <f>+'11. Final Load Forecast'!$M$40</f>
        <v>0</v>
      </c>
      <c r="I120" s="187" t="e">
        <f t="shared" si="27"/>
        <v>#DIV/0!</v>
      </c>
    </row>
    <row r="121" spans="2:9" x14ac:dyDescent="0.2">
      <c r="B121" s="805">
        <v>2015</v>
      </c>
      <c r="C121" s="95">
        <f>'11. Final Load Forecast'!$N$38</f>
        <v>0</v>
      </c>
      <c r="D121" s="95">
        <f t="shared" si="24"/>
        <v>0</v>
      </c>
      <c r="E121" s="188" t="e">
        <f t="shared" si="25"/>
        <v>#DIV/0!</v>
      </c>
      <c r="F121" s="95">
        <f>+'11. Final Load Forecast'!$N$39</f>
        <v>0</v>
      </c>
      <c r="G121" s="188" t="e">
        <f t="shared" si="26"/>
        <v>#DIV/0!</v>
      </c>
      <c r="H121" s="95">
        <f>+'11. Final Load Forecast'!$N$40</f>
        <v>0</v>
      </c>
      <c r="I121" s="188" t="e">
        <f t="shared" si="27"/>
        <v>#DIV/0!</v>
      </c>
    </row>
    <row r="122" spans="2:9" x14ac:dyDescent="0.2">
      <c r="B122" s="805">
        <v>2016</v>
      </c>
      <c r="C122" s="95">
        <f>'11. Final Load Forecast'!$O$38</f>
        <v>0</v>
      </c>
      <c r="D122" s="95">
        <f>C122-C121</f>
        <v>0</v>
      </c>
      <c r="E122" s="188" t="e">
        <f t="shared" si="25"/>
        <v>#DIV/0!</v>
      </c>
      <c r="F122" s="95">
        <f>+'11. Final Load Forecast'!$O$39</f>
        <v>0</v>
      </c>
      <c r="G122" s="188" t="e">
        <f t="shared" si="26"/>
        <v>#DIV/0!</v>
      </c>
      <c r="H122" s="95">
        <f>+'11. Final Load Forecast'!$O$40</f>
        <v>0</v>
      </c>
      <c r="I122" s="188" t="e">
        <f t="shared" si="27"/>
        <v>#DIV/0!</v>
      </c>
    </row>
  </sheetData>
  <mergeCells count="7">
    <mergeCell ref="B13:I13"/>
    <mergeCell ref="B77:I77"/>
    <mergeCell ref="B93:I93"/>
    <mergeCell ref="B109:I109"/>
    <mergeCell ref="B61:I61"/>
    <mergeCell ref="B45:I45"/>
    <mergeCell ref="B29:I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1. LDC Info</vt:lpstr>
      <vt:lpstr>2. Customer Classes</vt:lpstr>
      <vt:lpstr>3. Consumption by Rate Class</vt:lpstr>
      <vt:lpstr>4. Customer Growth</vt:lpstr>
      <vt:lpstr>5.Variables</vt:lpstr>
      <vt:lpstr>6. WS Regression Analysis</vt:lpstr>
      <vt:lpstr>6.1 Regression Scenarios</vt:lpstr>
      <vt:lpstr>7. Weather Senstive Class</vt:lpstr>
      <vt:lpstr>8. KW and Non-Weather Sensitive</vt:lpstr>
      <vt:lpstr>9. Weather Adj LF</vt:lpstr>
      <vt:lpstr>10. CDM Adjustment</vt:lpstr>
      <vt:lpstr>10.1 CDM Allocation</vt:lpstr>
      <vt:lpstr>11. Final Load Forecast</vt:lpstr>
      <vt:lpstr>12. Analysis_ Avg Per Cust</vt:lpstr>
      <vt:lpstr>14. Winter Flag</vt:lpstr>
      <vt:lpstr>13. Analysis_Weather adj LF</vt:lpstr>
      <vt:lpstr>AllVariables</vt:lpstr>
      <vt:lpstr>'5.Variables'!Print_Area</vt:lpstr>
      <vt:lpstr>Variable1</vt:lpstr>
      <vt:lpstr>Variable2</vt:lpstr>
      <vt:lpstr>Variable3</vt:lpstr>
      <vt:lpstr>Variable5</vt:lpstr>
      <vt:lpstr>Variable6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2016-01-26T17:16:51Z</dcterms:modified>
</cp:coreProperties>
</file>