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34725" windowHeight="17400" tabRatio="799" firstSheet="3" activeTab="8"/>
  </bookViews>
  <sheets>
    <sheet name="1. LDC Info" sheetId="45" r:id="rId1"/>
    <sheet name="2. Customer Classes" sheetId="44" r:id="rId2"/>
    <sheet name="3. Consumption by Rate Class" sheetId="30" r:id="rId3"/>
    <sheet name="4. Customer Growth" sheetId="6" r:id="rId4"/>
    <sheet name="5.Variables" sheetId="52" r:id="rId5"/>
    <sheet name="6. WS Regression Analysis" sheetId="4" r:id="rId6"/>
    <sheet name="6.1 Regression Scenarios" sheetId="17" state="hidden" r:id="rId7"/>
    <sheet name="7. Weather Senstive Class" sheetId="29" r:id="rId8"/>
    <sheet name="8. KW and Non-Weather Sensitive" sheetId="46" r:id="rId9"/>
    <sheet name="9. Weather Adj LF" sheetId="32" r:id="rId10"/>
    <sheet name="10. CDM Adjustment" sheetId="42" r:id="rId11"/>
    <sheet name="10.1 CDM Allocation" sheetId="53" r:id="rId12"/>
    <sheet name="11. Final Load Forecast" sheetId="51" r:id="rId13"/>
    <sheet name="12. Analysis_ Avg Per Cust" sheetId="38" r:id="rId14"/>
    <sheet name="14. Winter Flag" sheetId="56" r:id="rId15"/>
    <sheet name="13. Analysis_Weather adj LF" sheetId="47" r:id="rId16"/>
  </sheets>
  <externalReferences>
    <externalReference r:id="rId17"/>
  </externalReferences>
  <definedNames>
    <definedName name="AllVariables">'5.Variables'!$B$120:$B$125</definedName>
    <definedName name="EBNUMBER">'[1]LDC Info'!$E$16</definedName>
    <definedName name="_xlnm.Print_Area" localSheetId="4">'5.Variables'!$A$10:$Z$132</definedName>
    <definedName name="RebaseYear">'[1]LDC Info'!$E$28</definedName>
    <definedName name="Variable1">'5.Variables'!$B$16</definedName>
    <definedName name="Variable2">'5.Variables'!$B$39</definedName>
    <definedName name="Variable3">'5.Variables'!$B$62</definedName>
    <definedName name="Variable5">'5.Variables'!$B$90</definedName>
    <definedName name="Variable6">'5.Variables'!$B$104</definedName>
  </definedNames>
  <calcPr calcId="152511"/>
</workbook>
</file>

<file path=xl/calcChain.xml><?xml version="1.0" encoding="utf-8"?>
<calcChain xmlns="http://schemas.openxmlformats.org/spreadsheetml/2006/main">
  <c r="AD31" i="29" l="1"/>
  <c r="V31" i="29"/>
  <c r="N31" i="29"/>
  <c r="F31" i="29"/>
  <c r="G32" i="46" l="1"/>
  <c r="F32" i="29" l="1"/>
  <c r="N32" i="29"/>
  <c r="F30" i="46" l="1"/>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2" i="4"/>
  <c r="R53" i="4"/>
  <c r="R54" i="4"/>
  <c r="R55" i="4"/>
  <c r="R56" i="4"/>
  <c r="R57" i="4"/>
  <c r="R58" i="4"/>
  <c r="R59" i="4"/>
  <c r="R60" i="4"/>
  <c r="R61" i="4"/>
  <c r="R62" i="4"/>
  <c r="R63" i="4"/>
  <c r="R64" i="4"/>
  <c r="R65" i="4"/>
  <c r="R66" i="4"/>
  <c r="R67" i="4"/>
  <c r="R68" i="4"/>
  <c r="R69" i="4"/>
  <c r="R70" i="4"/>
  <c r="R71" i="4"/>
  <c r="R72" i="4"/>
  <c r="R73" i="4"/>
  <c r="R74" i="4"/>
  <c r="R75" i="4"/>
  <c r="R76" i="4"/>
  <c r="R77" i="4"/>
  <c r="R78" i="4"/>
  <c r="R79" i="4"/>
  <c r="R80" i="4"/>
  <c r="R81" i="4"/>
  <c r="R82" i="4"/>
  <c r="R83" i="4"/>
  <c r="R84" i="4"/>
  <c r="R85" i="4"/>
  <c r="R86" i="4"/>
  <c r="R87" i="4"/>
  <c r="R88" i="4"/>
  <c r="R89" i="4"/>
  <c r="R90" i="4"/>
  <c r="R91" i="4"/>
  <c r="R92" i="4"/>
  <c r="R93" i="4"/>
  <c r="R94" i="4"/>
  <c r="R95" i="4"/>
  <c r="R96" i="4"/>
  <c r="R97" i="4"/>
  <c r="R98" i="4"/>
  <c r="R99" i="4"/>
  <c r="R100" i="4"/>
  <c r="R101" i="4"/>
  <c r="R102" i="4"/>
  <c r="R103" i="4"/>
  <c r="R104" i="4"/>
  <c r="R105" i="4"/>
  <c r="R106" i="4"/>
  <c r="R107" i="4"/>
  <c r="R108" i="4"/>
  <c r="R109" i="4"/>
  <c r="R110" i="4"/>
  <c r="R111" i="4"/>
  <c r="R112" i="4"/>
  <c r="R113" i="4"/>
  <c r="R114" i="4"/>
  <c r="R115" i="4"/>
  <c r="R116" i="4"/>
  <c r="R117" i="4"/>
  <c r="R118" i="4"/>
  <c r="R119" i="4"/>
  <c r="R120" i="4"/>
  <c r="R121" i="4"/>
  <c r="R122" i="4"/>
  <c r="R123" i="4"/>
  <c r="R124" i="4"/>
  <c r="R125" i="4"/>
  <c r="R126" i="4"/>
  <c r="R127" i="4"/>
  <c r="R128" i="4"/>
  <c r="R129" i="4"/>
  <c r="R130" i="4"/>
  <c r="R131" i="4"/>
  <c r="R132" i="4"/>
  <c r="R133" i="4"/>
  <c r="R134" i="4"/>
  <c r="R135" i="4"/>
  <c r="R136" i="4"/>
  <c r="R137" i="4"/>
  <c r="R138" i="4"/>
  <c r="R139" i="4"/>
  <c r="R20" i="4"/>
  <c r="C21" i="29" l="1"/>
  <c r="R37" i="6" l="1"/>
  <c r="C18" i="6"/>
  <c r="C19" i="6"/>
  <c r="I15" i="6"/>
  <c r="AK28" i="46" l="1"/>
  <c r="AK30" i="46"/>
  <c r="AK29" i="46"/>
  <c r="AK27" i="46"/>
  <c r="AK26" i="46"/>
  <c r="AK25" i="46"/>
  <c r="AK24" i="46"/>
  <c r="AK23" i="46"/>
  <c r="AK22" i="46"/>
  <c r="AK21" i="46"/>
  <c r="G24" i="6"/>
  <c r="G23" i="6"/>
  <c r="AH30" i="46"/>
  <c r="AH29" i="46"/>
  <c r="AH28" i="46"/>
  <c r="AH27" i="46"/>
  <c r="AH26" i="46"/>
  <c r="AH25" i="46"/>
  <c r="AH24" i="46"/>
  <c r="AH23" i="46"/>
  <c r="AH22" i="46"/>
  <c r="AH21" i="46"/>
  <c r="AA24" i="46"/>
  <c r="U20" i="30"/>
  <c r="K139" i="4"/>
  <c r="K138" i="4"/>
  <c r="K137" i="4"/>
  <c r="K136" i="4"/>
  <c r="K135" i="4"/>
  <c r="K134" i="4"/>
  <c r="K133" i="4"/>
  <c r="K132" i="4"/>
  <c r="K131" i="4"/>
  <c r="K130" i="4"/>
  <c r="K129" i="4"/>
  <c r="K128" i="4"/>
  <c r="K127" i="4"/>
  <c r="K126" i="4"/>
  <c r="K125" i="4"/>
  <c r="K124" i="4"/>
  <c r="K123" i="4"/>
  <c r="K122" i="4"/>
  <c r="K121" i="4"/>
  <c r="K120" i="4"/>
  <c r="K119" i="4"/>
  <c r="K118" i="4"/>
  <c r="K117" i="4"/>
  <c r="K116" i="4"/>
  <c r="K115" i="4"/>
  <c r="K114" i="4"/>
  <c r="K113" i="4"/>
  <c r="K112" i="4"/>
  <c r="K111" i="4"/>
  <c r="K110" i="4"/>
  <c r="K109" i="4"/>
  <c r="K108" i="4"/>
  <c r="K107" i="4"/>
  <c r="K106" i="4"/>
  <c r="K105" i="4"/>
  <c r="K104" i="4"/>
  <c r="K103" i="4"/>
  <c r="K102" i="4"/>
  <c r="K101" i="4"/>
  <c r="K100" i="4"/>
  <c r="K99" i="4"/>
  <c r="K98" i="4"/>
  <c r="K97" i="4"/>
  <c r="K96" i="4"/>
  <c r="K95" i="4"/>
  <c r="K94" i="4"/>
  <c r="K93" i="4"/>
  <c r="K92" i="4"/>
  <c r="K91" i="4"/>
  <c r="K90" i="4"/>
  <c r="K89" i="4"/>
  <c r="K88" i="4"/>
  <c r="K87" i="4"/>
  <c r="K86" i="4"/>
  <c r="K85" i="4"/>
  <c r="K84" i="4"/>
  <c r="K83" i="4"/>
  <c r="K82" i="4"/>
  <c r="K81" i="4"/>
  <c r="K80" i="4"/>
  <c r="K79" i="4"/>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B40" i="52"/>
  <c r="L20" i="4"/>
  <c r="L21" i="4"/>
  <c r="L22" i="4"/>
  <c r="L23" i="4"/>
  <c r="L24" i="4"/>
  <c r="L25" i="4"/>
  <c r="L26" i="4"/>
  <c r="L27" i="4"/>
  <c r="L28" i="4"/>
  <c r="L29" i="4"/>
  <c r="L30" i="4"/>
  <c r="L31" i="4"/>
  <c r="B18" i="52"/>
  <c r="K140" i="4" l="1"/>
  <c r="A21" i="4"/>
  <c r="X21" i="46"/>
  <c r="Z21" i="46" s="1"/>
  <c r="AR30" i="46"/>
  <c r="AR29" i="46"/>
  <c r="AT29" i="46" s="1"/>
  <c r="AR28" i="46"/>
  <c r="AT28" i="46" s="1"/>
  <c r="AR27" i="46"/>
  <c r="AT27" i="46" s="1"/>
  <c r="AR26" i="46"/>
  <c r="AT26" i="46" s="1"/>
  <c r="AR25" i="46"/>
  <c r="AT25" i="46" s="1"/>
  <c r="AR24" i="46"/>
  <c r="AT24" i="46" s="1"/>
  <c r="AR23" i="46"/>
  <c r="AT23" i="46" s="1"/>
  <c r="AR22" i="46"/>
  <c r="AT22" i="46" s="1"/>
  <c r="AR21" i="46"/>
  <c r="AT21" i="46" s="1"/>
  <c r="AJ29" i="46"/>
  <c r="AJ28" i="46"/>
  <c r="AJ27" i="46"/>
  <c r="AJ26" i="46"/>
  <c r="AJ25" i="46"/>
  <c r="AJ24" i="46"/>
  <c r="AJ23" i="46"/>
  <c r="AJ22" i="46"/>
  <c r="AJ21" i="46"/>
  <c r="X30" i="46"/>
  <c r="X29" i="46"/>
  <c r="Z29" i="46" s="1"/>
  <c r="X28" i="46"/>
  <c r="Z28" i="46" s="1"/>
  <c r="X27" i="46"/>
  <c r="Z27" i="46" s="1"/>
  <c r="X26" i="46"/>
  <c r="Z26" i="46" s="1"/>
  <c r="X25" i="46"/>
  <c r="Z25" i="46" s="1"/>
  <c r="X24" i="46"/>
  <c r="Z24" i="46" s="1"/>
  <c r="X23" i="46"/>
  <c r="Z23" i="46" s="1"/>
  <c r="X22" i="46"/>
  <c r="Z22" i="46" s="1"/>
  <c r="N30" i="46"/>
  <c r="N29" i="46"/>
  <c r="P29" i="46" s="1"/>
  <c r="N28" i="46"/>
  <c r="P28" i="46" s="1"/>
  <c r="N27" i="46"/>
  <c r="P27" i="46" s="1"/>
  <c r="N26" i="46"/>
  <c r="P26" i="46" s="1"/>
  <c r="N25" i="46"/>
  <c r="P25" i="46" s="1"/>
  <c r="N24" i="46"/>
  <c r="P24" i="46" s="1"/>
  <c r="N23" i="46"/>
  <c r="P23" i="46" s="1"/>
  <c r="N22" i="46"/>
  <c r="P22" i="46" s="1"/>
  <c r="N21" i="46"/>
  <c r="P21" i="46" s="1"/>
  <c r="C30" i="46"/>
  <c r="C29" i="46"/>
  <c r="E29" i="46" s="1"/>
  <c r="C28" i="46"/>
  <c r="E28" i="46" s="1"/>
  <c r="C27" i="46"/>
  <c r="E27" i="46" s="1"/>
  <c r="C26" i="46"/>
  <c r="E26" i="46" s="1"/>
  <c r="C25" i="46"/>
  <c r="E25" i="46" s="1"/>
  <c r="C24" i="46"/>
  <c r="E24" i="46" s="1"/>
  <c r="C23" i="46"/>
  <c r="E23" i="46" s="1"/>
  <c r="C22" i="46"/>
  <c r="E22" i="46" s="1"/>
  <c r="C21" i="46"/>
  <c r="E21" i="46" s="1"/>
  <c r="N34" i="53"/>
  <c r="I19" i="53"/>
  <c r="I37" i="53" s="1"/>
  <c r="H19" i="53"/>
  <c r="H37" i="53" s="1"/>
  <c r="G19" i="53"/>
  <c r="G37" i="53" s="1"/>
  <c r="F19" i="53"/>
  <c r="F37" i="53" s="1"/>
  <c r="E19" i="53"/>
  <c r="E37" i="53" s="1"/>
  <c r="B74" i="32"/>
  <c r="F74" i="32" s="1"/>
  <c r="AU30" i="46"/>
  <c r="AU29" i="46"/>
  <c r="AU28" i="46"/>
  <c r="AU27" i="46"/>
  <c r="AY27" i="46" s="1"/>
  <c r="AU26" i="46"/>
  <c r="AU25" i="46"/>
  <c r="AU24" i="46"/>
  <c r="AU23" i="46"/>
  <c r="AY23" i="46" s="1"/>
  <c r="AU22" i="46"/>
  <c r="AU21" i="46"/>
  <c r="AQ47" i="46"/>
  <c r="AO21" i="46" l="1"/>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Z30" i="46"/>
  <c r="AJ30" i="46"/>
  <c r="P30" i="46"/>
  <c r="E30" i="46"/>
  <c r="AT30" i="46"/>
  <c r="AY28" i="46"/>
  <c r="AY29" i="46"/>
  <c r="AY25" i="46"/>
  <c r="AY26" i="46"/>
  <c r="AY21" i="46"/>
  <c r="AY24" i="46"/>
  <c r="AY22" i="46"/>
  <c r="AY30" i="46"/>
  <c r="AY34" i="46" l="1"/>
  <c r="F89" i="42"/>
  <c r="E89" i="42"/>
  <c r="D89" i="42"/>
  <c r="E87" i="42"/>
  <c r="D87" i="42"/>
  <c r="C87" i="42"/>
  <c r="E71" i="42"/>
  <c r="G71" i="42" s="1"/>
  <c r="D71" i="42"/>
  <c r="I54" i="42"/>
  <c r="B53" i="42"/>
  <c r="B52" i="42"/>
  <c r="B51" i="42"/>
  <c r="B50" i="42"/>
  <c r="B49" i="42"/>
  <c r="C48" i="42"/>
  <c r="G91" i="42" s="1"/>
  <c r="B48" i="42"/>
  <c r="E30" i="42"/>
  <c r="D30" i="42"/>
  <c r="C30" i="42"/>
  <c r="F29" i="42"/>
  <c r="D93" i="42" l="1"/>
  <c r="H89" i="42"/>
  <c r="E93" i="42"/>
  <c r="F71" i="42"/>
  <c r="C54" i="42"/>
  <c r="C40" i="42"/>
  <c r="C46" i="42" s="1"/>
  <c r="D49" i="42"/>
  <c r="I49" i="42" s="1"/>
  <c r="F87" i="42"/>
  <c r="F93" i="42" s="1"/>
  <c r="F30" i="42"/>
  <c r="G29" i="42"/>
  <c r="G30" i="42" s="1"/>
  <c r="I91" i="42"/>
  <c r="I48" i="42"/>
  <c r="G93" i="42" l="1"/>
  <c r="I93" i="42" s="1"/>
  <c r="L34" i="53" s="1"/>
  <c r="I40" i="42"/>
  <c r="E50" i="42"/>
  <c r="D41" i="42"/>
  <c r="D46" i="42" s="1"/>
  <c r="D54" i="42"/>
  <c r="H87" i="42"/>
  <c r="F20" i="42"/>
  <c r="E20" i="42"/>
  <c r="D21" i="42"/>
  <c r="D20" i="42"/>
  <c r="F22" i="42"/>
  <c r="C20" i="42"/>
  <c r="F21" i="42"/>
  <c r="E22" i="42"/>
  <c r="E21" i="42"/>
  <c r="F23" i="42"/>
  <c r="G23" i="42" s="1"/>
  <c r="D24" i="42" l="1"/>
  <c r="I41" i="42"/>
  <c r="E42" i="42"/>
  <c r="F51" i="42"/>
  <c r="I50" i="42"/>
  <c r="E54" i="42"/>
  <c r="G21" i="42"/>
  <c r="E24" i="42"/>
  <c r="G22" i="42"/>
  <c r="C24" i="42"/>
  <c r="G20" i="42"/>
  <c r="F24" i="42"/>
  <c r="F43" i="42" l="1"/>
  <c r="I51" i="42"/>
  <c r="F54" i="42"/>
  <c r="G52" i="42"/>
  <c r="E46" i="42"/>
  <c r="I42" i="42"/>
  <c r="G24" i="42"/>
  <c r="B65" i="32"/>
  <c r="F65" i="32" s="1"/>
  <c r="B66" i="32"/>
  <c r="F66" i="32" s="1"/>
  <c r="B67" i="32"/>
  <c r="F67" i="32" s="1"/>
  <c r="B68" i="32"/>
  <c r="F68" i="32" s="1"/>
  <c r="B69" i="32"/>
  <c r="F69" i="32" s="1"/>
  <c r="B70" i="32"/>
  <c r="F70" i="32" s="1"/>
  <c r="B71" i="32"/>
  <c r="F71" i="32" s="1"/>
  <c r="B72" i="32"/>
  <c r="F72" i="32" s="1"/>
  <c r="B73" i="32"/>
  <c r="F73" i="32" s="1"/>
  <c r="AA30" i="46"/>
  <c r="AA29" i="46"/>
  <c r="AA28" i="46"/>
  <c r="AA27" i="46"/>
  <c r="AA26" i="46"/>
  <c r="AA25" i="46"/>
  <c r="AE25" i="46" s="1"/>
  <c r="AA23" i="46"/>
  <c r="AE23" i="46" s="1"/>
  <c r="AA22" i="46"/>
  <c r="AE22" i="46" s="1"/>
  <c r="AA21" i="46"/>
  <c r="AE21" i="46" s="1"/>
  <c r="AE24" i="46"/>
  <c r="AO22" i="46"/>
  <c r="AO24" i="46"/>
  <c r="AO25" i="46"/>
  <c r="AO23" i="46"/>
  <c r="AO26" i="46"/>
  <c r="AG47" i="46"/>
  <c r="W47" i="46"/>
  <c r="M47" i="46"/>
  <c r="B47" i="46"/>
  <c r="V37" i="6"/>
  <c r="V36" i="6"/>
  <c r="C16" i="32" l="1"/>
  <c r="E17" i="32"/>
  <c r="E21" i="32"/>
  <c r="W37" i="6"/>
  <c r="M41" i="32"/>
  <c r="E41" i="32"/>
  <c r="D39" i="51" s="1"/>
  <c r="G37" i="32"/>
  <c r="F35" i="51" s="1"/>
  <c r="I33" i="32"/>
  <c r="H31" i="51" s="1"/>
  <c r="K29" i="32"/>
  <c r="J27" i="51" s="1"/>
  <c r="K41" i="32"/>
  <c r="J39" i="51" s="1"/>
  <c r="E37" i="32"/>
  <c r="D35" i="51" s="1"/>
  <c r="I29" i="32"/>
  <c r="H27" i="51" s="1"/>
  <c r="H37" i="32"/>
  <c r="G35" i="51" s="1"/>
  <c r="L41" i="32"/>
  <c r="N37" i="32"/>
  <c r="F37" i="32"/>
  <c r="E35" i="51" s="1"/>
  <c r="H33" i="32"/>
  <c r="G31" i="51" s="1"/>
  <c r="J29" i="32"/>
  <c r="I27" i="51" s="1"/>
  <c r="F68" i="47" s="1"/>
  <c r="M37" i="32"/>
  <c r="G33" i="32"/>
  <c r="F31" i="51" s="1"/>
  <c r="F41" i="32"/>
  <c r="E39" i="51" s="1"/>
  <c r="L29" i="32"/>
  <c r="J41" i="32"/>
  <c r="I39" i="51" s="1"/>
  <c r="L37" i="32"/>
  <c r="N33" i="32"/>
  <c r="F33" i="32"/>
  <c r="E31" i="51" s="1"/>
  <c r="H29" i="32"/>
  <c r="G27" i="51" s="1"/>
  <c r="I41" i="32"/>
  <c r="H39" i="51" s="1"/>
  <c r="K37" i="32"/>
  <c r="J35" i="51" s="1"/>
  <c r="M33" i="32"/>
  <c r="E33" i="32"/>
  <c r="D31" i="51" s="1"/>
  <c r="G29" i="32"/>
  <c r="F27" i="51" s="1"/>
  <c r="H41" i="32"/>
  <c r="G39" i="51" s="1"/>
  <c r="J37" i="32"/>
  <c r="I35" i="51" s="1"/>
  <c r="L33" i="32"/>
  <c r="N29" i="32"/>
  <c r="F29" i="32"/>
  <c r="E27" i="51" s="1"/>
  <c r="G41" i="32"/>
  <c r="F39" i="51" s="1"/>
  <c r="I37" i="32"/>
  <c r="H35" i="51" s="1"/>
  <c r="K33" i="32"/>
  <c r="J31" i="51" s="1"/>
  <c r="M29" i="32"/>
  <c r="E29" i="32"/>
  <c r="D27" i="51" s="1"/>
  <c r="N41" i="32"/>
  <c r="J33" i="32"/>
  <c r="I31" i="51" s="1"/>
  <c r="H42" i="32"/>
  <c r="G40" i="51" s="1"/>
  <c r="L38" i="32"/>
  <c r="L22" i="32"/>
  <c r="P18" i="32"/>
  <c r="H18" i="32"/>
  <c r="G16" i="51" s="1"/>
  <c r="N42" i="32"/>
  <c r="E42" i="32"/>
  <c r="D40" i="51" s="1"/>
  <c r="H38" i="32"/>
  <c r="G36" i="51" s="1"/>
  <c r="J22" i="32"/>
  <c r="I20" i="51" s="1"/>
  <c r="M18" i="32"/>
  <c r="M42" i="32"/>
  <c r="G38" i="32"/>
  <c r="F36" i="51" s="1"/>
  <c r="I22" i="32"/>
  <c r="H20" i="51" s="1"/>
  <c r="L18" i="32"/>
  <c r="L42" i="32"/>
  <c r="F38" i="32"/>
  <c r="E36" i="51" s="1"/>
  <c r="H22" i="32"/>
  <c r="G20" i="51" s="1"/>
  <c r="K18" i="32"/>
  <c r="J16" i="51" s="1"/>
  <c r="J42" i="32"/>
  <c r="I40" i="51" s="1"/>
  <c r="M38" i="32"/>
  <c r="O22" i="32"/>
  <c r="F22" i="32"/>
  <c r="E20" i="51" s="1"/>
  <c r="I18" i="32"/>
  <c r="H16" i="51" s="1"/>
  <c r="J38" i="32"/>
  <c r="I36" i="51" s="1"/>
  <c r="O18" i="32"/>
  <c r="E38" i="32"/>
  <c r="D36" i="51" s="1"/>
  <c r="P22" i="32"/>
  <c r="I40" i="53" s="1"/>
  <c r="G42" i="32"/>
  <c r="F40" i="51" s="1"/>
  <c r="F18" i="32"/>
  <c r="E16" i="51" s="1"/>
  <c r="E18" i="32"/>
  <c r="I38" i="32"/>
  <c r="H36" i="51" s="1"/>
  <c r="N18" i="32"/>
  <c r="K42" i="32"/>
  <c r="J40" i="51" s="1"/>
  <c r="J18" i="32"/>
  <c r="I16" i="51" s="1"/>
  <c r="F42" i="32"/>
  <c r="E40" i="51" s="1"/>
  <c r="K22" i="32"/>
  <c r="J20" i="51" s="1"/>
  <c r="I42" i="32"/>
  <c r="H40" i="51" s="1"/>
  <c r="N22" i="32"/>
  <c r="G18" i="32"/>
  <c r="M22" i="32"/>
  <c r="N38" i="32"/>
  <c r="G22" i="32"/>
  <c r="F20" i="51" s="1"/>
  <c r="K38" i="32"/>
  <c r="J36" i="51" s="1"/>
  <c r="E22" i="32"/>
  <c r="D20" i="51" s="1"/>
  <c r="AE30" i="46"/>
  <c r="C28" i="32"/>
  <c r="C20" i="32"/>
  <c r="C36" i="32"/>
  <c r="C32" i="32"/>
  <c r="C24" i="32"/>
  <c r="C40" i="32"/>
  <c r="AE28" i="46"/>
  <c r="AE29" i="46"/>
  <c r="AO28" i="46"/>
  <c r="AO27" i="46"/>
  <c r="AO29" i="46"/>
  <c r="AO30" i="46"/>
  <c r="G44" i="42"/>
  <c r="H53" i="42"/>
  <c r="G54" i="42"/>
  <c r="I52" i="42"/>
  <c r="I43" i="42"/>
  <c r="F46" i="42"/>
  <c r="AE26" i="46"/>
  <c r="AE27" i="46"/>
  <c r="Q30" i="46"/>
  <c r="Q29" i="46"/>
  <c r="Q28" i="46"/>
  <c r="Q27" i="46"/>
  <c r="Q26" i="46"/>
  <c r="Q25" i="46"/>
  <c r="Q24" i="46"/>
  <c r="Q23" i="46"/>
  <c r="Q22" i="46"/>
  <c r="Q21" i="46"/>
  <c r="N26" i="32"/>
  <c r="F29" i="46"/>
  <c r="M26" i="32" s="1"/>
  <c r="F28" i="46"/>
  <c r="L26" i="32" s="1"/>
  <c r="F27" i="46"/>
  <c r="K26" i="32" s="1"/>
  <c r="J24" i="51" s="1"/>
  <c r="F26" i="46"/>
  <c r="J26" i="32" s="1"/>
  <c r="I24" i="51" s="1"/>
  <c r="F25" i="46"/>
  <c r="I26" i="32" s="1"/>
  <c r="H24" i="51" s="1"/>
  <c r="F24" i="46"/>
  <c r="H26" i="32" s="1"/>
  <c r="G24" i="51" s="1"/>
  <c r="F23" i="46"/>
  <c r="G26" i="32" s="1"/>
  <c r="F24" i="51" s="1"/>
  <c r="F22" i="46"/>
  <c r="F26" i="32" s="1"/>
  <c r="E24" i="51" s="1"/>
  <c r="F21" i="46"/>
  <c r="E26" i="32" s="1"/>
  <c r="D24" i="51" s="1"/>
  <c r="AI30" i="29"/>
  <c r="AI29" i="29"/>
  <c r="AI28" i="29"/>
  <c r="AI27" i="29"/>
  <c r="AI26" i="29"/>
  <c r="AI25" i="29"/>
  <c r="AI24" i="29"/>
  <c r="AI23" i="29"/>
  <c r="AI22" i="29"/>
  <c r="AI21" i="29"/>
  <c r="AA21" i="29"/>
  <c r="AH40" i="29"/>
  <c r="N37" i="6"/>
  <c r="P37" i="6"/>
  <c r="L37" i="6"/>
  <c r="H37" i="6"/>
  <c r="F37" i="6"/>
  <c r="D37" i="6"/>
  <c r="J37" i="6"/>
  <c r="AA30" i="29"/>
  <c r="AA29" i="29"/>
  <c r="AA28" i="29"/>
  <c r="AA27" i="29"/>
  <c r="AA26" i="29"/>
  <c r="AA25" i="29"/>
  <c r="AA24" i="29"/>
  <c r="AA23" i="29"/>
  <c r="AA22" i="29"/>
  <c r="S30" i="29"/>
  <c r="S29" i="29"/>
  <c r="S28" i="29"/>
  <c r="S27" i="29"/>
  <c r="S26" i="29"/>
  <c r="S25" i="29"/>
  <c r="S24" i="29"/>
  <c r="S23" i="29"/>
  <c r="S22" i="29"/>
  <c r="S21" i="29"/>
  <c r="K30" i="29"/>
  <c r="N21" i="32" s="1"/>
  <c r="K29" i="29"/>
  <c r="M21" i="32" s="1"/>
  <c r="K28" i="29"/>
  <c r="L21" i="32" s="1"/>
  <c r="K26" i="29"/>
  <c r="J21" i="32" s="1"/>
  <c r="K27" i="29"/>
  <c r="K21" i="32" s="1"/>
  <c r="K25" i="29"/>
  <c r="I21" i="32" s="1"/>
  <c r="K24" i="29"/>
  <c r="H21" i="32" s="1"/>
  <c r="K23" i="29"/>
  <c r="G21" i="32" s="1"/>
  <c r="K22" i="29"/>
  <c r="F21" i="32" s="1"/>
  <c r="K21" i="29"/>
  <c r="C30" i="29"/>
  <c r="N17" i="32" s="1"/>
  <c r="C29" i="29"/>
  <c r="M17" i="32" s="1"/>
  <c r="C28" i="29"/>
  <c r="L17" i="32" s="1"/>
  <c r="C27" i="29"/>
  <c r="K17" i="32" s="1"/>
  <c r="C26" i="29"/>
  <c r="J17" i="32" s="1"/>
  <c r="C25" i="29"/>
  <c r="I17" i="32" s="1"/>
  <c r="C24" i="29"/>
  <c r="H17" i="32" s="1"/>
  <c r="C23" i="29"/>
  <c r="G17" i="32" s="1"/>
  <c r="C22" i="29"/>
  <c r="F17" i="32" s="1"/>
  <c r="M26" i="6"/>
  <c r="M25" i="6"/>
  <c r="R29" i="46" s="1"/>
  <c r="M24" i="6"/>
  <c r="R28" i="46" s="1"/>
  <c r="M23" i="6"/>
  <c r="R27" i="46" s="1"/>
  <c r="M22" i="6"/>
  <c r="R26" i="46" s="1"/>
  <c r="M21" i="6"/>
  <c r="R25" i="46" s="1"/>
  <c r="M20" i="6"/>
  <c r="R24" i="46" s="1"/>
  <c r="M19" i="6"/>
  <c r="R23" i="46" s="1"/>
  <c r="M18" i="6"/>
  <c r="R22" i="46" s="1"/>
  <c r="M17" i="6"/>
  <c r="R21" i="46" s="1"/>
  <c r="O26" i="6"/>
  <c r="AB30" i="46" s="1"/>
  <c r="AD30" i="46" s="1"/>
  <c r="O25" i="6"/>
  <c r="AB29" i="46" s="1"/>
  <c r="AC29" i="46" s="1"/>
  <c r="O24" i="6"/>
  <c r="AB28" i="46" s="1"/>
  <c r="AC28" i="46" s="1"/>
  <c r="O23" i="6"/>
  <c r="AB27" i="46" s="1"/>
  <c r="AC27" i="46" s="1"/>
  <c r="O22" i="6"/>
  <c r="AB26" i="46" s="1"/>
  <c r="AD26" i="46" s="1"/>
  <c r="O21" i="6"/>
  <c r="AB25" i="46" s="1"/>
  <c r="AC25" i="46" s="1"/>
  <c r="O20" i="6"/>
  <c r="AB24" i="46" s="1"/>
  <c r="AC24" i="46" s="1"/>
  <c r="O19" i="6"/>
  <c r="AB23" i="46" s="1"/>
  <c r="AC23" i="46" s="1"/>
  <c r="O18" i="6"/>
  <c r="AB22" i="46" s="1"/>
  <c r="AC22" i="46" s="1"/>
  <c r="O17" i="6"/>
  <c r="AB21" i="46" s="1"/>
  <c r="AD21" i="46" s="1"/>
  <c r="K26" i="6"/>
  <c r="K25" i="6"/>
  <c r="G29" i="46" s="1"/>
  <c r="K24" i="6"/>
  <c r="G28" i="46" s="1"/>
  <c r="K23" i="6"/>
  <c r="G27" i="46" s="1"/>
  <c r="K22" i="6"/>
  <c r="G26" i="46" s="1"/>
  <c r="K21" i="6"/>
  <c r="G25" i="46" s="1"/>
  <c r="K20" i="6"/>
  <c r="G24" i="46" s="1"/>
  <c r="K19" i="6"/>
  <c r="G23" i="46" s="1"/>
  <c r="K18" i="6"/>
  <c r="G22" i="46" s="1"/>
  <c r="K17" i="6"/>
  <c r="G21" i="46" s="1"/>
  <c r="G17" i="6"/>
  <c r="AV21" i="46" s="1"/>
  <c r="G18" i="6"/>
  <c r="AV22" i="46" s="1"/>
  <c r="G19" i="6"/>
  <c r="AV23" i="46" s="1"/>
  <c r="G20" i="6"/>
  <c r="AV24" i="46" s="1"/>
  <c r="G21" i="6"/>
  <c r="AV25" i="46" s="1"/>
  <c r="G22" i="6"/>
  <c r="AV26" i="46" s="1"/>
  <c r="AV27" i="46"/>
  <c r="AV28" i="46"/>
  <c r="G25" i="6"/>
  <c r="AV29" i="46" s="1"/>
  <c r="G26" i="6"/>
  <c r="AV30" i="46" s="1"/>
  <c r="O15" i="6"/>
  <c r="M15" i="6"/>
  <c r="H30" i="32" l="1"/>
  <c r="G28" i="51" s="1"/>
  <c r="L30" i="32"/>
  <c r="E30" i="32"/>
  <c r="D28" i="51" s="1"/>
  <c r="H63" i="47" s="1"/>
  <c r="I30" i="32"/>
  <c r="H28" i="51" s="1"/>
  <c r="M30" i="32"/>
  <c r="L28" i="51" s="1"/>
  <c r="F30" i="32"/>
  <c r="E28" i="51" s="1"/>
  <c r="H64" i="47" s="1"/>
  <c r="J30" i="32"/>
  <c r="I28" i="51" s="1"/>
  <c r="N30" i="32"/>
  <c r="G44" i="53" s="1"/>
  <c r="G30" i="32"/>
  <c r="F28" i="51" s="1"/>
  <c r="H65" i="47" s="1"/>
  <c r="K30" i="32"/>
  <c r="J28" i="51" s="1"/>
  <c r="H69" i="47" s="1"/>
  <c r="K34" i="32"/>
  <c r="J32" i="51" s="1"/>
  <c r="H85" i="47" s="1"/>
  <c r="G34" i="32"/>
  <c r="F32" i="51" s="1"/>
  <c r="H81" i="47" s="1"/>
  <c r="E34" i="32"/>
  <c r="D32" i="51" s="1"/>
  <c r="H79" i="47" s="1"/>
  <c r="F34" i="32"/>
  <c r="E32" i="51" s="1"/>
  <c r="H80" i="47" s="1"/>
  <c r="N34" i="32"/>
  <c r="G46" i="53" s="1"/>
  <c r="I34" i="32"/>
  <c r="H32" i="51" s="1"/>
  <c r="H83" i="47" s="1"/>
  <c r="M34" i="32"/>
  <c r="L32" i="51" s="1"/>
  <c r="L34" i="32"/>
  <c r="K32" i="51" s="1"/>
  <c r="J34" i="32"/>
  <c r="I32" i="51" s="1"/>
  <c r="H84" i="47" s="1"/>
  <c r="H34" i="32"/>
  <c r="G32" i="51" s="1"/>
  <c r="H82" i="47" s="1"/>
  <c r="AW30" i="46"/>
  <c r="AX30" i="46"/>
  <c r="AW22" i="46"/>
  <c r="AX22" i="46"/>
  <c r="AW29" i="46"/>
  <c r="AX29" i="46"/>
  <c r="AW21" i="46"/>
  <c r="AX21" i="46"/>
  <c r="AW28" i="46"/>
  <c r="AX28" i="46"/>
  <c r="AW24" i="46"/>
  <c r="AX24" i="46"/>
  <c r="AW26" i="46"/>
  <c r="AX26" i="46"/>
  <c r="AW25" i="46"/>
  <c r="AX25" i="46"/>
  <c r="AW27" i="46"/>
  <c r="AW34" i="46" s="1"/>
  <c r="AU49" i="46" s="1"/>
  <c r="AX27" i="46"/>
  <c r="AW23" i="46"/>
  <c r="AX23" i="46"/>
  <c r="AE34" i="46"/>
  <c r="AD24" i="46"/>
  <c r="H21" i="46"/>
  <c r="N36" i="6"/>
  <c r="R30" i="46"/>
  <c r="T30" i="46" s="1"/>
  <c r="N21" i="6"/>
  <c r="N23" i="6"/>
  <c r="N19" i="6"/>
  <c r="AC26" i="46"/>
  <c r="AD25" i="46"/>
  <c r="AD28" i="46"/>
  <c r="AD29" i="46"/>
  <c r="N25" i="6"/>
  <c r="AC30" i="46"/>
  <c r="N18" i="6"/>
  <c r="AD27" i="46"/>
  <c r="AD22" i="46"/>
  <c r="AC21" i="46"/>
  <c r="N24" i="6"/>
  <c r="AD23" i="46"/>
  <c r="N20" i="6"/>
  <c r="N22" i="6"/>
  <c r="L36" i="6"/>
  <c r="G30" i="46"/>
  <c r="I30" i="46" s="1"/>
  <c r="H53" i="47"/>
  <c r="H67" i="47"/>
  <c r="H68" i="47"/>
  <c r="F42" i="53"/>
  <c r="L24" i="51"/>
  <c r="H48" i="47"/>
  <c r="K28" i="51"/>
  <c r="E44" i="53"/>
  <c r="H49" i="47"/>
  <c r="H51" i="47"/>
  <c r="H52" i="47"/>
  <c r="F69" i="47"/>
  <c r="B26" i="53"/>
  <c r="B44" i="53" s="1"/>
  <c r="B26" i="51"/>
  <c r="F97" i="47"/>
  <c r="F99" i="47"/>
  <c r="H66" i="47"/>
  <c r="H20" i="47"/>
  <c r="H113" i="47"/>
  <c r="H38" i="53"/>
  <c r="N16" i="51"/>
  <c r="K39" i="51"/>
  <c r="E32" i="53"/>
  <c r="F48" i="53"/>
  <c r="L36" i="51"/>
  <c r="G32" i="53"/>
  <c r="M39" i="51"/>
  <c r="F38" i="53"/>
  <c r="L16" i="51"/>
  <c r="G50" i="53"/>
  <c r="M40" i="51"/>
  <c r="F79" i="47"/>
  <c r="F117" i="47"/>
  <c r="F32" i="53"/>
  <c r="L39" i="51"/>
  <c r="F40" i="53"/>
  <c r="L20" i="51"/>
  <c r="H99" i="47"/>
  <c r="H19" i="47"/>
  <c r="H116" i="47"/>
  <c r="H21" i="47"/>
  <c r="K40" i="51"/>
  <c r="E50" i="53"/>
  <c r="E38" i="53"/>
  <c r="K16" i="51"/>
  <c r="F50" i="53"/>
  <c r="L40" i="51"/>
  <c r="H36" i="47"/>
  <c r="H18" i="47"/>
  <c r="E48" i="53"/>
  <c r="K36" i="51"/>
  <c r="F28" i="53"/>
  <c r="L31" i="51"/>
  <c r="B14" i="51"/>
  <c r="B20" i="53"/>
  <c r="B38" i="53" s="1"/>
  <c r="H31" i="47"/>
  <c r="H33" i="47"/>
  <c r="H115" i="47"/>
  <c r="H117" i="47"/>
  <c r="O15" i="38"/>
  <c r="C111" i="47"/>
  <c r="F111" i="47"/>
  <c r="H32" i="47"/>
  <c r="F83" i="47"/>
  <c r="H34" i="47"/>
  <c r="F85" i="47"/>
  <c r="H35" i="47"/>
  <c r="I38" i="53"/>
  <c r="H114" i="47"/>
  <c r="F80" i="47"/>
  <c r="B32" i="53"/>
  <c r="B50" i="53" s="1"/>
  <c r="H37" i="47"/>
  <c r="H100" i="47"/>
  <c r="H40" i="53"/>
  <c r="N20" i="51"/>
  <c r="H47" i="47"/>
  <c r="F66" i="47"/>
  <c r="E40" i="53"/>
  <c r="K20" i="51"/>
  <c r="G28" i="53"/>
  <c r="M31" i="51"/>
  <c r="H112" i="47"/>
  <c r="D16" i="51"/>
  <c r="E42" i="53"/>
  <c r="K24" i="51"/>
  <c r="F65" i="47"/>
  <c r="M28" i="51"/>
  <c r="F82" i="47"/>
  <c r="B28" i="53"/>
  <c r="B46" i="53" s="1"/>
  <c r="B30" i="51"/>
  <c r="H101" i="47"/>
  <c r="G48" i="53"/>
  <c r="M36" i="51"/>
  <c r="G30" i="53"/>
  <c r="M35" i="51"/>
  <c r="E26" i="53"/>
  <c r="K27" i="51"/>
  <c r="E28" i="53"/>
  <c r="K31" i="51"/>
  <c r="B30" i="53"/>
  <c r="B48" i="53" s="1"/>
  <c r="B34" i="51"/>
  <c r="F67" i="47"/>
  <c r="L35" i="51"/>
  <c r="F30" i="53"/>
  <c r="F16" i="51"/>
  <c r="G38" i="53"/>
  <c r="M16" i="51"/>
  <c r="F96" i="47"/>
  <c r="F98" i="47"/>
  <c r="F100" i="47"/>
  <c r="F101" i="47"/>
  <c r="F114" i="47"/>
  <c r="H98" i="47"/>
  <c r="B24" i="53"/>
  <c r="B42" i="53" s="1"/>
  <c r="B22" i="51"/>
  <c r="F95" i="47"/>
  <c r="H95" i="47"/>
  <c r="F64" i="47"/>
  <c r="G42" i="53"/>
  <c r="M24" i="51"/>
  <c r="H50" i="47"/>
  <c r="F81" i="47"/>
  <c r="F115" i="47"/>
  <c r="G26" i="53"/>
  <c r="M27" i="51"/>
  <c r="E30" i="53"/>
  <c r="K35" i="51"/>
  <c r="B22" i="53"/>
  <c r="B40" i="53" s="1"/>
  <c r="B18" i="51"/>
  <c r="F63" i="47"/>
  <c r="G40" i="53"/>
  <c r="M20" i="51"/>
  <c r="L27" i="51"/>
  <c r="F26" i="53"/>
  <c r="H16" i="47"/>
  <c r="F116" i="47"/>
  <c r="F112" i="47"/>
  <c r="H96" i="47"/>
  <c r="F113" i="47"/>
  <c r="H97" i="47"/>
  <c r="H111" i="47"/>
  <c r="P15" i="38"/>
  <c r="F84" i="47"/>
  <c r="H45" i="42"/>
  <c r="I53" i="42"/>
  <c r="H54" i="42"/>
  <c r="G46" i="42"/>
  <c r="I44" i="42"/>
  <c r="U21" i="46"/>
  <c r="T21" i="46"/>
  <c r="S21" i="46"/>
  <c r="U29" i="46"/>
  <c r="T29" i="46"/>
  <c r="S29" i="46"/>
  <c r="U22" i="46"/>
  <c r="T22" i="46"/>
  <c r="S22" i="46"/>
  <c r="U30" i="46"/>
  <c r="U23" i="46"/>
  <c r="T23" i="46"/>
  <c r="S23" i="46"/>
  <c r="U24" i="46"/>
  <c r="S24" i="46"/>
  <c r="T24" i="46"/>
  <c r="U25" i="46"/>
  <c r="T25" i="46"/>
  <c r="S25" i="46"/>
  <c r="U26" i="46"/>
  <c r="T26" i="46"/>
  <c r="S26" i="46"/>
  <c r="U27" i="46"/>
  <c r="T27" i="46"/>
  <c r="S27" i="46"/>
  <c r="U28" i="46"/>
  <c r="S28" i="46"/>
  <c r="T28" i="46"/>
  <c r="J28" i="46"/>
  <c r="H28" i="46"/>
  <c r="I28" i="46"/>
  <c r="I21" i="46"/>
  <c r="J29" i="46"/>
  <c r="H29" i="46"/>
  <c r="I29" i="46"/>
  <c r="J22" i="46"/>
  <c r="I22" i="46"/>
  <c r="H22" i="46"/>
  <c r="J30" i="46"/>
  <c r="J23" i="46"/>
  <c r="I23" i="46"/>
  <c r="H23" i="46"/>
  <c r="J24" i="46"/>
  <c r="I24" i="46"/>
  <c r="H24" i="46"/>
  <c r="J25" i="46"/>
  <c r="I25" i="46"/>
  <c r="H25" i="46"/>
  <c r="J26" i="46"/>
  <c r="H26" i="46"/>
  <c r="I26" i="46"/>
  <c r="J27" i="46"/>
  <c r="H27" i="46"/>
  <c r="I27" i="46"/>
  <c r="J21" i="46"/>
  <c r="AO34" i="46"/>
  <c r="N26" i="6"/>
  <c r="R20" i="30"/>
  <c r="O20" i="30"/>
  <c r="L20" i="30"/>
  <c r="J20" i="30"/>
  <c r="H20" i="30"/>
  <c r="Z40" i="29"/>
  <c r="F44" i="53" l="1"/>
  <c r="F46" i="53"/>
  <c r="F52" i="53" s="1"/>
  <c r="G58" i="32"/>
  <c r="M32" i="51"/>
  <c r="F58" i="32"/>
  <c r="AX34" i="46"/>
  <c r="AV49" i="46" s="1"/>
  <c r="E46" i="53"/>
  <c r="E52" i="53" s="1"/>
  <c r="E58" i="32"/>
  <c r="S30" i="46"/>
  <c r="AU50" i="46"/>
  <c r="AD34" i="46"/>
  <c r="AB49" i="46" s="1"/>
  <c r="AC34" i="46"/>
  <c r="AA49" i="46" s="1"/>
  <c r="H30" i="46"/>
  <c r="H34" i="46" s="1"/>
  <c r="F50" i="46" s="1"/>
  <c r="N28" i="6"/>
  <c r="M30" i="6" s="1"/>
  <c r="M31" i="6" s="1"/>
  <c r="M43" i="6" s="1"/>
  <c r="I21" i="47"/>
  <c r="I114" i="47"/>
  <c r="I19" i="47"/>
  <c r="G98" i="47"/>
  <c r="I117" i="47"/>
  <c r="G112" i="47"/>
  <c r="I100" i="47"/>
  <c r="G81" i="47"/>
  <c r="I96" i="47"/>
  <c r="G100" i="47"/>
  <c r="I84" i="47"/>
  <c r="G82" i="47"/>
  <c r="I112" i="47"/>
  <c r="I83" i="47"/>
  <c r="I115" i="47"/>
  <c r="I97" i="47"/>
  <c r="G99" i="47"/>
  <c r="G114" i="47"/>
  <c r="I37" i="47"/>
  <c r="I35" i="47"/>
  <c r="I33" i="47"/>
  <c r="F102" i="47"/>
  <c r="G102" i="47" s="1"/>
  <c r="H56" i="47"/>
  <c r="H102" i="47"/>
  <c r="H22" i="47"/>
  <c r="I22" i="47" s="1"/>
  <c r="H39" i="47"/>
  <c r="F104" i="47"/>
  <c r="L58" i="32"/>
  <c r="G116" i="47"/>
  <c r="F88" i="47"/>
  <c r="G83" i="47"/>
  <c r="F71" i="47"/>
  <c r="I98" i="47"/>
  <c r="I101" i="47"/>
  <c r="I81" i="47"/>
  <c r="H41" i="47"/>
  <c r="F87" i="47"/>
  <c r="H119" i="47"/>
  <c r="H23" i="47"/>
  <c r="H55" i="47"/>
  <c r="J58" i="32"/>
  <c r="H40" i="47"/>
  <c r="G96" i="47"/>
  <c r="F103" i="47"/>
  <c r="H86" i="47"/>
  <c r="I86" i="47" s="1"/>
  <c r="B77" i="47"/>
  <c r="K13" i="38"/>
  <c r="O13" i="38"/>
  <c r="B109" i="47"/>
  <c r="I34" i="47"/>
  <c r="I116" i="47"/>
  <c r="H88" i="47"/>
  <c r="F118" i="47"/>
  <c r="G118" i="47" s="1"/>
  <c r="I58" i="32"/>
  <c r="H54" i="47"/>
  <c r="N38" i="53"/>
  <c r="M38" i="53"/>
  <c r="G115" i="47"/>
  <c r="F86" i="47"/>
  <c r="G86" i="47" s="1"/>
  <c r="H25" i="47"/>
  <c r="G13" i="38"/>
  <c r="B45" i="47"/>
  <c r="H24" i="47"/>
  <c r="F119" i="47"/>
  <c r="F120" i="47"/>
  <c r="G52" i="53"/>
  <c r="H118" i="47"/>
  <c r="I118" i="47" s="1"/>
  <c r="K58" i="32"/>
  <c r="I82" i="47"/>
  <c r="G113" i="47"/>
  <c r="F72" i="47"/>
  <c r="G101" i="47"/>
  <c r="B93" i="47"/>
  <c r="M13" i="38"/>
  <c r="I85" i="47"/>
  <c r="H72" i="47"/>
  <c r="H38" i="47"/>
  <c r="I38" i="47" s="1"/>
  <c r="G80" i="47"/>
  <c r="I32" i="47"/>
  <c r="H87" i="47"/>
  <c r="I99" i="47"/>
  <c r="H120" i="47"/>
  <c r="H103" i="47"/>
  <c r="I113" i="47"/>
  <c r="G97" i="47"/>
  <c r="H71" i="47"/>
  <c r="N58" i="32"/>
  <c r="M58" i="32"/>
  <c r="G84" i="47"/>
  <c r="B29" i="47"/>
  <c r="E13" i="38"/>
  <c r="I80" i="47"/>
  <c r="H104" i="47"/>
  <c r="H15" i="47"/>
  <c r="I16" i="47" s="1"/>
  <c r="H70" i="47"/>
  <c r="H17" i="47"/>
  <c r="I17" i="47" s="1"/>
  <c r="F70" i="47"/>
  <c r="G85" i="47"/>
  <c r="B13" i="47"/>
  <c r="C13" i="38"/>
  <c r="I36" i="47"/>
  <c r="G117" i="47"/>
  <c r="I20" i="47"/>
  <c r="B61" i="47"/>
  <c r="I13" i="38"/>
  <c r="H58" i="32"/>
  <c r="H46" i="42"/>
  <c r="I46" i="42" s="1"/>
  <c r="I45" i="42"/>
  <c r="I34" i="46"/>
  <c r="G49" i="46" s="1"/>
  <c r="U34" i="46"/>
  <c r="T34" i="46"/>
  <c r="J34" i="46"/>
  <c r="B125" i="52"/>
  <c r="B123" i="52"/>
  <c r="N42" i="6" l="1"/>
  <c r="AV50" i="46"/>
  <c r="M42" i="6"/>
  <c r="R31" i="46" s="1"/>
  <c r="P49" i="46" s="1"/>
  <c r="N43" i="6"/>
  <c r="AB50" i="46"/>
  <c r="R32" i="46"/>
  <c r="P50" i="46" s="1"/>
  <c r="AA50" i="46"/>
  <c r="G103" i="47"/>
  <c r="I120" i="47"/>
  <c r="G119" i="47"/>
  <c r="I87" i="47"/>
  <c r="I23" i="47"/>
  <c r="I18" i="47"/>
  <c r="I41" i="47"/>
  <c r="G88" i="47"/>
  <c r="I39" i="47"/>
  <c r="O38" i="53"/>
  <c r="O16" i="51" s="1"/>
  <c r="I119" i="47"/>
  <c r="I88" i="47"/>
  <c r="I25" i="47"/>
  <c r="I104" i="47"/>
  <c r="G120" i="47"/>
  <c r="G87" i="47"/>
  <c r="G104" i="47"/>
  <c r="I24" i="47"/>
  <c r="I40" i="47"/>
  <c r="I103" i="47"/>
  <c r="I102" i="47"/>
  <c r="F49" i="46"/>
  <c r="R49" i="46"/>
  <c r="R50" i="46"/>
  <c r="G50" i="46"/>
  <c r="H26" i="47" l="1"/>
  <c r="I26" i="47" s="1"/>
  <c r="M20" i="4" l="1"/>
  <c r="N20" i="4"/>
  <c r="M21" i="4"/>
  <c r="N21" i="4"/>
  <c r="M22" i="4"/>
  <c r="N22" i="4"/>
  <c r="M23" i="4"/>
  <c r="N23" i="4"/>
  <c r="M24" i="4"/>
  <c r="N24" i="4"/>
  <c r="M25" i="4"/>
  <c r="N25" i="4"/>
  <c r="M26" i="4"/>
  <c r="N26" i="4"/>
  <c r="M27" i="4"/>
  <c r="N27" i="4"/>
  <c r="M28" i="4"/>
  <c r="N28" i="4"/>
  <c r="M29" i="4"/>
  <c r="N29" i="4"/>
  <c r="M30" i="4"/>
  <c r="N30" i="4"/>
  <c r="M31" i="4"/>
  <c r="N31" i="4"/>
  <c r="M32" i="4"/>
  <c r="N32" i="4"/>
  <c r="M33" i="4"/>
  <c r="N33" i="4"/>
  <c r="M34" i="4"/>
  <c r="N34" i="4"/>
  <c r="M35" i="4"/>
  <c r="N35" i="4"/>
  <c r="M36" i="4"/>
  <c r="N36" i="4"/>
  <c r="M37" i="4"/>
  <c r="N37" i="4"/>
  <c r="M38" i="4"/>
  <c r="N38" i="4"/>
  <c r="M39" i="4"/>
  <c r="N39" i="4"/>
  <c r="M40" i="4"/>
  <c r="N40" i="4"/>
  <c r="M41" i="4"/>
  <c r="N41" i="4"/>
  <c r="M42" i="4"/>
  <c r="N42" i="4"/>
  <c r="M43" i="4"/>
  <c r="N43" i="4"/>
  <c r="M44" i="4"/>
  <c r="N44" i="4"/>
  <c r="M45" i="4"/>
  <c r="N45" i="4"/>
  <c r="M46" i="4"/>
  <c r="N46" i="4"/>
  <c r="M47" i="4"/>
  <c r="N47" i="4"/>
  <c r="M48" i="4"/>
  <c r="N48" i="4"/>
  <c r="M49" i="4"/>
  <c r="N49" i="4"/>
  <c r="M50" i="4"/>
  <c r="N50" i="4"/>
  <c r="M51" i="4"/>
  <c r="N51" i="4"/>
  <c r="M52" i="4"/>
  <c r="N52" i="4"/>
  <c r="M53" i="4"/>
  <c r="N53" i="4"/>
  <c r="M54" i="4"/>
  <c r="N54" i="4"/>
  <c r="M55" i="4"/>
  <c r="N55" i="4"/>
  <c r="M56" i="4"/>
  <c r="N56" i="4"/>
  <c r="M57" i="4"/>
  <c r="N57" i="4"/>
  <c r="M58" i="4"/>
  <c r="N58" i="4"/>
  <c r="M59" i="4"/>
  <c r="N59" i="4"/>
  <c r="M60" i="4"/>
  <c r="N60" i="4"/>
  <c r="M61" i="4"/>
  <c r="N61" i="4"/>
  <c r="M62" i="4"/>
  <c r="N62" i="4"/>
  <c r="M63" i="4"/>
  <c r="N63" i="4"/>
  <c r="M64" i="4"/>
  <c r="N64" i="4"/>
  <c r="M65" i="4"/>
  <c r="N65" i="4"/>
  <c r="M66" i="4"/>
  <c r="N66" i="4"/>
  <c r="M67" i="4"/>
  <c r="N67" i="4"/>
  <c r="M68" i="4"/>
  <c r="N68" i="4"/>
  <c r="M69" i="4"/>
  <c r="N69" i="4"/>
  <c r="M70" i="4"/>
  <c r="N70" i="4"/>
  <c r="M71" i="4"/>
  <c r="N71" i="4"/>
  <c r="M72" i="4"/>
  <c r="N72" i="4"/>
  <c r="M73" i="4"/>
  <c r="N73" i="4"/>
  <c r="M74" i="4"/>
  <c r="N74" i="4"/>
  <c r="M75" i="4"/>
  <c r="N75" i="4"/>
  <c r="M76" i="4"/>
  <c r="N76" i="4"/>
  <c r="M77" i="4"/>
  <c r="N77" i="4"/>
  <c r="M78" i="4"/>
  <c r="N78" i="4"/>
  <c r="M79" i="4"/>
  <c r="N79" i="4"/>
  <c r="M80" i="4"/>
  <c r="N80" i="4"/>
  <c r="M81" i="4"/>
  <c r="N81" i="4"/>
  <c r="M82" i="4"/>
  <c r="N82" i="4"/>
  <c r="M83" i="4"/>
  <c r="N83" i="4"/>
  <c r="M84" i="4"/>
  <c r="N84" i="4"/>
  <c r="M85" i="4"/>
  <c r="N85" i="4"/>
  <c r="M86" i="4"/>
  <c r="N86" i="4"/>
  <c r="M87" i="4"/>
  <c r="N87" i="4"/>
  <c r="M88" i="4"/>
  <c r="N88" i="4"/>
  <c r="M89" i="4"/>
  <c r="N89" i="4"/>
  <c r="M90" i="4"/>
  <c r="N90" i="4"/>
  <c r="M91" i="4"/>
  <c r="N91" i="4"/>
  <c r="M92" i="4"/>
  <c r="N92" i="4"/>
  <c r="M93" i="4"/>
  <c r="N93" i="4"/>
  <c r="M94" i="4"/>
  <c r="N94" i="4"/>
  <c r="M95" i="4"/>
  <c r="N95" i="4"/>
  <c r="M96" i="4"/>
  <c r="N96" i="4"/>
  <c r="M97" i="4"/>
  <c r="N97" i="4"/>
  <c r="M98" i="4"/>
  <c r="N98" i="4"/>
  <c r="M99" i="4"/>
  <c r="N99" i="4"/>
  <c r="M100" i="4"/>
  <c r="N100" i="4"/>
  <c r="M101" i="4"/>
  <c r="N101" i="4"/>
  <c r="M102" i="4"/>
  <c r="N102" i="4"/>
  <c r="M103" i="4"/>
  <c r="N103" i="4"/>
  <c r="M104" i="4"/>
  <c r="N104" i="4"/>
  <c r="M105" i="4"/>
  <c r="N105" i="4"/>
  <c r="M106" i="4"/>
  <c r="N106" i="4"/>
  <c r="M107" i="4"/>
  <c r="N107" i="4"/>
  <c r="M108" i="4"/>
  <c r="N108" i="4"/>
  <c r="M109" i="4"/>
  <c r="N109" i="4"/>
  <c r="M110" i="4"/>
  <c r="N110" i="4"/>
  <c r="M111" i="4"/>
  <c r="N111" i="4"/>
  <c r="M112" i="4"/>
  <c r="N112" i="4"/>
  <c r="M113" i="4"/>
  <c r="N113" i="4"/>
  <c r="M114" i="4"/>
  <c r="N114" i="4"/>
  <c r="M115" i="4"/>
  <c r="N115" i="4"/>
  <c r="M116" i="4"/>
  <c r="N116" i="4"/>
  <c r="M117" i="4"/>
  <c r="N117" i="4"/>
  <c r="M118" i="4"/>
  <c r="N118" i="4"/>
  <c r="M119" i="4"/>
  <c r="N119" i="4"/>
  <c r="M120" i="4"/>
  <c r="N120" i="4"/>
  <c r="M121" i="4"/>
  <c r="N121" i="4"/>
  <c r="M122" i="4"/>
  <c r="N122" i="4"/>
  <c r="M123" i="4"/>
  <c r="N123" i="4"/>
  <c r="M124" i="4"/>
  <c r="N124" i="4"/>
  <c r="M125" i="4"/>
  <c r="N125" i="4"/>
  <c r="M126" i="4"/>
  <c r="N126" i="4"/>
  <c r="M127" i="4"/>
  <c r="N127" i="4"/>
  <c r="M128" i="4"/>
  <c r="N128" i="4"/>
  <c r="M129" i="4"/>
  <c r="N129" i="4"/>
  <c r="M130" i="4"/>
  <c r="N130" i="4"/>
  <c r="M131" i="4"/>
  <c r="N131" i="4"/>
  <c r="M132" i="4"/>
  <c r="N132" i="4"/>
  <c r="M133" i="4"/>
  <c r="N133" i="4"/>
  <c r="M134" i="4"/>
  <c r="N134" i="4"/>
  <c r="M135" i="4"/>
  <c r="N135" i="4"/>
  <c r="M136" i="4"/>
  <c r="N136" i="4"/>
  <c r="M137" i="4"/>
  <c r="N137" i="4"/>
  <c r="M138" i="4"/>
  <c r="N138" i="4"/>
  <c r="M139" i="4"/>
  <c r="N139"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C177" i="4" l="1"/>
  <c r="D177" i="4"/>
  <c r="D179" i="4"/>
  <c r="C179" i="4"/>
  <c r="C178" i="4"/>
  <c r="D178" i="4"/>
  <c r="J36" i="6"/>
  <c r="L148" i="4" l="1"/>
  <c r="L160" i="4" s="1"/>
  <c r="L146" i="4"/>
  <c r="L158" i="4" s="1"/>
  <c r="L141" i="4"/>
  <c r="L153" i="4" s="1"/>
  <c r="L142" i="4"/>
  <c r="L154" i="4" s="1"/>
  <c r="L143" i="4"/>
  <c r="L155" i="4" s="1"/>
  <c r="L147" i="4"/>
  <c r="L159" i="4" s="1"/>
  <c r="L140" i="4"/>
  <c r="L145" i="4"/>
  <c r="L157" i="4" s="1"/>
  <c r="L150" i="4"/>
  <c r="L162" i="4" s="1"/>
  <c r="L149" i="4"/>
  <c r="L161" i="4" s="1"/>
  <c r="L144" i="4"/>
  <c r="L156" i="4" s="1"/>
  <c r="L151" i="4"/>
  <c r="L163" i="4" s="1"/>
  <c r="N146" i="4"/>
  <c r="N158" i="4" s="1"/>
  <c r="N142" i="4"/>
  <c r="N154" i="4" s="1"/>
  <c r="N150" i="4"/>
  <c r="N162" i="4" s="1"/>
  <c r="N144" i="4"/>
  <c r="N156" i="4" s="1"/>
  <c r="N141" i="4"/>
  <c r="N153" i="4" s="1"/>
  <c r="N143" i="4"/>
  <c r="N155" i="4" s="1"/>
  <c r="N151" i="4"/>
  <c r="N163" i="4" s="1"/>
  <c r="N148" i="4"/>
  <c r="N145" i="4"/>
  <c r="N157" i="4" s="1"/>
  <c r="N140" i="4"/>
  <c r="N152" i="4" s="1"/>
  <c r="N147" i="4"/>
  <c r="N159" i="4" s="1"/>
  <c r="N160" i="4"/>
  <c r="N149" i="4"/>
  <c r="N161" i="4" s="1"/>
  <c r="M143" i="4"/>
  <c r="M155" i="4" s="1"/>
  <c r="M151" i="4"/>
  <c r="M163" i="4" s="1"/>
  <c r="M150" i="4"/>
  <c r="M162" i="4" s="1"/>
  <c r="M141" i="4"/>
  <c r="M153" i="4" s="1"/>
  <c r="M148" i="4"/>
  <c r="M160" i="4" s="1"/>
  <c r="M145" i="4"/>
  <c r="M157" i="4" s="1"/>
  <c r="M142" i="4"/>
  <c r="M154" i="4" s="1"/>
  <c r="M147" i="4"/>
  <c r="M159" i="4" s="1"/>
  <c r="M144" i="4"/>
  <c r="M156" i="4" s="1"/>
  <c r="M140" i="4"/>
  <c r="M152" i="4" s="1"/>
  <c r="M149" i="4"/>
  <c r="M161" i="4" s="1"/>
  <c r="M146" i="4"/>
  <c r="M158" i="4" s="1"/>
  <c r="L152" i="4" l="1"/>
  <c r="J119" i="4"/>
  <c r="E22" i="6" l="1"/>
  <c r="C22" i="6"/>
  <c r="J43" i="6" l="1"/>
  <c r="J42" i="6"/>
  <c r="J20" i="4"/>
  <c r="S34" i="46" l="1"/>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20" i="4"/>
  <c r="J121" i="4"/>
  <c r="J122" i="4"/>
  <c r="J123" i="4"/>
  <c r="J124" i="4"/>
  <c r="J125" i="4"/>
  <c r="J126" i="4"/>
  <c r="J127" i="4"/>
  <c r="J128" i="4"/>
  <c r="J129" i="4"/>
  <c r="J130" i="4"/>
  <c r="J131" i="4"/>
  <c r="J132" i="4"/>
  <c r="J133" i="4"/>
  <c r="J134" i="4"/>
  <c r="J135" i="4"/>
  <c r="J136" i="4"/>
  <c r="J137" i="4"/>
  <c r="J138" i="4"/>
  <c r="J139" i="4"/>
  <c r="B124" i="52"/>
  <c r="B122" i="52"/>
  <c r="B121" i="52"/>
  <c r="B120" i="52"/>
  <c r="B36" i="52"/>
  <c r="B59" i="52" s="1"/>
  <c r="B73" i="52" s="1"/>
  <c r="B87" i="52" s="1"/>
  <c r="B101" i="52" s="1"/>
  <c r="B115" i="52" s="1"/>
  <c r="B20" i="52"/>
  <c r="B43" i="52" s="1"/>
  <c r="B41" i="52"/>
  <c r="B25" i="52"/>
  <c r="B48" i="52" s="1"/>
  <c r="B23" i="52"/>
  <c r="B46" i="52" s="1"/>
  <c r="B22" i="52"/>
  <c r="B45" i="52" s="1"/>
  <c r="B19" i="52"/>
  <c r="B42" i="52" s="1"/>
  <c r="B21" i="52"/>
  <c r="B44" i="52" s="1"/>
  <c r="B24" i="52"/>
  <c r="B47" i="52" s="1"/>
  <c r="B26" i="52"/>
  <c r="B49" i="52" s="1"/>
  <c r="B32" i="52"/>
  <c r="B55" i="52" s="1"/>
  <c r="B69" i="52" s="1"/>
  <c r="B83" i="52" s="1"/>
  <c r="B97" i="52" s="1"/>
  <c r="B111" i="52" s="1"/>
  <c r="B34" i="52"/>
  <c r="B57" i="52" s="1"/>
  <c r="B71" i="52" s="1"/>
  <c r="B85" i="52" s="1"/>
  <c r="B99" i="52" s="1"/>
  <c r="B113" i="52" s="1"/>
  <c r="B33" i="52"/>
  <c r="B56" i="52" s="1"/>
  <c r="B70" i="52" s="1"/>
  <c r="B84" i="52" s="1"/>
  <c r="B98" i="52" s="1"/>
  <c r="B112" i="52" s="1"/>
  <c r="B35" i="52"/>
  <c r="B58" i="52" s="1"/>
  <c r="B72" i="52" s="1"/>
  <c r="B86" i="52" s="1"/>
  <c r="B100" i="52" s="1"/>
  <c r="B114" i="52" s="1"/>
  <c r="B31" i="52"/>
  <c r="B54" i="52" s="1"/>
  <c r="B68" i="52" s="1"/>
  <c r="B82" i="52" s="1"/>
  <c r="B96" i="52" s="1"/>
  <c r="B110" i="52" s="1"/>
  <c r="B30" i="52"/>
  <c r="B53" i="52" s="1"/>
  <c r="B67" i="52" s="1"/>
  <c r="B81" i="52" s="1"/>
  <c r="B95" i="52" s="1"/>
  <c r="B109" i="52" s="1"/>
  <c r="B29" i="52"/>
  <c r="B52" i="52" s="1"/>
  <c r="B66" i="52" s="1"/>
  <c r="B80" i="52" s="1"/>
  <c r="B94" i="52" s="1"/>
  <c r="B108" i="52" s="1"/>
  <c r="B28" i="52"/>
  <c r="B51" i="52" s="1"/>
  <c r="B65" i="52" s="1"/>
  <c r="B79" i="52" s="1"/>
  <c r="B93" i="52" s="1"/>
  <c r="B107" i="52" s="1"/>
  <c r="B27" i="52"/>
  <c r="B50" i="52" s="1"/>
  <c r="B64" i="52" s="1"/>
  <c r="B78" i="52" s="1"/>
  <c r="Z27" i="52"/>
  <c r="Z28" i="52"/>
  <c r="Z29" i="52"/>
  <c r="Z30" i="52"/>
  <c r="Z31" i="52"/>
  <c r="V55" i="4" l="1"/>
  <c r="H65" i="46"/>
  <c r="H61" i="46"/>
  <c r="H63" i="46"/>
  <c r="H59" i="46"/>
  <c r="H67" i="46"/>
  <c r="H66" i="46"/>
  <c r="H64" i="46"/>
  <c r="H62" i="46"/>
  <c r="H60" i="46"/>
  <c r="Q50" i="46"/>
  <c r="Q49" i="46"/>
  <c r="B92" i="52"/>
  <c r="B106" i="52" s="1"/>
  <c r="D21" i="29"/>
  <c r="F21" i="29" s="1"/>
  <c r="V46" i="4"/>
  <c r="L21" i="29" l="1"/>
  <c r="B42" i="51"/>
  <c r="B46" i="51"/>
  <c r="B50" i="51"/>
  <c r="B44" i="32"/>
  <c r="B48" i="32"/>
  <c r="B52" i="32"/>
  <c r="B40" i="29"/>
  <c r="J40" i="29"/>
  <c r="R40" i="29"/>
  <c r="O20" i="4"/>
  <c r="P20" i="4"/>
  <c r="O21" i="4"/>
  <c r="P21" i="4"/>
  <c r="O22" i="4"/>
  <c r="P22" i="4"/>
  <c r="O23" i="4"/>
  <c r="P23" i="4"/>
  <c r="O24" i="4"/>
  <c r="P24" i="4"/>
  <c r="O25" i="4"/>
  <c r="P25" i="4"/>
  <c r="O26" i="4"/>
  <c r="P26" i="4"/>
  <c r="O27" i="4"/>
  <c r="P27" i="4"/>
  <c r="O28" i="4"/>
  <c r="P28" i="4"/>
  <c r="O29" i="4"/>
  <c r="P29" i="4"/>
  <c r="O30" i="4"/>
  <c r="P30" i="4"/>
  <c r="O31" i="4"/>
  <c r="P31" i="4"/>
  <c r="O32" i="4"/>
  <c r="P32" i="4"/>
  <c r="O33" i="4"/>
  <c r="P33" i="4"/>
  <c r="O34" i="4"/>
  <c r="P34" i="4"/>
  <c r="O35" i="4"/>
  <c r="P35" i="4"/>
  <c r="O36" i="4"/>
  <c r="P36" i="4"/>
  <c r="O37" i="4"/>
  <c r="P37" i="4"/>
  <c r="O38" i="4"/>
  <c r="P38" i="4"/>
  <c r="O39" i="4"/>
  <c r="P39" i="4"/>
  <c r="O40" i="4"/>
  <c r="P40" i="4"/>
  <c r="O41" i="4"/>
  <c r="P41" i="4"/>
  <c r="O42" i="4"/>
  <c r="P42" i="4"/>
  <c r="O43" i="4"/>
  <c r="P43" i="4"/>
  <c r="O44" i="4"/>
  <c r="P44" i="4"/>
  <c r="O45" i="4"/>
  <c r="P45" i="4"/>
  <c r="O46" i="4"/>
  <c r="P46" i="4"/>
  <c r="V59" i="4"/>
  <c r="O47" i="4"/>
  <c r="P47" i="4"/>
  <c r="V47" i="4"/>
  <c r="O48" i="4"/>
  <c r="P48" i="4"/>
  <c r="O49" i="4"/>
  <c r="P49" i="4"/>
  <c r="O50" i="4"/>
  <c r="P50" i="4"/>
  <c r="O51" i="4"/>
  <c r="P51" i="4"/>
  <c r="V48" i="4"/>
  <c r="O52" i="4"/>
  <c r="P52" i="4"/>
  <c r="O53" i="4"/>
  <c r="P53" i="4"/>
  <c r="O54" i="4"/>
  <c r="P54" i="4"/>
  <c r="O55" i="4"/>
  <c r="P55" i="4"/>
  <c r="O56" i="4"/>
  <c r="P56" i="4"/>
  <c r="O57" i="4"/>
  <c r="P57" i="4"/>
  <c r="O58" i="4"/>
  <c r="P58" i="4"/>
  <c r="O59" i="4"/>
  <c r="P59" i="4"/>
  <c r="O60" i="4"/>
  <c r="P60" i="4"/>
  <c r="O61" i="4"/>
  <c r="P61" i="4"/>
  <c r="O62" i="4"/>
  <c r="P62" i="4"/>
  <c r="O63" i="4"/>
  <c r="P63" i="4"/>
  <c r="O64" i="4"/>
  <c r="P64" i="4"/>
  <c r="O65" i="4"/>
  <c r="P65" i="4"/>
  <c r="O66" i="4"/>
  <c r="P66" i="4"/>
  <c r="O67" i="4"/>
  <c r="P67" i="4"/>
  <c r="O68" i="4"/>
  <c r="P68" i="4"/>
  <c r="O69" i="4"/>
  <c r="P69" i="4"/>
  <c r="O70" i="4"/>
  <c r="P70" i="4"/>
  <c r="O71" i="4"/>
  <c r="P71" i="4"/>
  <c r="O72" i="4"/>
  <c r="P72" i="4"/>
  <c r="O73" i="4"/>
  <c r="P73" i="4"/>
  <c r="O74" i="4"/>
  <c r="P74" i="4"/>
  <c r="O75" i="4"/>
  <c r="P75" i="4"/>
  <c r="O76" i="4"/>
  <c r="P76" i="4"/>
  <c r="O77" i="4"/>
  <c r="P77" i="4"/>
  <c r="O78" i="4"/>
  <c r="P78" i="4"/>
  <c r="O79" i="4"/>
  <c r="P79" i="4"/>
  <c r="V51" i="4"/>
  <c r="O80" i="4"/>
  <c r="P80" i="4"/>
  <c r="O81" i="4"/>
  <c r="P81" i="4"/>
  <c r="O82" i="4"/>
  <c r="P82" i="4"/>
  <c r="O83" i="4"/>
  <c r="P83" i="4"/>
  <c r="O84" i="4"/>
  <c r="P84" i="4"/>
  <c r="O85" i="4"/>
  <c r="P85" i="4"/>
  <c r="O86" i="4"/>
  <c r="P86" i="4"/>
  <c r="O87" i="4"/>
  <c r="P87" i="4"/>
  <c r="O88" i="4"/>
  <c r="P88" i="4"/>
  <c r="O89" i="4"/>
  <c r="P89" i="4"/>
  <c r="O90" i="4"/>
  <c r="P90" i="4"/>
  <c r="O91" i="4"/>
  <c r="P91" i="4"/>
  <c r="O92" i="4"/>
  <c r="P92" i="4"/>
  <c r="O93" i="4"/>
  <c r="P93" i="4"/>
  <c r="O94" i="4"/>
  <c r="P94" i="4"/>
  <c r="O95" i="4"/>
  <c r="P95" i="4"/>
  <c r="O96" i="4"/>
  <c r="P96" i="4"/>
  <c r="O97" i="4"/>
  <c r="P97" i="4"/>
  <c r="O98" i="4"/>
  <c r="P98" i="4"/>
  <c r="O99" i="4"/>
  <c r="P99" i="4"/>
  <c r="O100" i="4"/>
  <c r="P100" i="4"/>
  <c r="O101" i="4"/>
  <c r="P101" i="4"/>
  <c r="O102" i="4"/>
  <c r="P102" i="4"/>
  <c r="O103" i="4"/>
  <c r="P103" i="4"/>
  <c r="O104" i="4"/>
  <c r="P104" i="4"/>
  <c r="O105" i="4"/>
  <c r="P105" i="4"/>
  <c r="O106" i="4"/>
  <c r="P106" i="4"/>
  <c r="O107" i="4"/>
  <c r="P107" i="4"/>
  <c r="O108" i="4"/>
  <c r="P108" i="4"/>
  <c r="O109" i="4"/>
  <c r="P109" i="4"/>
  <c r="O110" i="4"/>
  <c r="P110" i="4"/>
  <c r="O111" i="4"/>
  <c r="P111" i="4"/>
  <c r="O112" i="4"/>
  <c r="P112" i="4"/>
  <c r="O113" i="4"/>
  <c r="P113" i="4"/>
  <c r="O114" i="4"/>
  <c r="P114" i="4"/>
  <c r="O115" i="4"/>
  <c r="P115" i="4"/>
  <c r="O116" i="4"/>
  <c r="P116" i="4"/>
  <c r="O117" i="4"/>
  <c r="P117" i="4"/>
  <c r="O118" i="4"/>
  <c r="P118" i="4"/>
  <c r="O119" i="4"/>
  <c r="P119" i="4"/>
  <c r="O120" i="4"/>
  <c r="P120" i="4"/>
  <c r="O121" i="4"/>
  <c r="P121" i="4"/>
  <c r="O122" i="4"/>
  <c r="P122" i="4"/>
  <c r="O123" i="4"/>
  <c r="P123" i="4"/>
  <c r="O124" i="4"/>
  <c r="P124" i="4"/>
  <c r="O125" i="4"/>
  <c r="P125" i="4"/>
  <c r="O126" i="4"/>
  <c r="P126" i="4"/>
  <c r="O127" i="4"/>
  <c r="P127" i="4"/>
  <c r="O128" i="4"/>
  <c r="P128" i="4"/>
  <c r="O129" i="4"/>
  <c r="P129" i="4"/>
  <c r="O130" i="4"/>
  <c r="P130" i="4"/>
  <c r="O131" i="4"/>
  <c r="P131" i="4"/>
  <c r="O132" i="4"/>
  <c r="P132" i="4"/>
  <c r="O133" i="4"/>
  <c r="P133" i="4"/>
  <c r="O134" i="4"/>
  <c r="P134" i="4"/>
  <c r="O135" i="4"/>
  <c r="P135" i="4"/>
  <c r="O136" i="4"/>
  <c r="P136" i="4"/>
  <c r="O137" i="4"/>
  <c r="P137" i="4"/>
  <c r="O138" i="4"/>
  <c r="P138" i="4"/>
  <c r="O139" i="4"/>
  <c r="P139" i="4"/>
  <c r="C15" i="6"/>
  <c r="E15" i="6"/>
  <c r="G15" i="6"/>
  <c r="K15" i="6"/>
  <c r="Q15" i="6"/>
  <c r="S15" i="6"/>
  <c r="B17" i="6"/>
  <c r="B21" i="29" s="1"/>
  <c r="C17" i="6"/>
  <c r="E17" i="6"/>
  <c r="AL21" i="46"/>
  <c r="AM21" i="46" s="1"/>
  <c r="B18" i="6"/>
  <c r="E18" i="6"/>
  <c r="H18" i="6"/>
  <c r="AL22" i="46"/>
  <c r="AM22" i="46" s="1"/>
  <c r="B19" i="6"/>
  <c r="E19" i="6"/>
  <c r="P19" i="6"/>
  <c r="AL23" i="46"/>
  <c r="AM23" i="46" s="1"/>
  <c r="B20" i="6"/>
  <c r="U62" i="4" s="1"/>
  <c r="C20" i="6"/>
  <c r="E20" i="6"/>
  <c r="AL24" i="46"/>
  <c r="AM24" i="46" s="1"/>
  <c r="B21" i="6"/>
  <c r="B25" i="29" s="1"/>
  <c r="C21" i="6"/>
  <c r="E21" i="6"/>
  <c r="L22" i="6"/>
  <c r="AL25" i="46"/>
  <c r="AM25" i="46" s="1"/>
  <c r="B22" i="6"/>
  <c r="B23" i="6"/>
  <c r="C23" i="6"/>
  <c r="E23" i="6"/>
  <c r="AL27" i="46"/>
  <c r="AM27" i="46" s="1"/>
  <c r="B24" i="6"/>
  <c r="C24" i="6"/>
  <c r="E24" i="6"/>
  <c r="AL28" i="46"/>
  <c r="AM28" i="46" s="1"/>
  <c r="B25" i="6"/>
  <c r="B29" i="46" s="1"/>
  <c r="C25" i="6"/>
  <c r="E25" i="6"/>
  <c r="AL29" i="46"/>
  <c r="AM29" i="46" s="1"/>
  <c r="B26" i="6"/>
  <c r="U55" i="4" s="1"/>
  <c r="C26" i="6"/>
  <c r="E26" i="6"/>
  <c r="AL30" i="46"/>
  <c r="AM30" i="46" s="1"/>
  <c r="B30" i="6"/>
  <c r="B31" i="6"/>
  <c r="B36" i="6"/>
  <c r="B37" i="6"/>
  <c r="D20" i="30"/>
  <c r="F20" i="30"/>
  <c r="X20" i="30"/>
  <c r="Z20" i="30"/>
  <c r="B25" i="30"/>
  <c r="B20" i="4" s="1"/>
  <c r="B26" i="30"/>
  <c r="B21" i="4" s="1"/>
  <c r="B27" i="30"/>
  <c r="B22" i="4" s="1"/>
  <c r="B28" i="30"/>
  <c r="B23" i="4" s="1"/>
  <c r="B29" i="30"/>
  <c r="B24" i="4" s="1"/>
  <c r="B30" i="30"/>
  <c r="B25" i="4" s="1"/>
  <c r="B31" i="30"/>
  <c r="B26" i="4" s="1"/>
  <c r="B32" i="30"/>
  <c r="B27" i="4" s="1"/>
  <c r="B33" i="30"/>
  <c r="B28" i="4" s="1"/>
  <c r="B34" i="30"/>
  <c r="B29" i="4" s="1"/>
  <c r="B35" i="30"/>
  <c r="B30" i="4" s="1"/>
  <c r="B36" i="30"/>
  <c r="B31" i="4" s="1"/>
  <c r="B37" i="30"/>
  <c r="B32" i="4" s="1"/>
  <c r="B38" i="30"/>
  <c r="B33" i="4" s="1"/>
  <c r="B39" i="30"/>
  <c r="B34" i="4" s="1"/>
  <c r="B40" i="30"/>
  <c r="B35" i="4" s="1"/>
  <c r="B41" i="30"/>
  <c r="B36" i="4" s="1"/>
  <c r="B42" i="30"/>
  <c r="B37" i="4" s="1"/>
  <c r="B43" i="30"/>
  <c r="B38" i="4" s="1"/>
  <c r="B44" i="30"/>
  <c r="B39" i="4" s="1"/>
  <c r="B45" i="30"/>
  <c r="B40" i="4" s="1"/>
  <c r="B46" i="30"/>
  <c r="B41" i="4" s="1"/>
  <c r="B47" i="30"/>
  <c r="B42" i="4" s="1"/>
  <c r="B48" i="30"/>
  <c r="B43" i="4" s="1"/>
  <c r="B49" i="30"/>
  <c r="B44" i="4" s="1"/>
  <c r="B50" i="30"/>
  <c r="B45" i="4" s="1"/>
  <c r="B51" i="30"/>
  <c r="B46" i="4" s="1"/>
  <c r="B52" i="30"/>
  <c r="B47" i="4" s="1"/>
  <c r="B53" i="30"/>
  <c r="B48" i="4" s="1"/>
  <c r="B54" i="30"/>
  <c r="B49" i="4" s="1"/>
  <c r="B55" i="30"/>
  <c r="B50" i="4" s="1"/>
  <c r="B56" i="30"/>
  <c r="B51" i="4" s="1"/>
  <c r="B57" i="30"/>
  <c r="B52" i="4" s="1"/>
  <c r="B58" i="30"/>
  <c r="B53" i="4" s="1"/>
  <c r="B59" i="30"/>
  <c r="B54" i="4" s="1"/>
  <c r="B60" i="30"/>
  <c r="B55" i="4" s="1"/>
  <c r="B61" i="30"/>
  <c r="B56" i="4" s="1"/>
  <c r="B62" i="30"/>
  <c r="B57" i="4" s="1"/>
  <c r="B63" i="30"/>
  <c r="B58" i="4" s="1"/>
  <c r="B64" i="30"/>
  <c r="B59" i="4" s="1"/>
  <c r="B65" i="30"/>
  <c r="B60" i="4" s="1"/>
  <c r="B66" i="30"/>
  <c r="B61" i="4" s="1"/>
  <c r="B67" i="30"/>
  <c r="B62" i="4" s="1"/>
  <c r="B68" i="30"/>
  <c r="B63" i="4" s="1"/>
  <c r="B69" i="30"/>
  <c r="B64" i="4" s="1"/>
  <c r="B70" i="30"/>
  <c r="B65" i="4" s="1"/>
  <c r="B71" i="30"/>
  <c r="B66" i="4" s="1"/>
  <c r="B72" i="30"/>
  <c r="B67" i="4" s="1"/>
  <c r="B73" i="30"/>
  <c r="B68" i="4" s="1"/>
  <c r="B74" i="30"/>
  <c r="B69" i="4" s="1"/>
  <c r="B75" i="30"/>
  <c r="B70" i="4" s="1"/>
  <c r="B76" i="30"/>
  <c r="B71" i="4" s="1"/>
  <c r="B77" i="30"/>
  <c r="B72" i="4" s="1"/>
  <c r="B78" i="30"/>
  <c r="B73" i="4" s="1"/>
  <c r="B79" i="30"/>
  <c r="B74" i="4" s="1"/>
  <c r="B80" i="30"/>
  <c r="B75" i="4" s="1"/>
  <c r="B81" i="30"/>
  <c r="B76" i="4" s="1"/>
  <c r="B82" i="30"/>
  <c r="B77" i="4" s="1"/>
  <c r="B83" i="30"/>
  <c r="B78" i="4" s="1"/>
  <c r="B84" i="30"/>
  <c r="B79" i="4" s="1"/>
  <c r="B85" i="30"/>
  <c r="B80" i="4" s="1"/>
  <c r="B86" i="30"/>
  <c r="B81" i="4" s="1"/>
  <c r="B87" i="30"/>
  <c r="B82" i="4" s="1"/>
  <c r="B88" i="30"/>
  <c r="B83" i="4" s="1"/>
  <c r="B89" i="30"/>
  <c r="B84" i="4" s="1"/>
  <c r="B90" i="30"/>
  <c r="B85" i="4" s="1"/>
  <c r="B91" i="30"/>
  <c r="B86" i="4" s="1"/>
  <c r="B92" i="30"/>
  <c r="B87" i="4" s="1"/>
  <c r="B93" i="30"/>
  <c r="B88" i="4" s="1"/>
  <c r="B94" i="30"/>
  <c r="B89" i="4" s="1"/>
  <c r="B95" i="30"/>
  <c r="B90" i="4" s="1"/>
  <c r="B96" i="30"/>
  <c r="B91" i="4" s="1"/>
  <c r="B97" i="30"/>
  <c r="B92" i="4" s="1"/>
  <c r="B98" i="30"/>
  <c r="B93" i="4" s="1"/>
  <c r="B99" i="30"/>
  <c r="B94" i="4" s="1"/>
  <c r="B100" i="30"/>
  <c r="B95" i="4" s="1"/>
  <c r="B101" i="30"/>
  <c r="B96" i="4" s="1"/>
  <c r="B102" i="30"/>
  <c r="B97" i="4" s="1"/>
  <c r="B103" i="30"/>
  <c r="B98" i="4" s="1"/>
  <c r="B104" i="30"/>
  <c r="B99" i="4" s="1"/>
  <c r="B105" i="30"/>
  <c r="B100" i="4" s="1"/>
  <c r="B106" i="30"/>
  <c r="B101" i="4" s="1"/>
  <c r="B107" i="30"/>
  <c r="B102" i="4" s="1"/>
  <c r="B108" i="30"/>
  <c r="B103" i="4" s="1"/>
  <c r="B109" i="30"/>
  <c r="B104" i="4" s="1"/>
  <c r="B110" i="30"/>
  <c r="B105" i="4" s="1"/>
  <c r="B111" i="30"/>
  <c r="B106" i="4" s="1"/>
  <c r="B112" i="30"/>
  <c r="B107" i="4" s="1"/>
  <c r="B113" i="30"/>
  <c r="B108" i="4" s="1"/>
  <c r="B114" i="30"/>
  <c r="B109" i="4" s="1"/>
  <c r="B115" i="30"/>
  <c r="B110" i="4" s="1"/>
  <c r="B116" i="30"/>
  <c r="B111" i="4" s="1"/>
  <c r="B117" i="30"/>
  <c r="B112" i="4" s="1"/>
  <c r="B118" i="30"/>
  <c r="B113" i="4" s="1"/>
  <c r="B119" i="30"/>
  <c r="B114" i="4" s="1"/>
  <c r="B120" i="30"/>
  <c r="B115" i="4" s="1"/>
  <c r="B121" i="30"/>
  <c r="B116" i="4" s="1"/>
  <c r="B122" i="30"/>
  <c r="B117" i="4" s="1"/>
  <c r="B123" i="30"/>
  <c r="B118" i="4" s="1"/>
  <c r="B124" i="30"/>
  <c r="B119" i="4" s="1"/>
  <c r="B125" i="30"/>
  <c r="B120" i="4" s="1"/>
  <c r="B126" i="30"/>
  <c r="B121" i="4" s="1"/>
  <c r="B127" i="30"/>
  <c r="B122" i="4" s="1"/>
  <c r="B128" i="30"/>
  <c r="B123" i="4" s="1"/>
  <c r="B129" i="30"/>
  <c r="B124" i="4" s="1"/>
  <c r="B130" i="30"/>
  <c r="B125" i="4" s="1"/>
  <c r="B131" i="30"/>
  <c r="B126" i="4" s="1"/>
  <c r="B132" i="30"/>
  <c r="B127" i="4" s="1"/>
  <c r="B133" i="30"/>
  <c r="B128" i="4" s="1"/>
  <c r="B134" i="30"/>
  <c r="B129" i="4" s="1"/>
  <c r="B135" i="30"/>
  <c r="B130" i="4" s="1"/>
  <c r="B136" i="30"/>
  <c r="B131" i="4" s="1"/>
  <c r="B137" i="30"/>
  <c r="B132" i="4" s="1"/>
  <c r="B138" i="30"/>
  <c r="B133" i="4" s="1"/>
  <c r="B139" i="30"/>
  <c r="B134" i="4" s="1"/>
  <c r="B140" i="30"/>
  <c r="B135" i="4" s="1"/>
  <c r="B141" i="30"/>
  <c r="B136" i="4" s="1"/>
  <c r="B142" i="30"/>
  <c r="B137" i="4" s="1"/>
  <c r="B143" i="30"/>
  <c r="B138" i="4" s="1"/>
  <c r="B144" i="30"/>
  <c r="B139" i="4" s="1"/>
  <c r="B145" i="30"/>
  <c r="B140" i="4" s="1"/>
  <c r="B146" i="30"/>
  <c r="B141" i="4" s="1"/>
  <c r="B147" i="30"/>
  <c r="B142" i="4" s="1"/>
  <c r="B148" i="30"/>
  <c r="B143" i="4" s="1"/>
  <c r="B149" i="30"/>
  <c r="B144" i="4" s="1"/>
  <c r="B150" i="30"/>
  <c r="B145" i="4" s="1"/>
  <c r="B151" i="30"/>
  <c r="B146" i="4" s="1"/>
  <c r="B152" i="30"/>
  <c r="B147" i="4" s="1"/>
  <c r="B153" i="30"/>
  <c r="B148" i="4" s="1"/>
  <c r="B154" i="30"/>
  <c r="B149" i="4" s="1"/>
  <c r="B155" i="30"/>
  <c r="B150" i="4" s="1"/>
  <c r="B156" i="30"/>
  <c r="B151" i="4" s="1"/>
  <c r="B157" i="30"/>
  <c r="B152" i="4" s="1"/>
  <c r="B158" i="30"/>
  <c r="B153" i="4" s="1"/>
  <c r="B159" i="30"/>
  <c r="B154" i="4" s="1"/>
  <c r="B160" i="30"/>
  <c r="B155" i="4" s="1"/>
  <c r="B161" i="30"/>
  <c r="B156" i="4" s="1"/>
  <c r="B162" i="30"/>
  <c r="B157" i="4" s="1"/>
  <c r="B163" i="30"/>
  <c r="B158" i="4" s="1"/>
  <c r="B164" i="30"/>
  <c r="B159" i="4" s="1"/>
  <c r="B165" i="30"/>
  <c r="B160" i="4" s="1"/>
  <c r="B166" i="30"/>
  <c r="B161" i="4" s="1"/>
  <c r="B167" i="30"/>
  <c r="B162" i="4" s="1"/>
  <c r="B168" i="30"/>
  <c r="B163" i="4" s="1"/>
  <c r="V25" i="6" l="1"/>
  <c r="V23" i="6"/>
  <c r="AN25" i="46"/>
  <c r="V19" i="6"/>
  <c r="M40" i="32"/>
  <c r="L38" i="51" s="1"/>
  <c r="L40" i="32"/>
  <c r="K38" i="51" s="1"/>
  <c r="I40" i="32"/>
  <c r="H38" i="51" s="1"/>
  <c r="H40" i="32"/>
  <c r="G38" i="51" s="1"/>
  <c r="K40" i="32"/>
  <c r="J38" i="51" s="1"/>
  <c r="J40" i="32"/>
  <c r="I38" i="51" s="1"/>
  <c r="F40" i="32"/>
  <c r="E38" i="51" s="1"/>
  <c r="E40" i="32"/>
  <c r="D38" i="51" s="1"/>
  <c r="N40" i="32"/>
  <c r="M38" i="51" s="1"/>
  <c r="G40" i="32"/>
  <c r="F38" i="51" s="1"/>
  <c r="AN30" i="46"/>
  <c r="AN24" i="46"/>
  <c r="AN23" i="46"/>
  <c r="AN29" i="46"/>
  <c r="AN28" i="46"/>
  <c r="AN27" i="46"/>
  <c r="V22" i="6"/>
  <c r="AL26" i="46"/>
  <c r="AM26" i="46" s="1"/>
  <c r="AN22" i="46"/>
  <c r="AN21" i="46"/>
  <c r="V20" i="6"/>
  <c r="V17" i="6"/>
  <c r="V24" i="6"/>
  <c r="V18" i="6"/>
  <c r="V26" i="6"/>
  <c r="V21" i="6"/>
  <c r="C176" i="4"/>
  <c r="D180" i="4"/>
  <c r="C180" i="4"/>
  <c r="H58" i="46"/>
  <c r="C181" i="4"/>
  <c r="D181" i="4"/>
  <c r="D176" i="4"/>
  <c r="U66" i="4"/>
  <c r="L15" i="32"/>
  <c r="E16" i="32"/>
  <c r="D14" i="51" s="1"/>
  <c r="F16" i="32"/>
  <c r="L16" i="32"/>
  <c r="K14" i="51" s="1"/>
  <c r="M16" i="32"/>
  <c r="L14" i="51" s="1"/>
  <c r="H16" i="32"/>
  <c r="G14" i="51" s="1"/>
  <c r="I16" i="32"/>
  <c r="H14" i="51" s="1"/>
  <c r="G16" i="32"/>
  <c r="F14" i="51" s="1"/>
  <c r="J16" i="32"/>
  <c r="I14" i="51" s="1"/>
  <c r="K16" i="32"/>
  <c r="J14" i="51" s="1"/>
  <c r="N16" i="32"/>
  <c r="M14" i="51" s="1"/>
  <c r="H28" i="32"/>
  <c r="G26" i="51" s="1"/>
  <c r="I32" i="32"/>
  <c r="H30" i="51" s="1"/>
  <c r="H36" i="32"/>
  <c r="G34" i="51" s="1"/>
  <c r="F36" i="32"/>
  <c r="E34" i="51" s="1"/>
  <c r="K20" i="32"/>
  <c r="J18" i="51" s="1"/>
  <c r="L24" i="32"/>
  <c r="K22" i="51" s="1"/>
  <c r="E28" i="32"/>
  <c r="D26" i="51" s="1"/>
  <c r="G36" i="32"/>
  <c r="F34" i="51" s="1"/>
  <c r="M36" i="32"/>
  <c r="L34" i="51" s="1"/>
  <c r="K28" i="32"/>
  <c r="J26" i="51" s="1"/>
  <c r="I21" i="38" s="1"/>
  <c r="F28" i="32"/>
  <c r="E26" i="51" s="1"/>
  <c r="F24" i="32"/>
  <c r="E22" i="51" s="1"/>
  <c r="K32" i="32"/>
  <c r="J30" i="51" s="1"/>
  <c r="J36" i="32"/>
  <c r="I34" i="51" s="1"/>
  <c r="I36" i="32"/>
  <c r="H34" i="51" s="1"/>
  <c r="J20" i="32"/>
  <c r="I18" i="51" s="1"/>
  <c r="I24" i="32"/>
  <c r="H22" i="51" s="1"/>
  <c r="E32" i="32"/>
  <c r="D30" i="51" s="1"/>
  <c r="K24" i="32"/>
  <c r="J22" i="51" s="1"/>
  <c r="E20" i="32"/>
  <c r="J24" i="32"/>
  <c r="I22" i="51" s="1"/>
  <c r="N20" i="32"/>
  <c r="M18" i="51" s="1"/>
  <c r="L20" i="32"/>
  <c r="K18" i="51" s="1"/>
  <c r="G28" i="32"/>
  <c r="F26" i="51" s="1"/>
  <c r="M24" i="32"/>
  <c r="L22" i="51" s="1"/>
  <c r="G32" i="32"/>
  <c r="F30" i="51" s="1"/>
  <c r="N36" i="32"/>
  <c r="M34" i="51" s="1"/>
  <c r="H24" i="32"/>
  <c r="G22" i="51" s="1"/>
  <c r="I20" i="32"/>
  <c r="H18" i="51" s="1"/>
  <c r="N24" i="32"/>
  <c r="M22" i="51" s="1"/>
  <c r="F20" i="32"/>
  <c r="E18" i="51" s="1"/>
  <c r="M28" i="32"/>
  <c r="L26" i="51" s="1"/>
  <c r="M32" i="32"/>
  <c r="L30" i="51" s="1"/>
  <c r="G20" i="32"/>
  <c r="F18" i="51" s="1"/>
  <c r="J32" i="32"/>
  <c r="I30" i="51" s="1"/>
  <c r="L32" i="32"/>
  <c r="K30" i="51" s="1"/>
  <c r="L36" i="32"/>
  <c r="K34" i="51" s="1"/>
  <c r="I28" i="32"/>
  <c r="H26" i="51" s="1"/>
  <c r="J28" i="32"/>
  <c r="I26" i="51" s="1"/>
  <c r="I20" i="38" s="1"/>
  <c r="G24" i="32"/>
  <c r="F22" i="51" s="1"/>
  <c r="N32" i="32"/>
  <c r="M30" i="51" s="1"/>
  <c r="F32" i="32"/>
  <c r="E30" i="51" s="1"/>
  <c r="K36" i="32"/>
  <c r="J34" i="51" s="1"/>
  <c r="M20" i="32"/>
  <c r="L18" i="51" s="1"/>
  <c r="L28" i="32"/>
  <c r="K26" i="51" s="1"/>
  <c r="N28" i="32"/>
  <c r="M26" i="51" s="1"/>
  <c r="E36" i="32"/>
  <c r="D34" i="51" s="1"/>
  <c r="H20" i="32"/>
  <c r="G18" i="51" s="1"/>
  <c r="E24" i="32"/>
  <c r="D22" i="51" s="1"/>
  <c r="H32" i="32"/>
  <c r="G30" i="51" s="1"/>
  <c r="F66" i="46"/>
  <c r="AQ29" i="46"/>
  <c r="AG29" i="46"/>
  <c r="D22" i="6"/>
  <c r="L26" i="6"/>
  <c r="P24" i="6"/>
  <c r="D25" i="6"/>
  <c r="P18" i="6"/>
  <c r="F20" i="6"/>
  <c r="D36" i="6"/>
  <c r="D20" i="6"/>
  <c r="H24" i="6"/>
  <c r="D26" i="6"/>
  <c r="H20" i="6"/>
  <c r="F18" i="6"/>
  <c r="H36" i="6"/>
  <c r="P20" i="6"/>
  <c r="F36" i="6"/>
  <c r="H22" i="6"/>
  <c r="H26" i="6"/>
  <c r="F23" i="6"/>
  <c r="P22" i="6"/>
  <c r="R36" i="6"/>
  <c r="R42" i="6" s="1"/>
  <c r="D24" i="6"/>
  <c r="I42" i="6"/>
  <c r="D21" i="6"/>
  <c r="L20" i="6"/>
  <c r="H21" i="6"/>
  <c r="F24" i="6"/>
  <c r="L24" i="6"/>
  <c r="F22" i="6"/>
  <c r="P26" i="6"/>
  <c r="F26" i="6"/>
  <c r="W47" i="4"/>
  <c r="V60" i="4"/>
  <c r="L25" i="6"/>
  <c r="M29" i="46"/>
  <c r="W29" i="46"/>
  <c r="P23" i="6"/>
  <c r="D23" i="6"/>
  <c r="B20" i="38"/>
  <c r="I13" i="51"/>
  <c r="J15" i="32"/>
  <c r="B26" i="46"/>
  <c r="B26" i="29"/>
  <c r="U51" i="4"/>
  <c r="U64" i="4"/>
  <c r="F21" i="6"/>
  <c r="H19" i="6"/>
  <c r="F13" i="51"/>
  <c r="B17" i="38"/>
  <c r="B23" i="46"/>
  <c r="G15" i="32"/>
  <c r="U48" i="4"/>
  <c r="U61" i="4"/>
  <c r="B23" i="29"/>
  <c r="B16" i="38"/>
  <c r="E13" i="51"/>
  <c r="F15" i="32"/>
  <c r="B22" i="46"/>
  <c r="B22" i="29"/>
  <c r="U47" i="4"/>
  <c r="U60" i="4"/>
  <c r="B24" i="38"/>
  <c r="M13" i="51"/>
  <c r="N15" i="32"/>
  <c r="B30" i="29"/>
  <c r="B30" i="46"/>
  <c r="U68" i="4"/>
  <c r="F25" i="6"/>
  <c r="H23" i="6"/>
  <c r="J13" i="51"/>
  <c r="B21" i="38"/>
  <c r="B27" i="46"/>
  <c r="K15" i="32"/>
  <c r="U52" i="4"/>
  <c r="U65" i="4"/>
  <c r="B27" i="29"/>
  <c r="L19" i="6"/>
  <c r="F19" i="6"/>
  <c r="L18" i="6"/>
  <c r="D18" i="6"/>
  <c r="V61" i="4"/>
  <c r="W48" i="4"/>
  <c r="B26" i="38"/>
  <c r="O13" i="51"/>
  <c r="P15" i="32"/>
  <c r="B32" i="46"/>
  <c r="B32" i="29"/>
  <c r="L23" i="6"/>
  <c r="P21" i="6"/>
  <c r="J21" i="29"/>
  <c r="Z21" i="29" s="1"/>
  <c r="R21" i="29"/>
  <c r="AH21" i="29" s="1"/>
  <c r="P36" i="6"/>
  <c r="N13" i="51"/>
  <c r="B25" i="38"/>
  <c r="B31" i="46"/>
  <c r="O15" i="32"/>
  <c r="B31" i="29"/>
  <c r="P25" i="6"/>
  <c r="H25" i="6"/>
  <c r="L21" i="6"/>
  <c r="J25" i="29"/>
  <c r="Z25" i="29" s="1"/>
  <c r="R25" i="29"/>
  <c r="AH25" i="29" s="1"/>
  <c r="D19" i="6"/>
  <c r="V68" i="4"/>
  <c r="V64" i="4"/>
  <c r="U54" i="4"/>
  <c r="U50" i="4"/>
  <c r="B29" i="29"/>
  <c r="B22" i="38"/>
  <c r="K13" i="51"/>
  <c r="B28" i="46"/>
  <c r="B18" i="38"/>
  <c r="G13" i="51"/>
  <c r="H15" i="32"/>
  <c r="B24" i="46"/>
  <c r="B15" i="38"/>
  <c r="D13" i="51"/>
  <c r="B21" i="46"/>
  <c r="E15" i="32"/>
  <c r="D30" i="29"/>
  <c r="F30" i="29" s="1"/>
  <c r="D29" i="29"/>
  <c r="L29" i="29" s="1"/>
  <c r="D28" i="29"/>
  <c r="D27" i="29"/>
  <c r="L27" i="29" s="1"/>
  <c r="T27" i="29" s="1"/>
  <c r="D26" i="29"/>
  <c r="L26" i="29" s="1"/>
  <c r="T26" i="29" s="1"/>
  <c r="D25" i="29"/>
  <c r="D24" i="29"/>
  <c r="L24" i="29" s="1"/>
  <c r="T24" i="29" s="1"/>
  <c r="V52" i="4"/>
  <c r="B28" i="29"/>
  <c r="B23" i="38"/>
  <c r="L13" i="51"/>
  <c r="M15" i="32"/>
  <c r="B19" i="38"/>
  <c r="H13" i="51"/>
  <c r="I15" i="32"/>
  <c r="U67" i="4"/>
  <c r="U63" i="4"/>
  <c r="U59" i="4"/>
  <c r="V53" i="4"/>
  <c r="V49" i="4"/>
  <c r="D23" i="29"/>
  <c r="L23" i="29" s="1"/>
  <c r="T23" i="29" s="1"/>
  <c r="D22" i="29"/>
  <c r="L22" i="29" s="1"/>
  <c r="T22" i="29" s="1"/>
  <c r="T21" i="29"/>
  <c r="V21" i="29" s="1"/>
  <c r="B24" i="29"/>
  <c r="B25" i="46"/>
  <c r="V54" i="4"/>
  <c r="U53" i="4"/>
  <c r="V50" i="4"/>
  <c r="U49" i="4"/>
  <c r="U46" i="4"/>
  <c r="G64" i="47"/>
  <c r="AA42" i="29" l="1"/>
  <c r="AI42" i="29"/>
  <c r="W23" i="6"/>
  <c r="AM34" i="46"/>
  <c r="AN26" i="46"/>
  <c r="AN34" i="46" s="1"/>
  <c r="E14" i="51"/>
  <c r="C16" i="47" s="1"/>
  <c r="F56" i="32"/>
  <c r="K150" i="4"/>
  <c r="P141" i="4"/>
  <c r="P153" i="4" s="1"/>
  <c r="P149" i="4"/>
  <c r="P161" i="4" s="1"/>
  <c r="P145" i="4"/>
  <c r="P157" i="4" s="1"/>
  <c r="P142" i="4"/>
  <c r="P154" i="4" s="1"/>
  <c r="P150" i="4"/>
  <c r="P162" i="4" s="1"/>
  <c r="P147" i="4"/>
  <c r="P159" i="4" s="1"/>
  <c r="P144" i="4"/>
  <c r="P156" i="4" s="1"/>
  <c r="P146" i="4"/>
  <c r="P158" i="4" s="1"/>
  <c r="P143" i="4"/>
  <c r="P155" i="4" s="1"/>
  <c r="P151" i="4"/>
  <c r="P163" i="4" s="1"/>
  <c r="P148" i="4"/>
  <c r="P160" i="4" s="1"/>
  <c r="P140" i="4"/>
  <c r="P152" i="4" s="1"/>
  <c r="K147" i="4"/>
  <c r="I63" i="46"/>
  <c r="I66" i="46"/>
  <c r="K149" i="4"/>
  <c r="K148" i="4"/>
  <c r="K145" i="4"/>
  <c r="K141" i="4"/>
  <c r="K151" i="4"/>
  <c r="K152" i="4"/>
  <c r="K143" i="4"/>
  <c r="K144" i="4"/>
  <c r="K142" i="4"/>
  <c r="K146" i="4"/>
  <c r="D28" i="6"/>
  <c r="I67" i="46"/>
  <c r="I61" i="46"/>
  <c r="I58" i="46"/>
  <c r="E21" i="29"/>
  <c r="I62" i="46"/>
  <c r="I60" i="46"/>
  <c r="I65" i="46"/>
  <c r="I59" i="46"/>
  <c r="I64" i="46"/>
  <c r="C17" i="47"/>
  <c r="D17" i="38"/>
  <c r="C19" i="47"/>
  <c r="D19" i="38"/>
  <c r="C18" i="47"/>
  <c r="D18" i="47" s="1"/>
  <c r="D18" i="38"/>
  <c r="C24" i="47"/>
  <c r="D24" i="38"/>
  <c r="C22" i="47"/>
  <c r="D22" i="38"/>
  <c r="C23" i="47"/>
  <c r="D23" i="38"/>
  <c r="D21" i="38"/>
  <c r="C21" i="47"/>
  <c r="C20" i="47"/>
  <c r="D20" i="47" s="1"/>
  <c r="D20" i="38"/>
  <c r="C15" i="47"/>
  <c r="D15" i="38"/>
  <c r="F19" i="38"/>
  <c r="C35" i="47"/>
  <c r="C96" i="47"/>
  <c r="N16" i="38"/>
  <c r="M16" i="38"/>
  <c r="C82" i="47"/>
  <c r="L18" i="38"/>
  <c r="K18" i="38"/>
  <c r="C116" i="47"/>
  <c r="O20" i="38"/>
  <c r="P20" i="38"/>
  <c r="C67" i="47"/>
  <c r="J19" i="38"/>
  <c r="I19" i="38"/>
  <c r="F16" i="38"/>
  <c r="C32" i="47"/>
  <c r="C81" i="47"/>
  <c r="L17" i="38"/>
  <c r="K17" i="38"/>
  <c r="C53" i="47"/>
  <c r="H21" i="38"/>
  <c r="C100" i="47"/>
  <c r="N20" i="38"/>
  <c r="M20" i="38"/>
  <c r="C118" i="47"/>
  <c r="O22" i="38"/>
  <c r="P22" i="38"/>
  <c r="C114" i="47"/>
  <c r="P18" i="38"/>
  <c r="O18" i="38"/>
  <c r="C102" i="47"/>
  <c r="N22" i="38"/>
  <c r="M22" i="38"/>
  <c r="C56" i="47"/>
  <c r="H24" i="38"/>
  <c r="C119" i="47"/>
  <c r="P23" i="38"/>
  <c r="O23" i="38"/>
  <c r="C85" i="47"/>
  <c r="K21" i="38"/>
  <c r="L21" i="38"/>
  <c r="C103" i="47"/>
  <c r="N23" i="38"/>
  <c r="M23" i="38"/>
  <c r="F21" i="38"/>
  <c r="C37" i="47"/>
  <c r="F23" i="38"/>
  <c r="C39" i="47"/>
  <c r="C47" i="47"/>
  <c r="H15" i="38"/>
  <c r="C84" i="47"/>
  <c r="L20" i="38"/>
  <c r="K20" i="38"/>
  <c r="C64" i="47"/>
  <c r="I16" i="38"/>
  <c r="J16" i="38"/>
  <c r="C95" i="47"/>
  <c r="N15" i="38"/>
  <c r="M15" i="38"/>
  <c r="C88" i="47"/>
  <c r="K24" i="38"/>
  <c r="L24" i="38"/>
  <c r="C33" i="47"/>
  <c r="F17" i="38"/>
  <c r="C40" i="47"/>
  <c r="F24" i="38"/>
  <c r="C113" i="47"/>
  <c r="O17" i="38"/>
  <c r="P17" i="38"/>
  <c r="C117" i="47"/>
  <c r="O21" i="38"/>
  <c r="P21" i="38"/>
  <c r="C54" i="47"/>
  <c r="H22" i="38"/>
  <c r="C55" i="47"/>
  <c r="H23" i="38"/>
  <c r="C48" i="47"/>
  <c r="D48" i="47" s="1"/>
  <c r="H16" i="38"/>
  <c r="C101" i="47"/>
  <c r="M21" i="38"/>
  <c r="N21" i="38"/>
  <c r="C50" i="47"/>
  <c r="H18" i="38"/>
  <c r="C112" i="47"/>
  <c r="O16" i="38"/>
  <c r="P16" i="38"/>
  <c r="C98" i="47"/>
  <c r="M18" i="38"/>
  <c r="N18" i="38"/>
  <c r="C80" i="47"/>
  <c r="K16" i="38"/>
  <c r="L16" i="38"/>
  <c r="C120" i="47"/>
  <c r="O24" i="38"/>
  <c r="P24" i="38"/>
  <c r="C51" i="47"/>
  <c r="H19" i="38"/>
  <c r="C63" i="47"/>
  <c r="J15" i="38"/>
  <c r="I15" i="38"/>
  <c r="C72" i="47"/>
  <c r="I24" i="38"/>
  <c r="J24" i="38"/>
  <c r="C49" i="47"/>
  <c r="H17" i="38"/>
  <c r="C87" i="47"/>
  <c r="K23" i="38"/>
  <c r="L23" i="38"/>
  <c r="C104" i="47"/>
  <c r="M24" i="38"/>
  <c r="N24" i="38"/>
  <c r="C52" i="47"/>
  <c r="D52" i="47" s="1"/>
  <c r="H20" i="38"/>
  <c r="F20" i="38"/>
  <c r="C36" i="47"/>
  <c r="C66" i="47"/>
  <c r="I18" i="38"/>
  <c r="J18" i="38"/>
  <c r="C86" i="47"/>
  <c r="D86" i="47" s="1"/>
  <c r="L22" i="38"/>
  <c r="K22" i="38"/>
  <c r="C79" i="47"/>
  <c r="K15" i="38"/>
  <c r="L15" i="38"/>
  <c r="C65" i="47"/>
  <c r="I17" i="38"/>
  <c r="J17" i="38"/>
  <c r="C97" i="47"/>
  <c r="D97" i="47" s="1"/>
  <c r="N17" i="38"/>
  <c r="M17" i="38"/>
  <c r="F18" i="38"/>
  <c r="C34" i="47"/>
  <c r="D34" i="47" s="1"/>
  <c r="F22" i="38"/>
  <c r="C38" i="47"/>
  <c r="D38" i="47" s="1"/>
  <c r="C83" i="47"/>
  <c r="K19" i="38"/>
  <c r="L19" i="38"/>
  <c r="C70" i="47"/>
  <c r="J22" i="38"/>
  <c r="I22" i="38"/>
  <c r="J20" i="38"/>
  <c r="C68" i="47"/>
  <c r="G68" i="47"/>
  <c r="C71" i="47"/>
  <c r="I23" i="38"/>
  <c r="J23" i="38"/>
  <c r="D18" i="51"/>
  <c r="D54" i="51" s="1"/>
  <c r="E56" i="32"/>
  <c r="C99" i="47"/>
  <c r="N19" i="38"/>
  <c r="M19" i="38"/>
  <c r="C69" i="47"/>
  <c r="J21" i="38"/>
  <c r="C115" i="47"/>
  <c r="P19" i="38"/>
  <c r="O19" i="38"/>
  <c r="F62" i="46"/>
  <c r="AQ25" i="46"/>
  <c r="AG25" i="46"/>
  <c r="F64" i="46"/>
  <c r="AQ27" i="46"/>
  <c r="AG27" i="46"/>
  <c r="F59" i="46"/>
  <c r="AQ22" i="46"/>
  <c r="AG22" i="46"/>
  <c r="F60" i="46"/>
  <c r="AQ23" i="46"/>
  <c r="AG23" i="46"/>
  <c r="F61" i="46"/>
  <c r="AQ24" i="46"/>
  <c r="AG24" i="46"/>
  <c r="F65" i="46"/>
  <c r="AQ28" i="46"/>
  <c r="AG28" i="46"/>
  <c r="B49" i="46"/>
  <c r="AQ31" i="46"/>
  <c r="AQ49" i="46" s="1"/>
  <c r="AG31" i="46"/>
  <c r="AG49" i="46" s="1"/>
  <c r="F63" i="46"/>
  <c r="AQ26" i="46"/>
  <c r="AG26" i="46"/>
  <c r="F67" i="46"/>
  <c r="AQ30" i="46"/>
  <c r="AG30" i="46"/>
  <c r="F58" i="46"/>
  <c r="AQ21" i="46"/>
  <c r="AG21" i="46"/>
  <c r="B50" i="46"/>
  <c r="AQ32" i="46"/>
  <c r="AQ50" i="46" s="1"/>
  <c r="AG32" i="46"/>
  <c r="AG50" i="46" s="1"/>
  <c r="W25" i="6"/>
  <c r="V26" i="29"/>
  <c r="AB26" i="29"/>
  <c r="AB21" i="29"/>
  <c r="V27" i="29"/>
  <c r="AB27" i="29"/>
  <c r="V23" i="29"/>
  <c r="AB23" i="29"/>
  <c r="V24" i="29"/>
  <c r="AB24" i="29"/>
  <c r="V22" i="29"/>
  <c r="AB22" i="29"/>
  <c r="W18" i="6"/>
  <c r="W20" i="6"/>
  <c r="W19" i="6"/>
  <c r="W36" i="6"/>
  <c r="W26" i="6"/>
  <c r="W24" i="6"/>
  <c r="W21" i="6"/>
  <c r="W22" i="6"/>
  <c r="I71" i="47"/>
  <c r="S31" i="4"/>
  <c r="X46" i="4" s="1"/>
  <c r="N24" i="29"/>
  <c r="L25" i="29"/>
  <c r="T25" i="29" s="1"/>
  <c r="F25" i="29"/>
  <c r="F24" i="29"/>
  <c r="I55" i="47"/>
  <c r="H28" i="6"/>
  <c r="H42" i="6" s="1"/>
  <c r="P28" i="6"/>
  <c r="F28" i="6"/>
  <c r="N56" i="32"/>
  <c r="L28" i="6"/>
  <c r="I54" i="51"/>
  <c r="I70" i="47"/>
  <c r="G65" i="47"/>
  <c r="H54" i="51"/>
  <c r="G67" i="47"/>
  <c r="I67" i="47"/>
  <c r="G70" i="47"/>
  <c r="G72" i="47"/>
  <c r="I56" i="32"/>
  <c r="F26" i="29"/>
  <c r="I50" i="47"/>
  <c r="I66" i="47"/>
  <c r="L56" i="51"/>
  <c r="E56" i="51"/>
  <c r="G56" i="51"/>
  <c r="I51" i="47"/>
  <c r="I49" i="47"/>
  <c r="N27" i="29"/>
  <c r="F27" i="29"/>
  <c r="N26" i="29"/>
  <c r="F23" i="29"/>
  <c r="G66" i="47"/>
  <c r="H56" i="51"/>
  <c r="D56" i="51"/>
  <c r="I48" i="47"/>
  <c r="M56" i="51"/>
  <c r="N22" i="29"/>
  <c r="W50" i="4"/>
  <c r="V63" i="4"/>
  <c r="J56" i="51"/>
  <c r="N23" i="29"/>
  <c r="R28" i="29"/>
  <c r="AH28" i="29" s="1"/>
  <c r="J28" i="29"/>
  <c r="Z28" i="29" s="1"/>
  <c r="T29" i="29"/>
  <c r="N29" i="29"/>
  <c r="M28" i="46"/>
  <c r="W28" i="46"/>
  <c r="M56" i="32"/>
  <c r="W31" i="46"/>
  <c r="W49" i="46" s="1"/>
  <c r="M31" i="46"/>
  <c r="M49" i="46" s="1"/>
  <c r="G54" i="51"/>
  <c r="I43" i="6"/>
  <c r="M22" i="46"/>
  <c r="W22" i="46"/>
  <c r="J23" i="29"/>
  <c r="Z23" i="29" s="1"/>
  <c r="R23" i="29"/>
  <c r="AH23" i="29" s="1"/>
  <c r="M23" i="46"/>
  <c r="W23" i="46"/>
  <c r="K56" i="32"/>
  <c r="I64" i="47"/>
  <c r="I52" i="47"/>
  <c r="V62" i="4"/>
  <c r="W49" i="4"/>
  <c r="N21" i="29"/>
  <c r="L30" i="29"/>
  <c r="N30" i="29" s="1"/>
  <c r="M24" i="46"/>
  <c r="W24" i="46"/>
  <c r="L54" i="51"/>
  <c r="W51" i="4"/>
  <c r="G56" i="32"/>
  <c r="L56" i="32"/>
  <c r="J32" i="29"/>
  <c r="Z32" i="29" s="1"/>
  <c r="R32" i="29"/>
  <c r="AH32" i="29" s="1"/>
  <c r="B43" i="29"/>
  <c r="J27" i="29"/>
  <c r="Z27" i="29" s="1"/>
  <c r="R27" i="29"/>
  <c r="AH27" i="29" s="1"/>
  <c r="M27" i="46"/>
  <c r="W27" i="46"/>
  <c r="J54" i="51"/>
  <c r="I68" i="47"/>
  <c r="I56" i="47"/>
  <c r="I65" i="47"/>
  <c r="W54" i="4"/>
  <c r="V67" i="4"/>
  <c r="R24" i="29"/>
  <c r="AH24" i="29" s="1"/>
  <c r="J24" i="29"/>
  <c r="Z24" i="29" s="1"/>
  <c r="V66" i="4"/>
  <c r="W53" i="4"/>
  <c r="K56" i="51"/>
  <c r="F22" i="29"/>
  <c r="V65" i="4"/>
  <c r="W52" i="4"/>
  <c r="F54" i="51"/>
  <c r="J31" i="29"/>
  <c r="Z31" i="29" s="1"/>
  <c r="R31" i="29"/>
  <c r="AH31" i="29" s="1"/>
  <c r="B42" i="29"/>
  <c r="F29" i="29"/>
  <c r="K54" i="51"/>
  <c r="W32" i="46"/>
  <c r="W50" i="46" s="1"/>
  <c r="M32" i="46"/>
  <c r="M50" i="46" s="1"/>
  <c r="M30" i="46"/>
  <c r="W30" i="46"/>
  <c r="R26" i="29"/>
  <c r="AH26" i="29" s="1"/>
  <c r="J26" i="29"/>
  <c r="Z26" i="29" s="1"/>
  <c r="I56" i="51"/>
  <c r="G71" i="47"/>
  <c r="I72" i="47"/>
  <c r="F56" i="51"/>
  <c r="M25" i="46"/>
  <c r="W25" i="46"/>
  <c r="J56" i="32"/>
  <c r="M54" i="51"/>
  <c r="I53" i="47"/>
  <c r="I69" i="47"/>
  <c r="I54" i="47"/>
  <c r="L28" i="29"/>
  <c r="F28" i="29"/>
  <c r="W21" i="46"/>
  <c r="M21" i="46"/>
  <c r="R29" i="29"/>
  <c r="AH29" i="29" s="1"/>
  <c r="J29" i="29"/>
  <c r="Z29" i="29" s="1"/>
  <c r="W55" i="4"/>
  <c r="H56" i="32"/>
  <c r="R30" i="29"/>
  <c r="AH30" i="29" s="1"/>
  <c r="J30" i="29"/>
  <c r="Z30" i="29" s="1"/>
  <c r="R22" i="29"/>
  <c r="AH22" i="29" s="1"/>
  <c r="J22" i="29"/>
  <c r="Z22" i="29" s="1"/>
  <c r="M26" i="46"/>
  <c r="W26" i="46"/>
  <c r="S115" i="4"/>
  <c r="X53" i="4" s="1"/>
  <c r="W66" i="4" s="1"/>
  <c r="E28" i="29"/>
  <c r="S67" i="4"/>
  <c r="X49" i="4" s="1"/>
  <c r="Z49" i="4" s="1"/>
  <c r="E23" i="29"/>
  <c r="E24" i="29"/>
  <c r="M24" i="29" s="1"/>
  <c r="E29" i="29"/>
  <c r="S79" i="4"/>
  <c r="X50" i="4" s="1"/>
  <c r="W63" i="4" s="1"/>
  <c r="S103" i="4"/>
  <c r="X52" i="4" s="1"/>
  <c r="W65" i="4" s="1"/>
  <c r="E30" i="29"/>
  <c r="G30" i="29" s="1"/>
  <c r="S55" i="4"/>
  <c r="X48" i="4" s="1"/>
  <c r="S91" i="4"/>
  <c r="X51" i="4" s="1"/>
  <c r="E27" i="29"/>
  <c r="M27" i="29" s="1"/>
  <c r="S43" i="4"/>
  <c r="X47" i="4" s="1"/>
  <c r="Z47" i="4" s="1"/>
  <c r="E25" i="29"/>
  <c r="E26" i="29"/>
  <c r="M26" i="29" s="1"/>
  <c r="J25" i="32" s="1"/>
  <c r="I23" i="51" s="1"/>
  <c r="F52" i="47" s="1"/>
  <c r="S127" i="4"/>
  <c r="X54" i="4" s="1"/>
  <c r="Z54" i="4" s="1"/>
  <c r="S139" i="4"/>
  <c r="X55" i="4" s="1"/>
  <c r="W68" i="4" s="1"/>
  <c r="E22" i="29"/>
  <c r="K154" i="4" l="1"/>
  <c r="K163" i="4"/>
  <c r="K161" i="4"/>
  <c r="K162" i="4"/>
  <c r="K156" i="4"/>
  <c r="K155" i="4"/>
  <c r="K157" i="4"/>
  <c r="K153" i="4"/>
  <c r="K158" i="4"/>
  <c r="K160" i="4"/>
  <c r="K159" i="4"/>
  <c r="D83" i="47"/>
  <c r="D36" i="47"/>
  <c r="D101" i="47"/>
  <c r="D99" i="47"/>
  <c r="D65" i="47"/>
  <c r="D104" i="47"/>
  <c r="D118" i="47"/>
  <c r="D81" i="47"/>
  <c r="D116" i="47"/>
  <c r="AA43" i="29"/>
  <c r="AI43" i="29"/>
  <c r="D69" i="47"/>
  <c r="D71" i="47"/>
  <c r="D51" i="47"/>
  <c r="D66" i="47"/>
  <c r="D49" i="47"/>
  <c r="D88" i="47"/>
  <c r="D39" i="47"/>
  <c r="D119" i="47"/>
  <c r="D114" i="47"/>
  <c r="D67" i="47"/>
  <c r="D21" i="47"/>
  <c r="D17" i="47"/>
  <c r="X68" i="4"/>
  <c r="Y68" i="4"/>
  <c r="E112" i="47"/>
  <c r="D112" i="47"/>
  <c r="D72" i="47"/>
  <c r="D120" i="47"/>
  <c r="D54" i="47"/>
  <c r="D40" i="47"/>
  <c r="D23" i="47"/>
  <c r="D24" i="47"/>
  <c r="D19" i="47"/>
  <c r="D16" i="47"/>
  <c r="D53" i="47"/>
  <c r="D22" i="47"/>
  <c r="D98" i="47"/>
  <c r="D55" i="47"/>
  <c r="D113" i="47"/>
  <c r="D33" i="47"/>
  <c r="D84" i="47"/>
  <c r="D85" i="47"/>
  <c r="D102" i="47"/>
  <c r="D96" i="47"/>
  <c r="D115" i="47"/>
  <c r="D68" i="47"/>
  <c r="D70" i="47"/>
  <c r="D87" i="47"/>
  <c r="D80" i="47"/>
  <c r="D50" i="47"/>
  <c r="D117" i="47"/>
  <c r="D64" i="47"/>
  <c r="D37" i="47"/>
  <c r="D103" i="47"/>
  <c r="D56" i="47"/>
  <c r="D100" i="47"/>
  <c r="D82" i="47"/>
  <c r="D35" i="47"/>
  <c r="G20" i="38"/>
  <c r="D16" i="38"/>
  <c r="R43" i="6"/>
  <c r="G30" i="6"/>
  <c r="H43" i="6"/>
  <c r="O30" i="6"/>
  <c r="O42" i="6" s="1"/>
  <c r="P43" i="6"/>
  <c r="P42" i="6"/>
  <c r="K30" i="6"/>
  <c r="K42" i="6" s="1"/>
  <c r="L43" i="6"/>
  <c r="L42" i="6"/>
  <c r="E30" i="6"/>
  <c r="E42" i="6" s="1"/>
  <c r="F43" i="6"/>
  <c r="F42" i="6"/>
  <c r="C30" i="6"/>
  <c r="C42" i="6" s="1"/>
  <c r="D43" i="6"/>
  <c r="D42" i="6"/>
  <c r="E54" i="51"/>
  <c r="AK49" i="46"/>
  <c r="AK50" i="46"/>
  <c r="AL49" i="46"/>
  <c r="AL50" i="46"/>
  <c r="H30" i="29"/>
  <c r="E83" i="47"/>
  <c r="E96" i="47"/>
  <c r="E119" i="47"/>
  <c r="G69" i="47"/>
  <c r="E40" i="47"/>
  <c r="E33" i="47"/>
  <c r="E56" i="47"/>
  <c r="E49" i="47"/>
  <c r="E20" i="47"/>
  <c r="E52" i="47"/>
  <c r="E71" i="47"/>
  <c r="E86" i="47"/>
  <c r="E38" i="47"/>
  <c r="E53" i="47"/>
  <c r="E115" i="47"/>
  <c r="E64" i="47"/>
  <c r="E48" i="47"/>
  <c r="E102" i="47"/>
  <c r="E67" i="47"/>
  <c r="E22" i="47"/>
  <c r="E18" i="47"/>
  <c r="E117" i="47"/>
  <c r="E36" i="47"/>
  <c r="E54" i="47"/>
  <c r="E34" i="47"/>
  <c r="E16" i="47"/>
  <c r="E24" i="47"/>
  <c r="E19" i="47"/>
  <c r="E23" i="47"/>
  <c r="E99" i="47"/>
  <c r="E101" i="47"/>
  <c r="E21" i="47"/>
  <c r="E17" i="47"/>
  <c r="E82" i="47"/>
  <c r="E68" i="47"/>
  <c r="E80" i="47"/>
  <c r="E69" i="47"/>
  <c r="E66" i="47"/>
  <c r="E50" i="47"/>
  <c r="E84" i="47"/>
  <c r="E88" i="47"/>
  <c r="E70" i="47"/>
  <c r="E51" i="47"/>
  <c r="E55" i="47"/>
  <c r="E72" i="47"/>
  <c r="E87" i="47"/>
  <c r="E118" i="47"/>
  <c r="E103" i="47"/>
  <c r="E104" i="47"/>
  <c r="E98" i="47"/>
  <c r="E39" i="47"/>
  <c r="E81" i="47"/>
  <c r="E65" i="47"/>
  <c r="E114" i="47"/>
  <c r="E116" i="47"/>
  <c r="E35" i="47"/>
  <c r="F15" i="38"/>
  <c r="C31" i="47"/>
  <c r="E32" i="47" s="1"/>
  <c r="E97" i="47"/>
  <c r="E120" i="47"/>
  <c r="E113" i="47"/>
  <c r="E37" i="47"/>
  <c r="E85" i="47"/>
  <c r="E100" i="47"/>
  <c r="AD22" i="29"/>
  <c r="AJ22" i="29"/>
  <c r="AD21" i="29"/>
  <c r="AJ21" i="29"/>
  <c r="AD24" i="29"/>
  <c r="AJ24" i="29"/>
  <c r="AD26" i="29"/>
  <c r="AJ26" i="29"/>
  <c r="AD23" i="29"/>
  <c r="AJ23" i="29"/>
  <c r="AD27" i="29"/>
  <c r="AJ27" i="29"/>
  <c r="W28" i="6"/>
  <c r="V25" i="29"/>
  <c r="AB25" i="29"/>
  <c r="V29" i="29"/>
  <c r="AB29" i="29"/>
  <c r="N25" i="29"/>
  <c r="G23" i="29"/>
  <c r="G25" i="29"/>
  <c r="X63" i="4"/>
  <c r="X65" i="4"/>
  <c r="X66" i="4"/>
  <c r="K31" i="6"/>
  <c r="K43" i="6" s="1"/>
  <c r="G28" i="29"/>
  <c r="G29" i="29"/>
  <c r="R42" i="29"/>
  <c r="AH42" i="29" s="1"/>
  <c r="J42" i="29"/>
  <c r="Z42" i="29" s="1"/>
  <c r="J43" i="29"/>
  <c r="Z43" i="29" s="1"/>
  <c r="R43" i="29"/>
  <c r="AH43" i="29" s="1"/>
  <c r="T28" i="29"/>
  <c r="N28" i="29"/>
  <c r="T30" i="29"/>
  <c r="V30" i="29" s="1"/>
  <c r="Y49" i="4"/>
  <c r="M29" i="29"/>
  <c r="U29" i="29" s="1"/>
  <c r="Z53" i="4"/>
  <c r="Z52" i="4"/>
  <c r="G27" i="29"/>
  <c r="W62" i="4"/>
  <c r="X62" i="4" s="1"/>
  <c r="Y53" i="4"/>
  <c r="W61" i="4"/>
  <c r="X61" i="4" s="1"/>
  <c r="M23" i="29"/>
  <c r="U23" i="29" s="1"/>
  <c r="Z50" i="4"/>
  <c r="M28" i="29"/>
  <c r="Y51" i="4"/>
  <c r="Z48" i="4"/>
  <c r="Y50" i="4"/>
  <c r="Y48" i="4"/>
  <c r="W64" i="4"/>
  <c r="X64" i="4" s="1"/>
  <c r="Z51" i="4"/>
  <c r="Y54" i="4"/>
  <c r="M25" i="29"/>
  <c r="U25" i="29" s="1"/>
  <c r="G24" i="29"/>
  <c r="M30" i="29"/>
  <c r="W67" i="4"/>
  <c r="X67" i="4" s="1"/>
  <c r="Y52" i="4"/>
  <c r="G26" i="29"/>
  <c r="Z55" i="4"/>
  <c r="W60" i="4"/>
  <c r="X60" i="4" s="1"/>
  <c r="Y55" i="4"/>
  <c r="Z46" i="4"/>
  <c r="W59" i="4"/>
  <c r="X59" i="4" s="1"/>
  <c r="U26" i="29"/>
  <c r="O26" i="29"/>
  <c r="Y47" i="4"/>
  <c r="G22" i="29"/>
  <c r="M22" i="29"/>
  <c r="O27" i="29"/>
  <c r="U27" i="29"/>
  <c r="M21" i="29"/>
  <c r="G21" i="29"/>
  <c r="O24" i="29"/>
  <c r="U24" i="29"/>
  <c r="X70" i="4" l="1"/>
  <c r="D32" i="47"/>
  <c r="E50" i="46"/>
  <c r="P28" i="32"/>
  <c r="O26" i="51" s="1"/>
  <c r="C74" i="47" s="1"/>
  <c r="G31" i="46"/>
  <c r="E49" i="46" s="1"/>
  <c r="O28" i="32"/>
  <c r="N26" i="51" s="1"/>
  <c r="C73" i="47" s="1"/>
  <c r="O31" i="6"/>
  <c r="O43" i="6" s="1"/>
  <c r="AB32" i="46" s="1"/>
  <c r="Z50" i="46" s="1"/>
  <c r="E31" i="6"/>
  <c r="E43" i="6" s="1"/>
  <c r="G31" i="6"/>
  <c r="G43" i="6" s="1"/>
  <c r="P24" i="32" s="1"/>
  <c r="O22" i="51" s="1"/>
  <c r="C58" i="47" s="1"/>
  <c r="G42" i="6"/>
  <c r="V30" i="6"/>
  <c r="Q43" i="6"/>
  <c r="Q42" i="6"/>
  <c r="W42" i="6"/>
  <c r="O140" i="4" s="1"/>
  <c r="W43" i="6"/>
  <c r="P32" i="32"/>
  <c r="O30" i="51" s="1"/>
  <c r="C90" i="47" s="1"/>
  <c r="AB31" i="46"/>
  <c r="Z49" i="46" s="1"/>
  <c r="O32" i="32"/>
  <c r="N30" i="51" s="1"/>
  <c r="C89" i="47" s="1"/>
  <c r="D89" i="47" s="1"/>
  <c r="O20" i="32"/>
  <c r="N18" i="51" s="1"/>
  <c r="C31" i="6"/>
  <c r="C43" i="6" s="1"/>
  <c r="O16" i="32"/>
  <c r="N14" i="51" s="1"/>
  <c r="H22" i="29"/>
  <c r="E15" i="51"/>
  <c r="H25" i="29"/>
  <c r="H15" i="51"/>
  <c r="P26" i="29"/>
  <c r="I19" i="51"/>
  <c r="H23" i="29"/>
  <c r="F15" i="51"/>
  <c r="P24" i="29"/>
  <c r="G19" i="51"/>
  <c r="H28" i="29"/>
  <c r="H21" i="29"/>
  <c r="H27" i="29"/>
  <c r="J15" i="51"/>
  <c r="H26" i="29"/>
  <c r="I15" i="51"/>
  <c r="M15" i="51"/>
  <c r="G20" i="53"/>
  <c r="H29" i="29"/>
  <c r="H24" i="29"/>
  <c r="G15" i="51"/>
  <c r="P27" i="29"/>
  <c r="J19" i="51"/>
  <c r="AL23" i="29"/>
  <c r="AL21" i="29"/>
  <c r="AL22" i="29"/>
  <c r="AL27" i="29"/>
  <c r="AD29" i="29"/>
  <c r="AJ29" i="29"/>
  <c r="AL26" i="29"/>
  <c r="AD25" i="29"/>
  <c r="AJ25" i="29"/>
  <c r="AL24" i="29"/>
  <c r="W27" i="29"/>
  <c r="AC27" i="29"/>
  <c r="V32" i="29"/>
  <c r="AB30" i="29"/>
  <c r="W26" i="29"/>
  <c r="X26" i="29" s="1"/>
  <c r="AC26" i="29"/>
  <c r="W25" i="29"/>
  <c r="AC25" i="29"/>
  <c r="V28" i="29"/>
  <c r="AB28" i="29"/>
  <c r="W23" i="29"/>
  <c r="AC23" i="29"/>
  <c r="W29" i="29"/>
  <c r="AC29" i="29"/>
  <c r="W24" i="29"/>
  <c r="AC24" i="29"/>
  <c r="X69" i="4"/>
  <c r="O28" i="29"/>
  <c r="O29" i="29"/>
  <c r="U28" i="29"/>
  <c r="O25" i="29"/>
  <c r="O23" i="29"/>
  <c r="O30" i="29"/>
  <c r="U30" i="29"/>
  <c r="U21" i="29"/>
  <c r="W21" i="29" s="1"/>
  <c r="E25" i="32" s="1"/>
  <c r="D23" i="51" s="1"/>
  <c r="O21" i="29"/>
  <c r="O22" i="29"/>
  <c r="U22" i="29"/>
  <c r="O141" i="4" l="1"/>
  <c r="R140" i="4"/>
  <c r="D74" i="47"/>
  <c r="E73" i="47"/>
  <c r="D73" i="47"/>
  <c r="D90" i="47"/>
  <c r="P20" i="32"/>
  <c r="O18" i="51" s="1"/>
  <c r="C42" i="47" s="1"/>
  <c r="V42" i="6"/>
  <c r="O24" i="32"/>
  <c r="N22" i="51" s="1"/>
  <c r="C57" i="47" s="1"/>
  <c r="D57" i="47" s="1"/>
  <c r="E74" i="47"/>
  <c r="X25" i="29"/>
  <c r="I25" i="32"/>
  <c r="H23" i="51" s="1"/>
  <c r="X24" i="29"/>
  <c r="H25" i="32"/>
  <c r="G23" i="51" s="1"/>
  <c r="G55" i="51" s="1"/>
  <c r="X23" i="29"/>
  <c r="G25" i="32"/>
  <c r="F23" i="51" s="1"/>
  <c r="F47" i="47"/>
  <c r="G15" i="38"/>
  <c r="X29" i="29"/>
  <c r="M25" i="32"/>
  <c r="X27" i="29"/>
  <c r="K25" i="32"/>
  <c r="J23" i="51" s="1"/>
  <c r="J55" i="51" s="1"/>
  <c r="V31" i="6"/>
  <c r="AV31" i="46"/>
  <c r="AT49" i="46" s="1"/>
  <c r="O36" i="32"/>
  <c r="N34" i="51" s="1"/>
  <c r="C105" i="47" s="1"/>
  <c r="AL32" i="46"/>
  <c r="AJ50" i="46" s="1"/>
  <c r="P40" i="32"/>
  <c r="O38" i="51" s="1"/>
  <c r="C122" i="47" s="1"/>
  <c r="AL31" i="46"/>
  <c r="AJ49" i="46" s="1"/>
  <c r="O40" i="32"/>
  <c r="N38" i="51" s="1"/>
  <c r="C121" i="47" s="1"/>
  <c r="AV32" i="46"/>
  <c r="AT50" i="46" s="1"/>
  <c r="P36" i="32"/>
  <c r="O34" i="51" s="1"/>
  <c r="C106" i="47" s="1"/>
  <c r="E90" i="47"/>
  <c r="E89" i="47"/>
  <c r="C41" i="47"/>
  <c r="F25" i="38"/>
  <c r="P16" i="32"/>
  <c r="O14" i="51" s="1"/>
  <c r="V43" i="6"/>
  <c r="D25" i="38"/>
  <c r="C25" i="47"/>
  <c r="F17" i="47"/>
  <c r="C17" i="38"/>
  <c r="P23" i="29"/>
  <c r="F19" i="51"/>
  <c r="L15" i="51"/>
  <c r="F20" i="53"/>
  <c r="E20" i="53"/>
  <c r="K15" i="51"/>
  <c r="F19" i="47"/>
  <c r="C19" i="38"/>
  <c r="D15" i="51"/>
  <c r="P25" i="29"/>
  <c r="H19" i="51"/>
  <c r="P22" i="29"/>
  <c r="E19" i="51"/>
  <c r="P29" i="29"/>
  <c r="F24" i="47"/>
  <c r="C24" i="38"/>
  <c r="F21" i="47"/>
  <c r="C21" i="38"/>
  <c r="F37" i="47"/>
  <c r="E21" i="38"/>
  <c r="F20" i="47"/>
  <c r="C20" i="38"/>
  <c r="F34" i="47"/>
  <c r="E18" i="38"/>
  <c r="F16" i="47"/>
  <c r="C16" i="38"/>
  <c r="F18" i="47"/>
  <c r="C18" i="38"/>
  <c r="P30" i="29"/>
  <c r="F36" i="47"/>
  <c r="E20" i="38"/>
  <c r="P21" i="29"/>
  <c r="D19" i="51"/>
  <c r="P28" i="29"/>
  <c r="AE29" i="29"/>
  <c r="AF29" i="29" s="1"/>
  <c r="AK29" i="29"/>
  <c r="AE26" i="29"/>
  <c r="AF26" i="29" s="1"/>
  <c r="AK26" i="29"/>
  <c r="AD28" i="29"/>
  <c r="AJ28" i="29"/>
  <c r="AE27" i="29"/>
  <c r="AF27" i="29" s="1"/>
  <c r="AK27" i="29"/>
  <c r="AL25" i="29"/>
  <c r="AD30" i="29"/>
  <c r="AJ30" i="29"/>
  <c r="AE23" i="29"/>
  <c r="AF23" i="29" s="1"/>
  <c r="AK23" i="29"/>
  <c r="AL29" i="29"/>
  <c r="AE24" i="29"/>
  <c r="AF24" i="29" s="1"/>
  <c r="AK24" i="29"/>
  <c r="AE25" i="29"/>
  <c r="AF25" i="29" s="1"/>
  <c r="AK25" i="29"/>
  <c r="I55" i="51"/>
  <c r="J57" i="32"/>
  <c r="X21" i="29"/>
  <c r="AC21" i="29"/>
  <c r="W30" i="29"/>
  <c r="AC30" i="29"/>
  <c r="W28" i="29"/>
  <c r="AC28" i="29"/>
  <c r="W22" i="29"/>
  <c r="AC22" i="29"/>
  <c r="O142" i="4" l="1"/>
  <c r="R141" i="4"/>
  <c r="E41" i="47"/>
  <c r="D41" i="47"/>
  <c r="E121" i="47"/>
  <c r="D121" i="47"/>
  <c r="E105" i="47"/>
  <c r="D105" i="47"/>
  <c r="D58" i="47"/>
  <c r="E25" i="47"/>
  <c r="D25" i="47"/>
  <c r="D106" i="47"/>
  <c r="D122" i="47"/>
  <c r="D42" i="47"/>
  <c r="D55" i="51"/>
  <c r="E58" i="47"/>
  <c r="E57" i="47"/>
  <c r="H57" i="32"/>
  <c r="K57" i="32"/>
  <c r="X22" i="29"/>
  <c r="F25" i="32"/>
  <c r="E23" i="51" s="1"/>
  <c r="E55" i="51" s="1"/>
  <c r="F53" i="47"/>
  <c r="G53" i="47" s="1"/>
  <c r="G21" i="38"/>
  <c r="F50" i="47"/>
  <c r="G18" i="38"/>
  <c r="X30" i="29"/>
  <c r="N25" i="32"/>
  <c r="L23" i="51"/>
  <c r="F24" i="53"/>
  <c r="F49" i="47"/>
  <c r="G17" i="38"/>
  <c r="F51" i="47"/>
  <c r="G51" i="47" s="1"/>
  <c r="G19" i="38"/>
  <c r="X28" i="29"/>
  <c r="L25" i="32"/>
  <c r="N54" i="51"/>
  <c r="O56" i="32"/>
  <c r="E106" i="47"/>
  <c r="E122" i="47"/>
  <c r="E42" i="47"/>
  <c r="P56" i="32"/>
  <c r="D26" i="38"/>
  <c r="C26" i="47"/>
  <c r="O54" i="51"/>
  <c r="G20" i="47"/>
  <c r="G18" i="47"/>
  <c r="G37" i="47"/>
  <c r="G21" i="47"/>
  <c r="E22" i="53"/>
  <c r="K19" i="51"/>
  <c r="F31" i="47"/>
  <c r="E15" i="38"/>
  <c r="F35" i="47"/>
  <c r="G35" i="47" s="1"/>
  <c r="E19" i="38"/>
  <c r="F15" i="47"/>
  <c r="G16" i="47" s="1"/>
  <c r="C15" i="38"/>
  <c r="F32" i="47"/>
  <c r="E16" i="38"/>
  <c r="F23" i="47"/>
  <c r="C23" i="38"/>
  <c r="E57" i="32"/>
  <c r="F33" i="47"/>
  <c r="E17" i="38"/>
  <c r="G22" i="53"/>
  <c r="M19" i="51"/>
  <c r="L19" i="51"/>
  <c r="F22" i="53"/>
  <c r="F22" i="47"/>
  <c r="G22" i="47" s="1"/>
  <c r="C22" i="38"/>
  <c r="G19" i="47"/>
  <c r="G17" i="47"/>
  <c r="AM25" i="29"/>
  <c r="AN25" i="29" s="1"/>
  <c r="AD32" i="29"/>
  <c r="H55" i="51"/>
  <c r="AE22" i="29"/>
  <c r="AF22" i="29" s="1"/>
  <c r="AK22" i="29"/>
  <c r="AL28" i="29"/>
  <c r="AE21" i="29"/>
  <c r="AF21" i="29" s="1"/>
  <c r="AK21" i="29"/>
  <c r="AE28" i="29"/>
  <c r="AF28" i="29" s="1"/>
  <c r="AK28" i="29"/>
  <c r="AM23" i="29"/>
  <c r="AN23" i="29" s="1"/>
  <c r="AM26" i="29"/>
  <c r="AN26" i="29" s="1"/>
  <c r="AM29" i="29"/>
  <c r="AN29" i="29" s="1"/>
  <c r="AE30" i="29"/>
  <c r="AF30" i="29" s="1"/>
  <c r="AK30" i="29"/>
  <c r="AL30" i="29"/>
  <c r="AM27" i="29"/>
  <c r="AN27" i="29" s="1"/>
  <c r="AM24" i="29"/>
  <c r="AN24" i="29" s="1"/>
  <c r="F55" i="51"/>
  <c r="M57" i="32"/>
  <c r="I57" i="32"/>
  <c r="G57" i="32"/>
  <c r="O143" i="4" l="1"/>
  <c r="R142" i="4"/>
  <c r="E26" i="47"/>
  <c r="D26" i="47"/>
  <c r="G52" i="47"/>
  <c r="G50" i="47"/>
  <c r="F57" i="32"/>
  <c r="F34" i="53"/>
  <c r="E24" i="53"/>
  <c r="E34" i="53" s="1"/>
  <c r="K23" i="51"/>
  <c r="G24" i="53"/>
  <c r="G34" i="53" s="1"/>
  <c r="M23" i="51"/>
  <c r="M55" i="51" s="1"/>
  <c r="F48" i="47"/>
  <c r="G49" i="47" s="1"/>
  <c r="G16" i="38"/>
  <c r="F55" i="47"/>
  <c r="G23" i="38"/>
  <c r="G36" i="47"/>
  <c r="G23" i="47"/>
  <c r="G32" i="47"/>
  <c r="F39" i="47"/>
  <c r="E23" i="38"/>
  <c r="F40" i="47"/>
  <c r="E24" i="38"/>
  <c r="L55" i="51"/>
  <c r="G33" i="47"/>
  <c r="G24" i="47"/>
  <c r="F38" i="47"/>
  <c r="G38" i="47" s="1"/>
  <c r="E22" i="38"/>
  <c r="G34" i="47"/>
  <c r="L57" i="32"/>
  <c r="AL31" i="29"/>
  <c r="AL32" i="29" s="1"/>
  <c r="AM28" i="29"/>
  <c r="AN28" i="29" s="1"/>
  <c r="AM30" i="29"/>
  <c r="AN30" i="29" s="1"/>
  <c r="AM22" i="29"/>
  <c r="AN22" i="29" s="1"/>
  <c r="AM21" i="29"/>
  <c r="AN21" i="29" s="1"/>
  <c r="N57" i="32"/>
  <c r="O144" i="4" l="1"/>
  <c r="R143" i="4"/>
  <c r="F56" i="47"/>
  <c r="G56" i="47" s="1"/>
  <c r="G24" i="38"/>
  <c r="F54" i="47"/>
  <c r="G22" i="38"/>
  <c r="G48" i="47"/>
  <c r="K55" i="51"/>
  <c r="G40" i="47"/>
  <c r="G39" i="47"/>
  <c r="O145" i="4" l="1"/>
  <c r="R144" i="4"/>
  <c r="G54" i="47"/>
  <c r="G55" i="47"/>
  <c r="O146" i="4" l="1"/>
  <c r="R145" i="4"/>
  <c r="O147" i="4" l="1"/>
  <c r="R146" i="4"/>
  <c r="O148" i="4" l="1"/>
  <c r="R147" i="4"/>
  <c r="O149" i="4" l="1"/>
  <c r="R148" i="4"/>
  <c r="AB42" i="29"/>
  <c r="O150" i="4" l="1"/>
  <c r="R149" i="4"/>
  <c r="AD42" i="29"/>
  <c r="AJ42" i="29"/>
  <c r="O151" i="4" l="1"/>
  <c r="R150" i="4"/>
  <c r="AL42" i="29"/>
  <c r="O152" i="4" l="1"/>
  <c r="R151" i="4"/>
  <c r="O153" i="4" l="1"/>
  <c r="R152" i="4"/>
  <c r="S151" i="4"/>
  <c r="E31" i="29"/>
  <c r="O154" i="4" l="1"/>
  <c r="R153" i="4"/>
  <c r="G31" i="29"/>
  <c r="H31" i="29" s="1"/>
  <c r="D42" i="29" s="1"/>
  <c r="F42" i="29" s="1"/>
  <c r="H42" i="29" s="1"/>
  <c r="M31" i="29"/>
  <c r="V76" i="4"/>
  <c r="W76" i="4" s="1"/>
  <c r="AH31" i="46"/>
  <c r="AJ31" i="46" s="1"/>
  <c r="C31" i="46"/>
  <c r="E31" i="46" s="1"/>
  <c r="AR31" i="46"/>
  <c r="AT31" i="46" s="1"/>
  <c r="N31" i="46"/>
  <c r="P31" i="46" s="1"/>
  <c r="X31" i="46"/>
  <c r="Z31" i="46" s="1"/>
  <c r="F31" i="46" l="1"/>
  <c r="I49" i="46"/>
  <c r="O29" i="32" s="1"/>
  <c r="Q31" i="46"/>
  <c r="T49" i="46"/>
  <c r="O33" i="32" s="1"/>
  <c r="O155" i="4"/>
  <c r="R154" i="4"/>
  <c r="AW31" i="46"/>
  <c r="AX49" i="46"/>
  <c r="O41" i="32" s="1"/>
  <c r="AU31" i="46"/>
  <c r="U31" i="29"/>
  <c r="O31" i="29"/>
  <c r="AA31" i="46"/>
  <c r="AD49" i="46"/>
  <c r="O37" i="32" s="1"/>
  <c r="AK31" i="46"/>
  <c r="AN49" i="46"/>
  <c r="AC31" i="46" l="1"/>
  <c r="AE49" i="46"/>
  <c r="O38" i="32" s="1"/>
  <c r="AD31" i="46"/>
  <c r="H32" i="53"/>
  <c r="N39" i="51"/>
  <c r="H28" i="53"/>
  <c r="N31" i="51"/>
  <c r="AM31" i="46"/>
  <c r="AO49" i="46"/>
  <c r="O26" i="32" s="1"/>
  <c r="AN31" i="46"/>
  <c r="AC31" i="29"/>
  <c r="W31" i="29"/>
  <c r="X31" i="29" s="1"/>
  <c r="T42" i="29" s="1"/>
  <c r="V42" i="29" s="1"/>
  <c r="X42" i="29" s="1"/>
  <c r="O25" i="32" s="1"/>
  <c r="H26" i="53"/>
  <c r="N27" i="51"/>
  <c r="P31" i="29"/>
  <c r="L42" i="29" s="1"/>
  <c r="N42" i="29" s="1"/>
  <c r="P42" i="29" s="1"/>
  <c r="O21" i="32" s="1"/>
  <c r="T31" i="46"/>
  <c r="U49" i="46"/>
  <c r="O34" i="32" s="1"/>
  <c r="S31" i="46"/>
  <c r="H30" i="53"/>
  <c r="N35" i="51"/>
  <c r="AY49" i="46"/>
  <c r="O42" i="32" s="1"/>
  <c r="AX31" i="46"/>
  <c r="O156" i="4"/>
  <c r="R155" i="4"/>
  <c r="J49" i="46"/>
  <c r="O30" i="32" s="1"/>
  <c r="I31" i="46"/>
  <c r="H31" i="46"/>
  <c r="H22" i="53" l="1"/>
  <c r="N19" i="51"/>
  <c r="N40" i="51"/>
  <c r="H50" i="53"/>
  <c r="N32" i="51"/>
  <c r="H46" i="53"/>
  <c r="F73" i="47"/>
  <c r="G73" i="47" s="1"/>
  <c r="I25" i="38"/>
  <c r="N23" i="51"/>
  <c r="H24" i="53"/>
  <c r="H44" i="53"/>
  <c r="N28" i="51"/>
  <c r="F105" i="47"/>
  <c r="G105" i="47" s="1"/>
  <c r="M25" i="38"/>
  <c r="F89" i="47"/>
  <c r="G89" i="47" s="1"/>
  <c r="K25" i="38"/>
  <c r="O157" i="4"/>
  <c r="R156" i="4"/>
  <c r="N36" i="51"/>
  <c r="H48" i="53"/>
  <c r="AE31" i="29"/>
  <c r="AK31" i="29"/>
  <c r="AM31" i="29" s="1"/>
  <c r="N24" i="51"/>
  <c r="H42" i="53"/>
  <c r="O58" i="32"/>
  <c r="O25" i="38"/>
  <c r="F121" i="47"/>
  <c r="G121" i="47" s="1"/>
  <c r="AF31" i="29" l="1"/>
  <c r="AF42" i="29"/>
  <c r="AN31" i="29"/>
  <c r="AN42" i="29"/>
  <c r="O17" i="32" s="1"/>
  <c r="H121" i="47"/>
  <c r="I121" i="47" s="1"/>
  <c r="P25" i="38"/>
  <c r="H52" i="53"/>
  <c r="O158" i="4"/>
  <c r="R157" i="4"/>
  <c r="F57" i="47"/>
  <c r="G57" i="47" s="1"/>
  <c r="G25" i="38"/>
  <c r="H89" i="47"/>
  <c r="I89" i="47" s="1"/>
  <c r="L25" i="38"/>
  <c r="F41" i="47"/>
  <c r="G41" i="47" s="1"/>
  <c r="E25" i="38"/>
  <c r="H57" i="47"/>
  <c r="I57" i="47" s="1"/>
  <c r="N56" i="51"/>
  <c r="H25" i="38"/>
  <c r="H105" i="47"/>
  <c r="I105" i="47" s="1"/>
  <c r="N25" i="38"/>
  <c r="J25" i="38"/>
  <c r="H73" i="47"/>
  <c r="I73" i="47" s="1"/>
  <c r="O159" i="4" l="1"/>
  <c r="R158" i="4"/>
  <c r="H20" i="53"/>
  <c r="H34" i="53" s="1"/>
  <c r="N15" i="51"/>
  <c r="O57" i="32"/>
  <c r="AB43" i="29"/>
  <c r="O160" i="4" l="1"/>
  <c r="R159" i="4"/>
  <c r="C25" i="38"/>
  <c r="N55" i="51"/>
  <c r="F25" i="47"/>
  <c r="G25" i="47" s="1"/>
  <c r="AD43" i="29"/>
  <c r="AJ43" i="29"/>
  <c r="O161" i="4" l="1"/>
  <c r="R160" i="4"/>
  <c r="AL43" i="29"/>
  <c r="O162" i="4" l="1"/>
  <c r="R161" i="4"/>
  <c r="O163" i="4" l="1"/>
  <c r="R163" i="4" s="1"/>
  <c r="R162" i="4"/>
  <c r="S163" i="4" l="1"/>
  <c r="E32" i="29"/>
  <c r="V77" i="4" l="1"/>
  <c r="W77" i="4" s="1"/>
  <c r="X32" i="46"/>
  <c r="Z32" i="46" s="1"/>
  <c r="AH32" i="46"/>
  <c r="AJ32" i="46" s="1"/>
  <c r="N32" i="46"/>
  <c r="P32" i="46" s="1"/>
  <c r="AR32" i="46"/>
  <c r="AT32" i="46" s="1"/>
  <c r="C32" i="46"/>
  <c r="E32" i="46" s="1"/>
  <c r="M32" i="29"/>
  <c r="G32" i="29"/>
  <c r="M40" i="53"/>
  <c r="H32" i="29" l="1"/>
  <c r="D43" i="29" s="1"/>
  <c r="F43" i="29" s="1"/>
  <c r="H43" i="29" s="1"/>
  <c r="Q32" i="46"/>
  <c r="T50" i="46"/>
  <c r="O32" i="29"/>
  <c r="U32" i="29"/>
  <c r="I50" i="46"/>
  <c r="F32" i="46"/>
  <c r="AD50" i="46"/>
  <c r="P37" i="32" s="1"/>
  <c r="I30" i="53" s="1"/>
  <c r="AA32" i="46"/>
  <c r="AK32" i="46"/>
  <c r="AN50" i="46"/>
  <c r="AW32" i="46"/>
  <c r="AU32" i="46"/>
  <c r="AX50" i="46"/>
  <c r="P41" i="32" s="1"/>
  <c r="I32" i="53" s="1"/>
  <c r="AM32" i="46" l="1"/>
  <c r="AO50" i="46"/>
  <c r="P26" i="32" s="1"/>
  <c r="AN32" i="46"/>
  <c r="S32" i="46"/>
  <c r="T32" i="46"/>
  <c r="U50" i="46"/>
  <c r="P34" i="32" s="1"/>
  <c r="I46" i="53" s="1"/>
  <c r="P32" i="29"/>
  <c r="L43" i="29" s="1"/>
  <c r="N43" i="29" s="1"/>
  <c r="P43" i="29" s="1"/>
  <c r="P21" i="32" s="1"/>
  <c r="I22" i="53" s="1"/>
  <c r="AY50" i="46"/>
  <c r="P42" i="32" s="1"/>
  <c r="I50" i="53" s="1"/>
  <c r="AX32" i="46"/>
  <c r="AC32" i="46"/>
  <c r="AD32" i="46"/>
  <c r="AE50" i="46"/>
  <c r="P38" i="32" s="1"/>
  <c r="I48" i="53" s="1"/>
  <c r="W32" i="29"/>
  <c r="AC32" i="29"/>
  <c r="J50" i="46"/>
  <c r="P30" i="32" s="1"/>
  <c r="I44" i="53" s="1"/>
  <c r="I32" i="46"/>
  <c r="H32" i="46"/>
  <c r="P29" i="32"/>
  <c r="I26" i="53" s="1"/>
  <c r="P33" i="32"/>
  <c r="I28" i="53" s="1"/>
  <c r="N40" i="53" l="1"/>
  <c r="N50" i="53"/>
  <c r="M50" i="53"/>
  <c r="AE32" i="29"/>
  <c r="AK32" i="29"/>
  <c r="AM32" i="29" s="1"/>
  <c r="X32" i="29"/>
  <c r="T43" i="29" s="1"/>
  <c r="V43" i="29" s="1"/>
  <c r="X43" i="29" s="1"/>
  <c r="P25" i="32" s="1"/>
  <c r="I24" i="53" s="1"/>
  <c r="N48" i="53"/>
  <c r="N46" i="53"/>
  <c r="I42" i="53"/>
  <c r="P58" i="32"/>
  <c r="N44" i="53"/>
  <c r="N42" i="53" l="1"/>
  <c r="N52" i="53" s="1"/>
  <c r="O50" i="53"/>
  <c r="O40" i="51" s="1"/>
  <c r="AN32" i="29"/>
  <c r="AN43" i="29"/>
  <c r="P17" i="32" s="1"/>
  <c r="I52" i="53"/>
  <c r="M42" i="53"/>
  <c r="AF32" i="29"/>
  <c r="AF43" i="29"/>
  <c r="O40" i="53"/>
  <c r="O20" i="51" l="1"/>
  <c r="O42" i="53"/>
  <c r="O24" i="51" s="1"/>
  <c r="P26" i="38"/>
  <c r="H122" i="47"/>
  <c r="I122" i="47" s="1"/>
  <c r="I20" i="53"/>
  <c r="I34" i="53" s="1"/>
  <c r="P57" i="32"/>
  <c r="H42" i="47" l="1"/>
  <c r="I42" i="47" s="1"/>
  <c r="F26" i="38"/>
  <c r="H58" i="47"/>
  <c r="I58" i="47" s="1"/>
  <c r="H26" i="38"/>
  <c r="K20" i="53"/>
  <c r="L20" i="53" s="1"/>
  <c r="M20" i="53" s="1"/>
  <c r="O20" i="53" s="1"/>
  <c r="M34" i="53"/>
  <c r="K34" i="53"/>
  <c r="K30" i="53"/>
  <c r="L30" i="53" s="1"/>
  <c r="M30" i="53" s="1"/>
  <c r="K32" i="53"/>
  <c r="L32" i="53" s="1"/>
  <c r="M32" i="53" s="1"/>
  <c r="O32" i="53" s="1"/>
  <c r="O39" i="51" s="1"/>
  <c r="K26" i="53"/>
  <c r="L26" i="53" s="1"/>
  <c r="M26" i="53" s="1"/>
  <c r="K22" i="53"/>
  <c r="L22" i="53" s="1"/>
  <c r="M22" i="53" s="1"/>
  <c r="O22" i="53" s="1"/>
  <c r="O19" i="51" s="1"/>
  <c r="K28" i="53"/>
  <c r="L28" i="53" s="1"/>
  <c r="M28" i="53" s="1"/>
  <c r="K24" i="53"/>
  <c r="L24" i="53" s="1"/>
  <c r="M24" i="53" s="1"/>
  <c r="O24" i="53" s="1"/>
  <c r="O23" i="51" s="1"/>
  <c r="F42" i="47" l="1"/>
  <c r="G42" i="47" s="1"/>
  <c r="E26" i="38"/>
  <c r="O30" i="53"/>
  <c r="O35" i="51" s="1"/>
  <c r="M48" i="53"/>
  <c r="O48" i="53" s="1"/>
  <c r="O36" i="51" s="1"/>
  <c r="O26" i="53"/>
  <c r="O27" i="51" s="1"/>
  <c r="M44" i="53"/>
  <c r="O28" i="53"/>
  <c r="O31" i="51" s="1"/>
  <c r="M46" i="53"/>
  <c r="O46" i="53" s="1"/>
  <c r="O32" i="51" s="1"/>
  <c r="G26" i="38"/>
  <c r="F58" i="47"/>
  <c r="G58" i="47" s="1"/>
  <c r="O26" i="38"/>
  <c r="F122" i="47"/>
  <c r="G122" i="47" s="1"/>
  <c r="O15" i="51"/>
  <c r="L26" i="38" l="1"/>
  <c r="H90" i="47"/>
  <c r="I90" i="47" s="1"/>
  <c r="H106" i="47"/>
  <c r="I106" i="47" s="1"/>
  <c r="N26" i="38"/>
  <c r="K26" i="38"/>
  <c r="F90" i="47"/>
  <c r="G90" i="47" s="1"/>
  <c r="F106" i="47"/>
  <c r="G106" i="47" s="1"/>
  <c r="M26" i="38"/>
  <c r="C26" i="38"/>
  <c r="F26" i="47"/>
  <c r="G26" i="47" s="1"/>
  <c r="O55" i="51"/>
  <c r="F74" i="47"/>
  <c r="G74" i="47" s="1"/>
  <c r="I26" i="38"/>
  <c r="O34" i="53"/>
  <c r="Q34" i="53" s="1"/>
  <c r="O44" i="53"/>
  <c r="M52" i="53"/>
  <c r="O28" i="51" l="1"/>
  <c r="O52" i="53"/>
  <c r="H74" i="47" l="1"/>
  <c r="I74" i="47" s="1"/>
  <c r="J26" i="38"/>
  <c r="O56" i="51"/>
</calcChain>
</file>

<file path=xl/connections.xml><?xml version="1.0" encoding="utf-8"?>
<connections xmlns="http://schemas.openxmlformats.org/spreadsheetml/2006/main">
  <connection id="1"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<sst xmlns="http://schemas.openxmlformats.org/spreadsheetml/2006/main" count="1131" uniqueCount="416">
  <si>
    <t>Connections</t>
  </si>
  <si>
    <t>HDD</t>
  </si>
  <si>
    <t>CDD</t>
  </si>
  <si>
    <t>Date</t>
  </si>
  <si>
    <t>Geomean</t>
  </si>
  <si>
    <t>Growth Rate</t>
  </si>
  <si>
    <t>Residential</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</si>
  <si>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</si>
  <si>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</si>
  <si>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</si>
  <si>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</si>
  <si>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</si>
  <si>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</si>
  <si>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</si>
  <si>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</si>
  <si>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</si>
  <si>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</si>
  <si>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</si>
  <si>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</si>
  <si>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</si>
  <si>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</si>
  <si>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</si>
  <si>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</si>
  <si>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</si>
  <si>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</si>
  <si>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</si>
  <si>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</si>
  <si>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</si>
  <si>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</si>
  <si>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</si>
  <si>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 xml:space="preserve"> </t>
  </si>
  <si>
    <t>Adjusted</t>
  </si>
  <si>
    <t>Yearly Total</t>
  </si>
  <si>
    <t>Year</t>
  </si>
  <si>
    <t>Weather Normal</t>
  </si>
  <si>
    <t>Customer</t>
  </si>
  <si>
    <t>kWh</t>
  </si>
  <si>
    <t>kW</t>
  </si>
  <si>
    <t>Per customer</t>
  </si>
  <si>
    <t>Added Load</t>
  </si>
  <si>
    <t>New Customer</t>
  </si>
  <si>
    <t>KW/kWh Ratio</t>
  </si>
  <si>
    <t>Non-Weather Sensitive</t>
  </si>
  <si>
    <t>kWh Purchased</t>
  </si>
  <si>
    <t>Weather Sensitive Load</t>
  </si>
  <si>
    <t>year over year</t>
  </si>
  <si>
    <t>Purch. VS Adj.</t>
  </si>
  <si>
    <t>Mean Average Percentage Error (Mape) :</t>
  </si>
  <si>
    <t>per cust kWh</t>
  </si>
  <si>
    <t>Cust</t>
  </si>
  <si>
    <t>4 Year (2011-2014) kWh Target:</t>
  </si>
  <si>
    <t>2011 CDM Programs</t>
  </si>
  <si>
    <t>2012 CDM Programs</t>
  </si>
  <si>
    <t>2013 CDM Programs</t>
  </si>
  <si>
    <t>2014 CDM Programs</t>
  </si>
  <si>
    <t>Total in Year</t>
  </si>
  <si>
    <t>"Gross"</t>
  </si>
  <si>
    <t>"Net"</t>
  </si>
  <si>
    <t>Difference</t>
  </si>
  <si>
    <t xml:space="preserve">Average per customer </t>
  </si>
  <si>
    <t>Share</t>
  </si>
  <si>
    <t>Target</t>
  </si>
  <si>
    <t>%chg</t>
  </si>
  <si>
    <t>Median</t>
  </si>
  <si>
    <t xml:space="preserve">Notes: </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</si>
  <si>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</si>
  <si>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4) Number of customers is defined as number of connections (i.e., meters). Add or delete rate classes as appropriate.</t>
  </si>
  <si>
    <t>2) "Metered" or Class consumption is monthly usage measured at the retail meter, unadjusted for losses (i.e., the retail consumption amount)</t>
  </si>
  <si>
    <t xml:space="preserve">1) "Wholesale" purchases are purchases measured at the wholesale meter. </t>
  </si>
  <si>
    <t>3) "Consumed" consumption (retail) is the uplifted consumption billed</t>
  </si>
  <si>
    <t>Net-to-Gross Conversion</t>
  </si>
  <si>
    <t>Is CDM adjustment being done on a "net" or "gross" basis?</t>
  </si>
  <si>
    <t>net</t>
  </si>
  <si>
    <t>"Net-to-Gross" Conversion Factor</t>
  </si>
  <si>
    <t>Persistence of Historical CDM programs to 2014</t>
  </si>
  <si>
    <t>('g')</t>
  </si>
  <si>
    <t>2006-2010 CDM programs</t>
  </si>
  <si>
    <t>2011 CDM program</t>
  </si>
  <si>
    <t>2012 CDM program</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</si>
  <si>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</si>
  <si>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</si>
  <si>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Inclusion in CDM Adjustment to 2014 Load Forecast</t>
  </si>
  <si>
    <t>Weight Factor for each year's CDM program impact on 2014 load forecast</t>
  </si>
  <si>
    <t xml:space="preserve">Default Value selection rationale.  </t>
  </si>
  <si>
    <t>Amount used for CDM threshold for LRAMVA (2014)</t>
  </si>
  <si>
    <t>2015</t>
  </si>
  <si>
    <t>Customer Growth Chart</t>
  </si>
  <si>
    <t>Sentinel Lighting</t>
  </si>
  <si>
    <t xml:space="preserve">Utility Name   </t>
  </si>
  <si>
    <t>Service Territory</t>
  </si>
  <si>
    <t>Assigned EB Number</t>
  </si>
  <si>
    <t>Name of Contact and Title</t>
  </si>
  <si>
    <t xml:space="preserve">Phone Number   </t>
  </si>
  <si>
    <t xml:space="preserve">Email Address   </t>
  </si>
  <si>
    <t>Bridge Year</t>
  </si>
  <si>
    <t>Test Year</t>
  </si>
  <si>
    <t>Last Rebasing Year</t>
  </si>
  <si>
    <t>Customer Class Name</t>
  </si>
  <si>
    <t>General Service &lt; 50 kW</t>
  </si>
  <si>
    <t>Regression Analysis</t>
  </si>
  <si>
    <t>kW and Non-Weather Sensitive Load</t>
  </si>
  <si>
    <t>Consumption by Rate Class</t>
  </si>
  <si>
    <t>LDC Info</t>
  </si>
  <si>
    <t>Weather Adjusted Load Forecast Results</t>
  </si>
  <si>
    <t>Streetlighting</t>
  </si>
  <si>
    <t>Unmetered Scattered Load</t>
  </si>
  <si>
    <t>other</t>
  </si>
  <si>
    <t>Montth</t>
  </si>
  <si>
    <t>December</t>
  </si>
  <si>
    <t>September</t>
  </si>
  <si>
    <t>October</t>
  </si>
  <si>
    <t>November</t>
  </si>
  <si>
    <t>January</t>
  </si>
  <si>
    <t>February</t>
  </si>
  <si>
    <t>March</t>
  </si>
  <si>
    <t>April</t>
  </si>
  <si>
    <t>May</t>
  </si>
  <si>
    <t>June</t>
  </si>
  <si>
    <t>July</t>
  </si>
  <si>
    <t>August</t>
  </si>
  <si>
    <t>Customers or Connections</t>
  </si>
  <si>
    <t>Unadjusted</t>
  </si>
  <si>
    <t>Unadjusted Wholesale Purchases kWh</t>
  </si>
  <si>
    <t>Revised Wholesale Purchases</t>
  </si>
  <si>
    <t>Variables Used</t>
  </si>
  <si>
    <t>Note: Statistically, MAPE is defined as the average of percentage errors</t>
  </si>
  <si>
    <t>Weather-Sensitive</t>
  </si>
  <si>
    <t>Energy (kWh) Weather Sensitive / Non-weather sensitive</t>
  </si>
  <si>
    <t>Demand (kW) Weather Sensitive / Non-weather sensitive</t>
  </si>
  <si>
    <t>n/a</t>
  </si>
  <si>
    <t>Note: The model computes an average customer count. Utility may chose to overwrite the customer/connection count if a year end count is more appropriate.</t>
  </si>
  <si>
    <t>Cust/Conn</t>
  </si>
  <si>
    <t>per cust kW</t>
  </si>
  <si>
    <t>Customer Count</t>
  </si>
  <si>
    <t>Spring Fall Flag</t>
  </si>
  <si>
    <t>Summary of Variables</t>
  </si>
  <si>
    <t>Adjustments to Wholesale Purchases (i.e. CDM, Loss of customer etc)</t>
  </si>
  <si>
    <t>Jan</t>
  </si>
  <si>
    <t>Feb</t>
  </si>
  <si>
    <t>Mar</t>
  </si>
  <si>
    <t>Apr</t>
  </si>
  <si>
    <t>Jun</t>
  </si>
  <si>
    <t>Jul</t>
  </si>
  <si>
    <t>Aug</t>
  </si>
  <si>
    <t>Sept</t>
  </si>
  <si>
    <t>Nov</t>
  </si>
  <si>
    <t>Dec</t>
  </si>
  <si>
    <t>Oct</t>
  </si>
  <si>
    <t>Weather Normalized</t>
  </si>
  <si>
    <t>Variables</t>
  </si>
  <si>
    <t>Customer Classes</t>
  </si>
  <si>
    <t>Wholesale Purchases</t>
  </si>
  <si>
    <t>Ratio%    *</t>
  </si>
  <si>
    <t>Residential Metered kWh</t>
  </si>
  <si>
    <t>GS&lt;50 Metered kWh</t>
  </si>
  <si>
    <t>GS&gt;50 Metered kWh</t>
  </si>
  <si>
    <t>* the model uses metered per class to determine the wholesale per class</t>
  </si>
  <si>
    <t>Days in Month</t>
  </si>
  <si>
    <t>SUMMARY OUTPUT</t>
  </si>
  <si>
    <t>FINAL ADJUSTED NUMBERS</t>
  </si>
  <si>
    <t>Per Customer Weather Normalized (based on 2014 cust count)</t>
  </si>
  <si>
    <t>Total for 2015</t>
  </si>
  <si>
    <t>Avg - Years =</t>
  </si>
  <si>
    <t>Summary of Years (Average)</t>
  </si>
  <si>
    <t>Total Customers</t>
  </si>
  <si>
    <t>GDP</t>
  </si>
  <si>
    <t>kWh Predicted Vs. Actual</t>
  </si>
  <si>
    <t>FORECAST METHODOLOGY</t>
  </si>
  <si>
    <t>Note: the median is the numerical value separating the higher half of a data sample, from the lower half</t>
  </si>
  <si>
    <t xml:space="preserve">Average </t>
  </si>
  <si>
    <t>Utility Adjusted Customer Growth %</t>
  </si>
  <si>
    <t>Forecasting Calculation Methodology</t>
  </si>
  <si>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kWh</t>
    </r>
  </si>
  <si>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t>
    </r>
  </si>
  <si>
    <t>Customers &amp; Connections</t>
  </si>
  <si>
    <t>In the section below, LDCs can adjust the computed customer count for the Bridge and Test Year for special circumstance such as new subdivision or loss of customer or other utility specific reasons.</t>
  </si>
  <si>
    <t>Load corrected for Utility Growth based on utility input</t>
  </si>
  <si>
    <t>Load Growth Corrected</t>
  </si>
  <si>
    <t>Yes</t>
  </si>
  <si>
    <t>No</t>
  </si>
  <si>
    <t>Does Your Utility need to Adjust for Load Correct Growth?</t>
  </si>
  <si>
    <t>kWh per connection</t>
  </si>
  <si>
    <t>KW per connection</t>
  </si>
  <si>
    <t>Customer/ Connection</t>
  </si>
  <si>
    <t>Average kWh</t>
  </si>
  <si>
    <t>Average kW</t>
  </si>
  <si>
    <t>Total kWh</t>
  </si>
  <si>
    <t>Total kW</t>
  </si>
  <si>
    <t>Growth Corrected?</t>
  </si>
  <si>
    <t>Growth Corrected</t>
  </si>
  <si>
    <t>Note: This worksheet uses average actual usage for customer load, and not weather normalized used in worksheet 7. Weather Sensitive Class</t>
  </si>
  <si>
    <t>WN</t>
  </si>
  <si>
    <t>-</t>
  </si>
  <si>
    <t>Class Selection</t>
  </si>
  <si>
    <t>General Service &lt; 50 kW-WN</t>
  </si>
  <si>
    <t>Residential-WN</t>
  </si>
  <si>
    <t>2015-2020 CDM Program - 2015, first year of the current CDM plan</t>
  </si>
  <si>
    <t>For the first year of the new 2015-2020 CDM plan, it is assumed that each year's program will achieve an equal amount of new CDM savings.  The new targets for 2015-2020 do not take into account persistence beyond the first year, but the OPA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OPA.</t>
  </si>
  <si>
    <t>6 Year (2015-2020) kWh Target:</t>
  </si>
  <si>
    <t>%</t>
  </si>
  <si>
    <t>2015 CDM Programs</t>
  </si>
  <si>
    <t>2016 CDM Programs</t>
  </si>
  <si>
    <t>2017 CDM Programs</t>
  </si>
  <si>
    <t>2018 CDM Programs</t>
  </si>
  <si>
    <t>2019 CDM Programs</t>
  </si>
  <si>
    <t>2020 CDM Programs</t>
  </si>
  <si>
    <t>Determination of 2015 Load Forecast Adjustment</t>
  </si>
  <si>
    <t>The Board has determined that the "net" number should be used in its Decision and Order with respect to Centre Wellington Hydro Ltd.'s 2013 Cost of Service rates (EB-2012-0113).  This approach has also been used in Settlement Agreements accepted by the Board in other 2013 and 2-14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</si>
  <si>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and 2013 CDM Final Reports,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</si>
  <si>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2013 CDM program</t>
  </si>
  <si>
    <t>2006 to 2013 OPA CDM programs:  Persistence to 2015</t>
  </si>
  <si>
    <t>Load Forecast CDM Adjustment Work Form (2015)</t>
  </si>
  <si>
    <t>2011-2014 CDM Program - 2014, last year of the current CDM plan</t>
  </si>
  <si>
    <t>Distributor can select "0", "0.5", or "1" from drop-down list</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</si>
  <si>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</si>
  <si>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</si>
  <si>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Full year impact of persistence of 2013 CDM programs on 2015 load forecast, but 50% impact in base forecast (first year impact of 2013 CDM programs on 2013 load forecast, which is part of the data for the load forecast.</t>
  </si>
  <si>
    <t>Full year impact of persistence of 2014 programs on 2015 load forecast.  2014 CDM programs not in base forecast.</t>
  </si>
  <si>
    <t>Only 50% of 2015 CDM programs are assumed to impact the 2015 load forecast based on the "half-year" rule.</t>
  </si>
  <si>
    <t>2011-2014 and 2015-2020 LRAMVA and 2015 CDM adjustment to Load Forecast</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</si>
  <si>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</si>
  <si>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t>Total for 2014</t>
  </si>
  <si>
    <t>2011 CDM adjustment (per Board Decision in 2011 Cost of Service Application)</t>
  </si>
  <si>
    <t>Amount used for CDM threshold for LRAMVA (2015)</t>
  </si>
  <si>
    <t>Manual Adjustment for 2015 Load Forecast (billed basis)</t>
  </si>
  <si>
    <t>CDM Allocation Worksheet</t>
  </si>
  <si>
    <t xml:space="preserve"> Adjusted load from 2015 Forecast</t>
  </si>
  <si>
    <t>This Work form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</si>
  <si>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CDM Allocation</t>
  </si>
  <si>
    <t xml:space="preserve">Adjusted (kWh) </t>
  </si>
  <si>
    <t xml:space="preserve"> Adjusted (kWh) </t>
  </si>
  <si>
    <t>Manual Reallocation</t>
  </si>
  <si>
    <t>Final Adjusted (kWh)</t>
  </si>
  <si>
    <t xml:space="preserve"> S/b Zero</t>
  </si>
  <si>
    <t>Final Load Forecast Results - CDM Adjusted</t>
  </si>
  <si>
    <t>Adjusted kWh</t>
  </si>
  <si>
    <t>Linear Trending</t>
  </si>
  <si>
    <t>Linear Trending Calculation ( y=mx+b)</t>
  </si>
  <si>
    <t>Slope (m)</t>
  </si>
  <si>
    <t>Intercept (b)</t>
  </si>
  <si>
    <t>Non-WN/kW</t>
  </si>
  <si>
    <t>Streetlighting-Non-WN/kW</t>
  </si>
  <si>
    <t>Sentinel Lighting-Non-WN/kW</t>
  </si>
  <si>
    <t>Number of Days in Month</t>
  </si>
  <si>
    <t>1995</t>
  </si>
  <si>
    <t>kWH Forecasted Purchases</t>
  </si>
  <si>
    <t>Adjustment</t>
  </si>
  <si>
    <t xml:space="preserve">1) Utilities will have the choice to manually adjust the projected growth in the bridge and test years if it is felt that the Geomean average does not represent forecasted growth. </t>
  </si>
  <si>
    <t xml:space="preserve">1) Enter Variables here that will be used to run the regression analysis in worksheet 6. WS Regression Analysis ( Maximum 6 variables)
"Wholesale" purchases are purchases measured at the wholesale meter. </t>
  </si>
  <si>
    <t xml:space="preserve">Note: Your final regression analysis does not need to include all six of the variables 
Note: Your final regression analysis does not need to include all six of the variables 
</t>
  </si>
  <si>
    <t xml:space="preserve">1) Update Wholesale Purchases. </t>
  </si>
  <si>
    <t>2) Use drop down lists to select the variables inputted from 5.Variable Worksheet and  Select Forecast Methodology</t>
  </si>
  <si>
    <t>3) Run Regression -&gt; Data -&gt; Data Analysis - &gt; Regression</t>
  </si>
  <si>
    <t xml:space="preserve">1) Examples of Correlation and Regression Results can be copied over from worksheet 6. WS Regression Analysis
Update Wholesale Purchases. </t>
  </si>
  <si>
    <t xml:space="preserve">2) This page will be overwrite by utilities specific studies
</t>
  </si>
  <si>
    <t>Scenarios</t>
  </si>
  <si>
    <t xml:space="preserve">1) Please Select Only the Weather Sensitive Customer Classes from the Drop Down List ( Include GS&gt;50 kW customers) </t>
  </si>
  <si>
    <t xml:space="preserve">2) Select if you need to manually adjust for Load Growth or not - i.e. if this was not captured through the regression analysis (this can be verified by a quick calculation, comparing weather normal kwh purchases/forecasted customer totals for the forecast year)-
</t>
  </si>
  <si>
    <t xml:space="preserve">1) Please Select All Customers billed Distribution Volumetric Rates by kW. </t>
  </si>
  <si>
    <t xml:space="preserve">2) Please update the Average Years that is used to calculate an average kW/kWh ratio and forecast kW's
</t>
  </si>
  <si>
    <t xml:space="preserve">3) If required, A Distributor may manually adjust kWh's - i.e. Wholesale Market Participant might not have been reflected through Regression for Large Customers ( Distributor must support decision)
</t>
  </si>
  <si>
    <t xml:space="preserve">4) Select if you need to manually adjust for Load Growth or not - i.e. if this was not captured through the regression analysis (Distributor must support decision)
</t>
  </si>
  <si>
    <t xml:space="preserve">1) Use the drop down selections to select the appropriate customer classes. </t>
  </si>
  <si>
    <t xml:space="preserve">1) Use this sheet to allocate Projected CDM Savings for the Test Year
. </t>
  </si>
  <si>
    <t xml:space="preserve">2) Reallocate CDM savings to specific classes if required ( Distributers must support reallocation) </t>
  </si>
  <si>
    <t xml:space="preserve">Note: This sheet is linked from Worksheet 10.CDM Adjustments
</t>
  </si>
  <si>
    <t>2010</t>
  </si>
  <si>
    <t>General Service &gt; 50 kW - 4999 kW</t>
  </si>
  <si>
    <t>Employment Stats</t>
  </si>
  <si>
    <t>General Service &gt; 50 kW - 4999 kW-Non-WN/kW</t>
  </si>
  <si>
    <t>0-Non-WN/kW</t>
  </si>
  <si>
    <t>Winter Flag</t>
  </si>
  <si>
    <t xml:space="preserve">Load Forecast Model version 1.0 © CHEC </t>
  </si>
  <si>
    <t>Input cells</t>
  </si>
  <si>
    <t>Drop down cells</t>
  </si>
  <si>
    <t>Model Notes</t>
  </si>
  <si>
    <t>Unmetered Scattered Load-Non-WN/kW</t>
  </si>
  <si>
    <t>Ottawa River Power Corporation</t>
  </si>
  <si>
    <t>EB-2014-0000</t>
  </si>
  <si>
    <t>Adjustment for loss of comemrcial customer #1</t>
  </si>
  <si>
    <t>Adjustment for loss of commercial customer #2</t>
  </si>
  <si>
    <t>#chg</t>
  </si>
  <si>
    <t>Months/Season</t>
  </si>
  <si>
    <t>Consumption</t>
  </si>
  <si>
    <t>2013-September</t>
  </si>
  <si>
    <t>2005-October</t>
  </si>
  <si>
    <t>2009-November</t>
  </si>
  <si>
    <t>2008-January</t>
  </si>
  <si>
    <t>2012-September</t>
  </si>
  <si>
    <t>2009-June</t>
  </si>
  <si>
    <t>2006-October</t>
  </si>
  <si>
    <t>2007-March</t>
  </si>
  <si>
    <t>2008-May</t>
  </si>
  <si>
    <t>2013-October</t>
  </si>
  <si>
    <t>2009-August</t>
  </si>
  <si>
    <t>2011-February</t>
  </si>
  <si>
    <t>2010-September</t>
  </si>
  <si>
    <t>2006-May</t>
  </si>
  <si>
    <t>2007-April</t>
  </si>
  <si>
    <t>2008-March</t>
  </si>
  <si>
    <t>2012-October</t>
  </si>
  <si>
    <t>2010-August</t>
  </si>
  <si>
    <t>2011-April</t>
  </si>
  <si>
    <t>2006-March</t>
  </si>
  <si>
    <t>2008-April</t>
  </si>
  <si>
    <t>2004-September</t>
  </si>
  <si>
    <t>2011-July</t>
  </si>
  <si>
    <t>2012-February</t>
  </si>
  <si>
    <t>2013-May</t>
  </si>
  <si>
    <t>2005-September</t>
  </si>
  <si>
    <t>2005-July</t>
  </si>
  <si>
    <t>2005-March</t>
  </si>
  <si>
    <t>2010-June</t>
  </si>
  <si>
    <t>2004-July</t>
  </si>
  <si>
    <t>2005-April</t>
  </si>
  <si>
    <t>2012-January</t>
  </si>
  <si>
    <t>2008-June</t>
  </si>
  <si>
    <t>2006-June</t>
  </si>
  <si>
    <t>2010-November</t>
  </si>
  <si>
    <t>2005-February</t>
  </si>
  <si>
    <t>2009-September</t>
  </si>
  <si>
    <t>2008-October</t>
  </si>
  <si>
    <t>2004-April</t>
  </si>
  <si>
    <t>2004-February</t>
  </si>
  <si>
    <t>2013-June</t>
  </si>
  <si>
    <t>2004-May</t>
  </si>
  <si>
    <t>2013-November</t>
  </si>
  <si>
    <t>2006-December</t>
  </si>
  <si>
    <t>2006-September</t>
  </si>
  <si>
    <t>2005-May</t>
  </si>
  <si>
    <t>2005-November</t>
  </si>
  <si>
    <t>2009-December</t>
  </si>
  <si>
    <t>2008-September</t>
  </si>
  <si>
    <t>2007-August</t>
  </si>
  <si>
    <t>2012-November</t>
  </si>
  <si>
    <t>2007-January</t>
  </si>
  <si>
    <t>2004-June</t>
  </si>
  <si>
    <t>2004-August</t>
  </si>
  <si>
    <t>2012-August</t>
  </si>
  <si>
    <t>2007-February</t>
  </si>
  <si>
    <t>2011-October</t>
  </si>
  <si>
    <t>2007-June</t>
  </si>
  <si>
    <t>2006-November</t>
  </si>
  <si>
    <t>2006-January</t>
  </si>
  <si>
    <t>2009-July</t>
  </si>
  <si>
    <t>2010-October</t>
  </si>
  <si>
    <t>2006-July</t>
  </si>
  <si>
    <t>2006-February</t>
  </si>
  <si>
    <t>2007-October</t>
  </si>
  <si>
    <t>2007-September</t>
  </si>
  <si>
    <t>2009-March</t>
  </si>
  <si>
    <t>2011-December</t>
  </si>
  <si>
    <t>2008-July</t>
  </si>
  <si>
    <t>2011-June</t>
  </si>
  <si>
    <t>2005-June</t>
  </si>
  <si>
    <t>2009-February</t>
  </si>
  <si>
    <t>2010-April</t>
  </si>
  <si>
    <t>2011-November</t>
  </si>
  <si>
    <t>2011-March</t>
  </si>
  <si>
    <t>2010-December</t>
  </si>
  <si>
    <t>2012-May</t>
  </si>
  <si>
    <t>2005-August</t>
  </si>
  <si>
    <t>2008-November</t>
  </si>
  <si>
    <t>2005-December</t>
  </si>
  <si>
    <t>2007-May</t>
  </si>
  <si>
    <t>2007-July</t>
  </si>
  <si>
    <t>2010-July</t>
  </si>
  <si>
    <t>2008-December</t>
  </si>
  <si>
    <t>2004-October</t>
  </si>
  <si>
    <t>2013-August</t>
  </si>
  <si>
    <t>2013-March</t>
  </si>
  <si>
    <t>2013-January</t>
  </si>
  <si>
    <t>2013-April</t>
  </si>
  <si>
    <t>2012-July</t>
  </si>
  <si>
    <t>2012-March</t>
  </si>
  <si>
    <t>2011-January</t>
  </si>
  <si>
    <t>2006-August</t>
  </si>
  <si>
    <t>2006-April</t>
  </si>
  <si>
    <t>2010-February</t>
  </si>
  <si>
    <t>2010-January</t>
  </si>
  <si>
    <t>2009-May</t>
  </si>
  <si>
    <t>2012-June</t>
  </si>
  <si>
    <t>2004-March</t>
  </si>
  <si>
    <t>2007-December</t>
  </si>
  <si>
    <t>2011-May</t>
  </si>
  <si>
    <t>2009-October</t>
  </si>
  <si>
    <t>2012-December</t>
  </si>
  <si>
    <t>2009-January</t>
  </si>
  <si>
    <t>2011-September</t>
  </si>
  <si>
    <t>2013-July</t>
  </si>
  <si>
    <t>2004-November</t>
  </si>
  <si>
    <t>2004-December</t>
  </si>
  <si>
    <t>2010-May</t>
  </si>
  <si>
    <t>2009-April</t>
  </si>
  <si>
    <t>2007-November</t>
  </si>
  <si>
    <t>2013-December</t>
  </si>
  <si>
    <t>2011-August</t>
  </si>
  <si>
    <t>2010-March</t>
  </si>
  <si>
    <t>2008-February</t>
  </si>
  <si>
    <t>2004-January</t>
  </si>
  <si>
    <t>2012-April</t>
  </si>
  <si>
    <t>2008-August</t>
  </si>
  <si>
    <t>2013-February</t>
  </si>
  <si>
    <t>2005-January</t>
  </si>
  <si>
    <t>Winter months</t>
  </si>
  <si>
    <t>Summer Months</t>
  </si>
  <si>
    <t>Spring Months</t>
  </si>
  <si>
    <t>Fall Months</t>
  </si>
  <si>
    <t>Holiday Months</t>
  </si>
  <si>
    <t>Jane Donnelly</t>
  </si>
  <si>
    <t>2016</t>
  </si>
  <si>
    <t>X Variable 1</t>
  </si>
  <si>
    <t>X Variable 2</t>
  </si>
  <si>
    <t>X Variable 3</t>
  </si>
  <si>
    <t>X Variable 4</t>
  </si>
  <si>
    <t>X Variable 5</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</si>
</sst>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4" formatCode="_-&quot;$&quot;* #,##0.00_-;\-&quot;$&quot;* #,##0.00_-;_-&quot;$&quot;* &quot;-&quot;??_-;_-@_-"/>
    <numFmt numFmtId="43" formatCode="_-* #,##0.00_-;\-* #,##0.00_-;_-* &quot;-&quot;??_-;_-@_-"/>
    <numFmt numFmtId="164" formatCode="&quot;$&quot;#,##0_);\(&quot;$&quot;#,##0\)"/>
    <numFmt numFmtId="165" formatCode="_(&quot;$&quot;* #,##0.00_);_(&quot;$&quot;* \(#,##0.00\);_(&quot;$&quot;* &quot;-&quot;??_);_(@_)"/>
    <numFmt numFmtId="166" formatCode="_(* #,##0.00_);_(* \(#,##0.00\);_(* &quot;-&quot;??_);_(@_)"/>
    <numFmt numFmtId="167" formatCode="0.0000"/>
    <numFmt numFmtId="168" formatCode="0.0%"/>
    <numFmt numFmtId="169" formatCode="#,##0.00000"/>
    <numFmt numFmtId="170" formatCode="_-* #,##0_-;\-* #,##0_-;_-* &quot;-&quot;??_-;_-@_-"/>
    <numFmt numFmtId="171" formatCode="#,##0_ ;\-#,##0\ "/>
    <numFmt numFmtId="172" formatCode="_-&quot;$&quot;* #,##0_-;\-&quot;$&quot;* #,##0_-;_-&quot;$&quot;* &quot;-&quot;??_-;_-@_-"/>
    <numFmt numFmtId="173" formatCode="_-* #,##0.00000_-;\-* #,##0.00000_-;_-* &quot;-&quot;??_-;_-@_-"/>
    <numFmt numFmtId="174" formatCode="#,##0.000000"/>
    <numFmt numFmtId="175" formatCode="#,##0.0000000"/>
    <numFmt numFmtId="176" formatCode="_-* #,##0.000_-;\-* #,##0.000_-;_-* &quot;-&quot;??_-;_-@_-"/>
    <numFmt numFmtId="177" formatCode="#,##0.0000"/>
    <numFmt numFmtId="178" formatCode="_(* #,##0.0_);_(* \(#,##0.0\);_(* &quot;-&quot;??_);_(@_)"/>
    <numFmt numFmtId="179" formatCode="#,##0.0"/>
    <numFmt numFmtId="180" formatCode="mm/dd/yyyy"/>
    <numFmt numFmtId="181" formatCode="0\-0"/>
    <numFmt numFmtId="182" formatCode="##\-#"/>
    <numFmt numFmtId="183" formatCode="_(* #,##0_);_(* \(#,##0\);_(* &quot;-&quot;??_);_(@_)"/>
    <numFmt numFmtId="184" formatCode="&quot;£ &quot;#,##0.00;[Red]\-&quot;£ &quot;#,##0.00"/>
    <numFmt numFmtId="185" formatCode="_-* #,##0.0000000_-;\-* #,##0.0000000_-;_-* &quot;-&quot;??_-;_-@_-"/>
  </numFmts>
  <fonts count="118"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sz val="10"/>
      <name val="Times New Roman"/>
      <family val="1"/>
    </font>
    <font>
      <i/>
      <sz val="10"/>
      <name val="Arial"/>
      <family val="2"/>
    </font>
    <font>
      <b/>
      <sz val="10"/>
      <name val="Arial"/>
      <family val="2"/>
    </font>
    <font>
      <sz val="6"/>
      <name val="Arial"/>
      <family val="2"/>
    </font>
    <font>
      <i/>
      <sz val="9"/>
      <name val="Arial"/>
      <family val="2"/>
    </font>
    <font>
      <sz val="11"/>
      <name val="Arial"/>
      <family val="2"/>
    </font>
    <font>
      <b/>
      <sz val="11"/>
      <name val="Arial"/>
      <family val="2"/>
    </font>
    <font>
      <b/>
      <u/>
      <sz val="11"/>
      <name val="Arial"/>
      <family val="2"/>
    </font>
    <font>
      <sz val="11"/>
      <color indexed="8"/>
      <name val="Calibri"/>
      <family val="2"/>
    </font>
    <font>
      <b/>
      <sz val="14"/>
      <name val="Arial"/>
      <family val="2"/>
    </font>
    <font>
      <b/>
      <sz val="1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sz val="10"/>
      <color rgb="FFFF0000"/>
      <name val="Arial"/>
      <family val="2"/>
    </font>
    <font>
      <i/>
      <sz val="12"/>
      <color rgb="FF000000"/>
      <name val="Arial"/>
      <family val="2"/>
    </font>
    <font>
      <sz val="10"/>
      <color rgb="FF000000"/>
      <name val="Arial"/>
      <family val="2"/>
    </font>
    <font>
      <b/>
      <i/>
      <u/>
      <sz val="12"/>
      <color rgb="FF000000"/>
      <name val="Arial"/>
      <family val="2"/>
    </font>
    <font>
      <i/>
      <sz val="9"/>
      <color rgb="FF000000"/>
      <name val="Arial"/>
      <family val="2"/>
    </font>
    <font>
      <b/>
      <sz val="10"/>
      <color rgb="FFFF0000"/>
      <name val="Arial"/>
      <family val="2"/>
    </font>
    <font>
      <sz val="11"/>
      <color theme="1"/>
      <name val="Arial"/>
      <family val="2"/>
    </font>
    <font>
      <b/>
      <sz val="11"/>
      <color theme="1"/>
      <name val="Arial"/>
      <family val="2"/>
    </font>
    <font>
      <i/>
      <sz val="10"/>
      <color theme="1"/>
      <name val="Arial"/>
      <family val="2"/>
    </font>
    <font>
      <b/>
      <i/>
      <u/>
      <sz val="10"/>
      <color rgb="FF000000"/>
      <name val="Arial"/>
      <family val="2"/>
    </font>
    <font>
      <b/>
      <sz val="18"/>
      <color rgb="FF000000"/>
      <name val="Arial"/>
      <family val="2"/>
    </font>
    <font>
      <b/>
      <sz val="10"/>
      <color rgb="FF000000"/>
      <name val="Arial"/>
      <family val="2"/>
    </font>
    <font>
      <sz val="9"/>
      <color rgb="FF000000"/>
      <name val="Arial"/>
      <family val="2"/>
    </font>
    <font>
      <sz val="10"/>
      <color theme="0" tint="-0.34998626667073579"/>
      <name val="Arial"/>
      <family val="2"/>
    </font>
    <font>
      <b/>
      <sz val="10"/>
      <color theme="0" tint="-0.34998626667073579"/>
      <name val="Arial"/>
      <family val="2"/>
    </font>
    <font>
      <sz val="10"/>
      <name val="Arial"/>
      <family val="2"/>
    </font>
    <font>
      <i/>
      <sz val="10"/>
      <name val="Times New Roman"/>
      <family val="1"/>
    </font>
    <font>
      <sz val="10"/>
      <name val="Times New Roman"/>
      <family val="1"/>
    </font>
    <font>
      <sz val="9"/>
      <name val="Arial"/>
      <family val="2"/>
    </font>
    <font>
      <sz val="10"/>
      <name val="Helvetica"/>
      <family val="2"/>
    </font>
    <font>
      <b/>
      <sz val="10"/>
      <name val="Helvetica"/>
      <family val="2"/>
    </font>
    <font>
      <b/>
      <u/>
      <sz val="10"/>
      <name val="Helvetica"/>
      <family val="2"/>
    </font>
    <font>
      <b/>
      <sz val="10"/>
      <color theme="0" tint="-0.499984740745262"/>
      <name val="Arial"/>
      <family val="2"/>
    </font>
    <font>
      <sz val="10"/>
      <color theme="0"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Helvetica"/>
      <family val="2"/>
    </font>
    <font>
      <u/>
      <sz val="10"/>
      <color theme="10"/>
      <name val="Times New Roman"/>
      <family val="1"/>
    </font>
    <font>
      <b/>
      <sz val="12"/>
      <name val="Helvetica"/>
      <family val="2"/>
    </font>
    <font>
      <i/>
      <sz val="10"/>
      <name val="Helvetica"/>
      <family val="2"/>
    </font>
    <font>
      <sz val="10"/>
      <color theme="0" tint="-0.499984740745262"/>
      <name val="Helvetica"/>
      <family val="2"/>
    </font>
    <font>
      <u/>
      <sz val="10"/>
      <color indexed="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Times New Roman"/>
      <family val="1"/>
    </font>
    <font>
      <sz val="10"/>
      <color theme="0"/>
      <name val="Times New Roman"/>
      <family val="1"/>
    </font>
    <font>
      <sz val="11"/>
      <color theme="0" tint="-0.499984740745262"/>
      <name val="Arial"/>
      <family val="2"/>
    </font>
    <font>
      <u/>
      <sz val="10"/>
      <color theme="10"/>
      <name val="Arial"/>
      <family val="2"/>
    </font>
    <font>
      <b/>
      <sz val="11"/>
      <color rgb="FF0033CC"/>
      <name val="Arial"/>
      <family val="2"/>
    </font>
    <font>
      <sz val="12"/>
      <name val="Arial"/>
      <family val="2"/>
    </font>
    <font>
      <b/>
      <sz val="10"/>
      <name val="Times New Roman"/>
      <family val="1"/>
    </font>
    <font>
      <b/>
      <i/>
      <sz val="14"/>
      <color theme="1"/>
      <name val="Arial"/>
      <family val="2"/>
    </font>
    <font>
      <b/>
      <sz val="18"/>
      <color theme="1"/>
      <name val="Arial"/>
      <family val="2"/>
    </font>
    <font>
      <b/>
      <i/>
      <sz val="11"/>
      <color theme="1"/>
      <name val="Arial"/>
      <family val="2"/>
    </font>
    <font>
      <i/>
      <sz val="11"/>
      <color theme="1"/>
      <name val="Arial"/>
      <family val="2"/>
    </font>
    <font>
      <b/>
      <sz val="11"/>
      <color theme="0"/>
      <name val="Arial"/>
      <family val="2"/>
    </font>
    <font>
      <b/>
      <sz val="8"/>
      <name val="Arial"/>
      <family val="2"/>
    </font>
    <font>
      <b/>
      <i/>
      <sz val="8"/>
      <color theme="0" tint="-0.14999847407452621"/>
      <name val="Arial"/>
      <family val="2"/>
      <charset val="1"/>
    </font>
  </fonts>
  <fills count="7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58"/>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6"/>
        <bgColor indexed="64"/>
      </patternFill>
    </fill>
    <fill>
      <patternFill patternType="solid">
        <fgColor theme="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59999389629810485"/>
        <bgColor indexed="58"/>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rgb="FF92D050"/>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style="thin">
        <color theme="0"/>
      </top>
      <bottom/>
      <diagonal/>
    </border>
    <border>
      <left/>
      <right/>
      <top style="thin">
        <color theme="0"/>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theme="0"/>
      </top>
      <bottom/>
      <diagonal/>
    </border>
    <border>
      <left/>
      <right style="thin">
        <color indexed="64"/>
      </right>
      <top/>
      <bottom style="double">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s>
  <cellStyleXfs count="1446">
    <xf numFmtId="0" fontId="0" fillId="0" borderId="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8" fillId="27" borderId="57" applyNumberFormat="0" applyAlignment="0" applyProtection="0"/>
    <xf numFmtId="0" fontId="28" fillId="27" borderId="57" applyNumberFormat="0" applyAlignment="0" applyProtection="0"/>
    <xf numFmtId="0" fontId="28" fillId="27" borderId="57" applyNumberFormat="0" applyAlignment="0" applyProtection="0"/>
    <xf numFmtId="0" fontId="28" fillId="27" borderId="57" applyNumberFormat="0" applyAlignment="0" applyProtection="0"/>
    <xf numFmtId="0" fontId="28" fillId="27" borderId="57" applyNumberFormat="0" applyAlignment="0" applyProtection="0"/>
    <xf numFmtId="0" fontId="28" fillId="27" borderId="57" applyNumberFormat="0" applyAlignment="0" applyProtection="0"/>
    <xf numFmtId="0" fontId="28" fillId="27" borderId="57" applyNumberFormat="0" applyAlignment="0" applyProtection="0"/>
    <xf numFmtId="0" fontId="28" fillId="27" borderId="57" applyNumberFormat="0" applyAlignment="0" applyProtection="0"/>
    <xf numFmtId="0" fontId="28" fillId="27" borderId="57" applyNumberFormat="0" applyAlignment="0" applyProtection="0"/>
    <xf numFmtId="0" fontId="28" fillId="27" borderId="57" applyNumberFormat="0" applyAlignment="0" applyProtection="0"/>
    <xf numFmtId="0" fontId="28" fillId="27" borderId="57" applyNumberFormat="0" applyAlignment="0" applyProtection="0"/>
    <xf numFmtId="0" fontId="28" fillId="27" borderId="57" applyNumberFormat="0" applyAlignment="0" applyProtection="0"/>
    <xf numFmtId="0" fontId="28" fillId="27" borderId="57" applyNumberFormat="0" applyAlignment="0" applyProtection="0"/>
    <xf numFmtId="0" fontId="28" fillId="27" borderId="57" applyNumberFormat="0" applyAlignment="0" applyProtection="0"/>
    <xf numFmtId="0" fontId="29" fillId="28" borderId="58" applyNumberFormat="0" applyAlignment="0" applyProtection="0"/>
    <xf numFmtId="0" fontId="29" fillId="28" borderId="58" applyNumberFormat="0" applyAlignment="0" applyProtection="0"/>
    <xf numFmtId="0" fontId="29" fillId="28" borderId="58" applyNumberFormat="0" applyAlignment="0" applyProtection="0"/>
    <xf numFmtId="0" fontId="29" fillId="28" borderId="58" applyNumberFormat="0" applyAlignment="0" applyProtection="0"/>
    <xf numFmtId="0" fontId="29" fillId="28" borderId="58" applyNumberFormat="0" applyAlignment="0" applyProtection="0"/>
    <xf numFmtId="0" fontId="29" fillId="28" borderId="58" applyNumberFormat="0" applyAlignment="0" applyProtection="0"/>
    <xf numFmtId="0" fontId="29" fillId="28" borderId="58" applyNumberFormat="0" applyAlignment="0" applyProtection="0"/>
    <xf numFmtId="0" fontId="29" fillId="28" borderId="58" applyNumberFormat="0" applyAlignment="0" applyProtection="0"/>
    <xf numFmtId="0" fontId="29" fillId="28" borderId="58" applyNumberFormat="0" applyAlignment="0" applyProtection="0"/>
    <xf numFmtId="0" fontId="29" fillId="28" borderId="58" applyNumberFormat="0" applyAlignment="0" applyProtection="0"/>
    <xf numFmtId="0" fontId="29" fillId="28" borderId="58" applyNumberFormat="0" applyAlignment="0" applyProtection="0"/>
    <xf numFmtId="0" fontId="29" fillId="28" borderId="58" applyNumberFormat="0" applyAlignment="0" applyProtection="0"/>
    <xf numFmtId="0" fontId="29" fillId="28" borderId="58" applyNumberFormat="0" applyAlignment="0" applyProtection="0"/>
    <xf numFmtId="0" fontId="29" fillId="28" borderId="58" applyNumberFormat="0" applyAlignment="0" applyProtection="0"/>
    <xf numFmtId="43" fontId="13" fillId="0" borderId="0" applyFont="0" applyFill="0" applyBorder="0" applyAlignment="0" applyProtection="0"/>
    <xf numFmtId="166" fontId="22" fillId="0" borderId="0" applyFont="0" applyFill="0" applyBorder="0" applyAlignment="0" applyProtection="0"/>
    <xf numFmtId="44" fontId="10" fillId="0" borderId="0" applyFont="0" applyFill="0" applyBorder="0" applyAlignment="0" applyProtection="0"/>
    <xf numFmtId="165" fontId="10" fillId="0" borderId="0" applyFont="0" applyFill="0" applyBorder="0" applyAlignment="0" applyProtection="0"/>
    <xf numFmtId="44" fontId="9"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2" fillId="0" borderId="59" applyNumberFormat="0" applyFill="0" applyAlignment="0" applyProtection="0"/>
    <xf numFmtId="0" fontId="32" fillId="0" borderId="59" applyNumberFormat="0" applyFill="0" applyAlignment="0" applyProtection="0"/>
    <xf numFmtId="0" fontId="32" fillId="0" borderId="59" applyNumberFormat="0" applyFill="0" applyAlignment="0" applyProtection="0"/>
    <xf numFmtId="0" fontId="32" fillId="0" borderId="59" applyNumberFormat="0" applyFill="0" applyAlignment="0" applyProtection="0"/>
    <xf numFmtId="0" fontId="32" fillId="0" borderId="59" applyNumberFormat="0" applyFill="0" applyAlignment="0" applyProtection="0"/>
    <xf numFmtId="0" fontId="32" fillId="0" borderId="59" applyNumberFormat="0" applyFill="0" applyAlignment="0" applyProtection="0"/>
    <xf numFmtId="0" fontId="32" fillId="0" borderId="59" applyNumberFormat="0" applyFill="0" applyAlignment="0" applyProtection="0"/>
    <xf numFmtId="0" fontId="32" fillId="0" borderId="59" applyNumberFormat="0" applyFill="0" applyAlignment="0" applyProtection="0"/>
    <xf numFmtId="0" fontId="32" fillId="0" borderId="59" applyNumberFormat="0" applyFill="0" applyAlignment="0" applyProtection="0"/>
    <xf numFmtId="0" fontId="32" fillId="0" borderId="59" applyNumberFormat="0" applyFill="0" applyAlignment="0" applyProtection="0"/>
    <xf numFmtId="0" fontId="32" fillId="0" borderId="59" applyNumberFormat="0" applyFill="0" applyAlignment="0" applyProtection="0"/>
    <xf numFmtId="0" fontId="32" fillId="0" borderId="59" applyNumberFormat="0" applyFill="0" applyAlignment="0" applyProtection="0"/>
    <xf numFmtId="0" fontId="32" fillId="0" borderId="59" applyNumberFormat="0" applyFill="0" applyAlignment="0" applyProtection="0"/>
    <xf numFmtId="0" fontId="32" fillId="0" borderId="59" applyNumberFormat="0" applyFill="0" applyAlignment="0" applyProtection="0"/>
    <xf numFmtId="0" fontId="33" fillId="0" borderId="60" applyNumberFormat="0" applyFill="0" applyAlignment="0" applyProtection="0"/>
    <xf numFmtId="0" fontId="33" fillId="0" borderId="60" applyNumberFormat="0" applyFill="0" applyAlignment="0" applyProtection="0"/>
    <xf numFmtId="0" fontId="33" fillId="0" borderId="60" applyNumberFormat="0" applyFill="0" applyAlignment="0" applyProtection="0"/>
    <xf numFmtId="0" fontId="33" fillId="0" borderId="60" applyNumberFormat="0" applyFill="0" applyAlignment="0" applyProtection="0"/>
    <xf numFmtId="0" fontId="33" fillId="0" borderId="60" applyNumberFormat="0" applyFill="0" applyAlignment="0" applyProtection="0"/>
    <xf numFmtId="0" fontId="33" fillId="0" borderId="60" applyNumberFormat="0" applyFill="0" applyAlignment="0" applyProtection="0"/>
    <xf numFmtId="0" fontId="33" fillId="0" borderId="60" applyNumberFormat="0" applyFill="0" applyAlignment="0" applyProtection="0"/>
    <xf numFmtId="0" fontId="33" fillId="0" borderId="60" applyNumberFormat="0" applyFill="0" applyAlignment="0" applyProtection="0"/>
    <xf numFmtId="0" fontId="33" fillId="0" borderId="60" applyNumberFormat="0" applyFill="0" applyAlignment="0" applyProtection="0"/>
    <xf numFmtId="0" fontId="33" fillId="0" borderId="60" applyNumberFormat="0" applyFill="0" applyAlignment="0" applyProtection="0"/>
    <xf numFmtId="0" fontId="33" fillId="0" borderId="60" applyNumberFormat="0" applyFill="0" applyAlignment="0" applyProtection="0"/>
    <xf numFmtId="0" fontId="33" fillId="0" borderId="60" applyNumberFormat="0" applyFill="0" applyAlignment="0" applyProtection="0"/>
    <xf numFmtId="0" fontId="33" fillId="0" borderId="60" applyNumberFormat="0" applyFill="0" applyAlignment="0" applyProtection="0"/>
    <xf numFmtId="0" fontId="33" fillId="0" borderId="60" applyNumberFormat="0" applyFill="0" applyAlignment="0" applyProtection="0"/>
    <xf numFmtId="0" fontId="34" fillId="0" borderId="61" applyNumberFormat="0" applyFill="0" applyAlignment="0" applyProtection="0"/>
    <xf numFmtId="0" fontId="34" fillId="0" borderId="61" applyNumberFormat="0" applyFill="0" applyAlignment="0" applyProtection="0"/>
    <xf numFmtId="0" fontId="34" fillId="0" borderId="61" applyNumberFormat="0" applyFill="0" applyAlignment="0" applyProtection="0"/>
    <xf numFmtId="0" fontId="34" fillId="0" borderId="61" applyNumberFormat="0" applyFill="0" applyAlignment="0" applyProtection="0"/>
    <xf numFmtId="0" fontId="34" fillId="0" borderId="61" applyNumberFormat="0" applyFill="0" applyAlignment="0" applyProtection="0"/>
    <xf numFmtId="0" fontId="34" fillId="0" borderId="61" applyNumberFormat="0" applyFill="0" applyAlignment="0" applyProtection="0"/>
    <xf numFmtId="0" fontId="34" fillId="0" borderId="61" applyNumberFormat="0" applyFill="0" applyAlignment="0" applyProtection="0"/>
    <xf numFmtId="0" fontId="34" fillId="0" borderId="61" applyNumberFormat="0" applyFill="0" applyAlignment="0" applyProtection="0"/>
    <xf numFmtId="0" fontId="34" fillId="0" borderId="61" applyNumberFormat="0" applyFill="0" applyAlignment="0" applyProtection="0"/>
    <xf numFmtId="0" fontId="34" fillId="0" borderId="61" applyNumberFormat="0" applyFill="0" applyAlignment="0" applyProtection="0"/>
    <xf numFmtId="0" fontId="34" fillId="0" borderId="61" applyNumberFormat="0" applyFill="0" applyAlignment="0" applyProtection="0"/>
    <xf numFmtId="0" fontId="34" fillId="0" borderId="61" applyNumberFormat="0" applyFill="0" applyAlignment="0" applyProtection="0"/>
    <xf numFmtId="0" fontId="34" fillId="0" borderId="61" applyNumberFormat="0" applyFill="0" applyAlignment="0" applyProtection="0"/>
    <xf numFmtId="0" fontId="34" fillId="0" borderId="61"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30" borderId="57" applyNumberFormat="0" applyAlignment="0" applyProtection="0"/>
    <xf numFmtId="0" fontId="35" fillId="30" borderId="57" applyNumberFormat="0" applyAlignment="0" applyProtection="0"/>
    <xf numFmtId="0" fontId="35" fillId="30" borderId="57" applyNumberFormat="0" applyAlignment="0" applyProtection="0"/>
    <xf numFmtId="0" fontId="35" fillId="30" borderId="57" applyNumberFormat="0" applyAlignment="0" applyProtection="0"/>
    <xf numFmtId="0" fontId="35" fillId="30" borderId="57" applyNumberFormat="0" applyAlignment="0" applyProtection="0"/>
    <xf numFmtId="0" fontId="35" fillId="30" borderId="57" applyNumberFormat="0" applyAlignment="0" applyProtection="0"/>
    <xf numFmtId="0" fontId="35" fillId="30" borderId="57" applyNumberFormat="0" applyAlignment="0" applyProtection="0"/>
    <xf numFmtId="0" fontId="35" fillId="30" borderId="57" applyNumberFormat="0" applyAlignment="0" applyProtection="0"/>
    <xf numFmtId="0" fontId="35" fillId="30" borderId="57" applyNumberFormat="0" applyAlignment="0" applyProtection="0"/>
    <xf numFmtId="0" fontId="35" fillId="30" borderId="57" applyNumberFormat="0" applyAlignment="0" applyProtection="0"/>
    <xf numFmtId="0" fontId="35" fillId="30" borderId="57" applyNumberFormat="0" applyAlignment="0" applyProtection="0"/>
    <xf numFmtId="0" fontId="35" fillId="30" borderId="57" applyNumberFormat="0" applyAlignment="0" applyProtection="0"/>
    <xf numFmtId="0" fontId="35" fillId="30" borderId="57" applyNumberFormat="0" applyAlignment="0" applyProtection="0"/>
    <xf numFmtId="0" fontId="35" fillId="30" borderId="57" applyNumberFormat="0" applyAlignment="0" applyProtection="0"/>
    <xf numFmtId="0" fontId="36" fillId="0" borderId="62" applyNumberFormat="0" applyFill="0" applyAlignment="0" applyProtection="0"/>
    <xf numFmtId="0" fontId="36" fillId="0" borderId="62" applyNumberFormat="0" applyFill="0" applyAlignment="0" applyProtection="0"/>
    <xf numFmtId="0" fontId="36" fillId="0" borderId="62" applyNumberFormat="0" applyFill="0" applyAlignment="0" applyProtection="0"/>
    <xf numFmtId="0" fontId="36" fillId="0" borderId="62" applyNumberFormat="0" applyFill="0" applyAlignment="0" applyProtection="0"/>
    <xf numFmtId="0" fontId="36" fillId="0" borderId="62" applyNumberFormat="0" applyFill="0" applyAlignment="0" applyProtection="0"/>
    <xf numFmtId="0" fontId="36" fillId="0" borderId="62" applyNumberFormat="0" applyFill="0" applyAlignment="0" applyProtection="0"/>
    <xf numFmtId="0" fontId="36" fillId="0" borderId="62" applyNumberFormat="0" applyFill="0" applyAlignment="0" applyProtection="0"/>
    <xf numFmtId="0" fontId="36" fillId="0" borderId="62" applyNumberFormat="0" applyFill="0" applyAlignment="0" applyProtection="0"/>
    <xf numFmtId="0" fontId="36" fillId="0" borderId="62" applyNumberFormat="0" applyFill="0" applyAlignment="0" applyProtection="0"/>
    <xf numFmtId="0" fontId="36" fillId="0" borderId="62" applyNumberFormat="0" applyFill="0" applyAlignment="0" applyProtection="0"/>
    <xf numFmtId="0" fontId="36" fillId="0" borderId="62" applyNumberFormat="0" applyFill="0" applyAlignment="0" applyProtection="0"/>
    <xf numFmtId="0" fontId="36" fillId="0" borderId="62" applyNumberFormat="0" applyFill="0" applyAlignment="0" applyProtection="0"/>
    <xf numFmtId="0" fontId="36" fillId="0" borderId="62" applyNumberFormat="0" applyFill="0" applyAlignment="0" applyProtection="0"/>
    <xf numFmtId="0" fontId="36" fillId="0" borderId="62" applyNumberFormat="0" applyFill="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38" fillId="0" borderId="0"/>
    <xf numFmtId="0" fontId="38" fillId="0" borderId="0"/>
    <xf numFmtId="0" fontId="9" fillId="0" borderId="0"/>
    <xf numFmtId="0" fontId="12" fillId="0" borderId="0"/>
    <xf numFmtId="0" fontId="25" fillId="0" borderId="0"/>
    <xf numFmtId="0" fontId="1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1" fillId="32" borderId="63" applyNumberFormat="0" applyFont="0" applyAlignment="0" applyProtection="0"/>
    <xf numFmtId="0" fontId="11" fillId="32" borderId="63" applyNumberFormat="0" applyFont="0" applyAlignment="0" applyProtection="0"/>
    <xf numFmtId="0" fontId="11" fillId="32" borderId="63" applyNumberFormat="0" applyFont="0" applyAlignment="0" applyProtection="0"/>
    <xf numFmtId="0" fontId="11" fillId="32" borderId="63" applyNumberFormat="0" applyFont="0" applyAlignment="0" applyProtection="0"/>
    <xf numFmtId="0" fontId="11" fillId="32" borderId="63" applyNumberFormat="0" applyFont="0" applyAlignment="0" applyProtection="0"/>
    <xf numFmtId="0" fontId="11" fillId="32" borderId="63" applyNumberFormat="0" applyFont="0" applyAlignment="0" applyProtection="0"/>
    <xf numFmtId="0" fontId="11" fillId="32" borderId="63" applyNumberFormat="0" applyFont="0" applyAlignment="0" applyProtection="0"/>
    <xf numFmtId="0" fontId="11" fillId="32" borderId="63" applyNumberFormat="0" applyFont="0" applyAlignment="0" applyProtection="0"/>
    <xf numFmtId="0" fontId="11" fillId="32" borderId="63" applyNumberFormat="0" applyFont="0" applyAlignment="0" applyProtection="0"/>
    <xf numFmtId="0" fontId="11" fillId="32" borderId="63" applyNumberFormat="0" applyFont="0" applyAlignment="0" applyProtection="0"/>
    <xf numFmtId="0" fontId="11" fillId="32" borderId="63" applyNumberFormat="0" applyFont="0" applyAlignment="0" applyProtection="0"/>
    <xf numFmtId="0" fontId="11" fillId="32" borderId="63" applyNumberFormat="0" applyFont="0" applyAlignment="0" applyProtection="0"/>
    <xf numFmtId="0" fontId="11" fillId="32" borderId="63" applyNumberFormat="0" applyFont="0" applyAlignment="0" applyProtection="0"/>
    <xf numFmtId="0" fontId="11" fillId="32" borderId="63" applyNumberFormat="0" applyFont="0" applyAlignment="0" applyProtection="0"/>
    <xf numFmtId="0" fontId="39" fillId="27" borderId="64" applyNumberFormat="0" applyAlignment="0" applyProtection="0"/>
    <xf numFmtId="0" fontId="39" fillId="27" borderId="64" applyNumberFormat="0" applyAlignment="0" applyProtection="0"/>
    <xf numFmtId="0" fontId="39" fillId="27" borderId="64" applyNumberFormat="0" applyAlignment="0" applyProtection="0"/>
    <xf numFmtId="0" fontId="39" fillId="27" borderId="64" applyNumberFormat="0" applyAlignment="0" applyProtection="0"/>
    <xf numFmtId="0" fontId="39" fillId="27" borderId="64" applyNumberFormat="0" applyAlignment="0" applyProtection="0"/>
    <xf numFmtId="0" fontId="39" fillId="27" borderId="64" applyNumberFormat="0" applyAlignment="0" applyProtection="0"/>
    <xf numFmtId="0" fontId="39" fillId="27" borderId="64" applyNumberFormat="0" applyAlignment="0" applyProtection="0"/>
    <xf numFmtId="0" fontId="39" fillId="27" borderId="64" applyNumberFormat="0" applyAlignment="0" applyProtection="0"/>
    <xf numFmtId="0" fontId="39" fillId="27" borderId="64" applyNumberFormat="0" applyAlignment="0" applyProtection="0"/>
    <xf numFmtId="0" fontId="39" fillId="27" borderId="64" applyNumberFormat="0" applyAlignment="0" applyProtection="0"/>
    <xf numFmtId="0" fontId="39" fillId="27" borderId="64" applyNumberFormat="0" applyAlignment="0" applyProtection="0"/>
    <xf numFmtId="0" fontId="39" fillId="27" borderId="64" applyNumberFormat="0" applyAlignment="0" applyProtection="0"/>
    <xf numFmtId="0" fontId="39" fillId="27" borderId="64" applyNumberFormat="0" applyAlignment="0" applyProtection="0"/>
    <xf numFmtId="0" fontId="39" fillId="27" borderId="64" applyNumberFormat="0" applyAlignment="0" applyProtection="0"/>
    <xf numFmtId="9" fontId="14" fillId="0" borderId="0" applyFont="0" applyFill="0" applyBorder="0" applyAlignment="0" applyProtection="0"/>
    <xf numFmtId="9" fontId="13" fillId="0" borderId="0" applyFont="0" applyFill="0" applyBorder="0" applyAlignment="0" applyProtection="0"/>
    <xf numFmtId="9" fontId="22" fillId="0" borderId="0" applyFont="0" applyFill="0" applyBorder="0" applyAlignment="0" applyProtection="0"/>
    <xf numFmtId="0" fontId="40" fillId="0" borderId="0" applyNumberFormat="0" applyFill="0" applyBorder="0" applyAlignment="0" applyProtection="0"/>
    <xf numFmtId="0" fontId="41" fillId="0" borderId="65" applyNumberFormat="0" applyFill="0" applyAlignment="0" applyProtection="0"/>
    <xf numFmtId="0" fontId="41" fillId="0" borderId="65" applyNumberFormat="0" applyFill="0" applyAlignment="0" applyProtection="0"/>
    <xf numFmtId="0" fontId="41" fillId="0" borderId="65" applyNumberFormat="0" applyFill="0" applyAlignment="0" applyProtection="0"/>
    <xf numFmtId="0" fontId="41" fillId="0" borderId="65" applyNumberFormat="0" applyFill="0" applyAlignment="0" applyProtection="0"/>
    <xf numFmtId="0" fontId="41" fillId="0" borderId="65" applyNumberFormat="0" applyFill="0" applyAlignment="0" applyProtection="0"/>
    <xf numFmtId="0" fontId="41" fillId="0" borderId="65" applyNumberFormat="0" applyFill="0" applyAlignment="0" applyProtection="0"/>
    <xf numFmtId="0" fontId="41" fillId="0" borderId="65" applyNumberFormat="0" applyFill="0" applyAlignment="0" applyProtection="0"/>
    <xf numFmtId="0" fontId="41" fillId="0" borderId="65" applyNumberFormat="0" applyFill="0" applyAlignment="0" applyProtection="0"/>
    <xf numFmtId="0" fontId="41" fillId="0" borderId="65" applyNumberFormat="0" applyFill="0" applyAlignment="0" applyProtection="0"/>
    <xf numFmtId="0" fontId="41" fillId="0" borderId="65" applyNumberFormat="0" applyFill="0" applyAlignment="0" applyProtection="0"/>
    <xf numFmtId="0" fontId="41" fillId="0" borderId="65" applyNumberFormat="0" applyFill="0" applyAlignment="0" applyProtection="0"/>
    <xf numFmtId="0" fontId="41" fillId="0" borderId="65" applyNumberFormat="0" applyFill="0" applyAlignment="0" applyProtection="0"/>
    <xf numFmtId="0" fontId="41" fillId="0" borderId="65" applyNumberFormat="0" applyFill="0" applyAlignment="0" applyProtection="0"/>
    <xf numFmtId="0" fontId="41" fillId="0" borderId="65"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44" fontId="9" fillId="0" borderId="0" applyFont="0" applyFill="0" applyBorder="0" applyAlignment="0" applyProtection="0"/>
    <xf numFmtId="165" fontId="9" fillId="0" borderId="0" applyFont="0" applyFill="0" applyBorder="0" applyAlignment="0" applyProtection="0"/>
    <xf numFmtId="0" fontId="8" fillId="0" borderId="0"/>
    <xf numFmtId="0" fontId="8" fillId="0" borderId="0"/>
    <xf numFmtId="0" fontId="9" fillId="0" borderId="0"/>
    <xf numFmtId="166" fontId="9" fillId="0" borderId="0" applyFont="0" applyFill="0" applyBorder="0" applyAlignment="0" applyProtection="0"/>
    <xf numFmtId="166" fontId="9" fillId="0" borderId="0" applyFont="0" applyFill="0" applyBorder="0" applyAlignment="0" applyProtection="0"/>
    <xf numFmtId="166" fontId="57" fillId="0" borderId="0" applyFont="0" applyFill="0" applyBorder="0" applyAlignment="0" applyProtection="0"/>
    <xf numFmtId="166" fontId="9" fillId="0" borderId="0" applyFont="0" applyFill="0" applyBorder="0" applyAlignment="0" applyProtection="0"/>
    <xf numFmtId="43" fontId="8" fillId="0" borderId="0" applyFont="0" applyFill="0" applyBorder="0" applyAlignment="0" applyProtection="0"/>
    <xf numFmtId="44" fontId="9" fillId="0" borderId="0" applyFont="0" applyFill="0" applyBorder="0" applyAlignment="0" applyProtection="0"/>
    <xf numFmtId="165" fontId="9" fillId="0" borderId="0" applyFont="0" applyFill="0" applyBorder="0" applyAlignment="0" applyProtection="0"/>
    <xf numFmtId="0" fontId="9" fillId="0" borderId="0"/>
    <xf numFmtId="0" fontId="8" fillId="0" borderId="0"/>
    <xf numFmtId="0" fontId="8" fillId="0" borderId="0"/>
    <xf numFmtId="0" fontId="9" fillId="0" borderId="0"/>
    <xf numFmtId="0" fontId="8" fillId="0" borderId="0"/>
    <xf numFmtId="0" fontId="9" fillId="0" borderId="0"/>
    <xf numFmtId="0" fontId="9" fillId="0" borderId="0"/>
    <xf numFmtId="0" fontId="57" fillId="0" borderId="0"/>
    <xf numFmtId="0" fontId="9" fillId="0" borderId="0"/>
    <xf numFmtId="9" fontId="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57" fillId="37" borderId="1" applyNumberFormat="0" applyProtection="0">
      <alignment horizontal="left" vertical="center"/>
    </xf>
    <xf numFmtId="0" fontId="9" fillId="37" borderId="1" applyNumberFormat="0" applyProtection="0">
      <alignment horizontal="left" vertical="center"/>
    </xf>
    <xf numFmtId="9" fontId="8"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5" fillId="0" borderId="0"/>
    <xf numFmtId="0" fontId="59" fillId="0" borderId="0"/>
    <xf numFmtId="166" fontId="13" fillId="0" borderId="0" applyFont="0" applyFill="0" applyBorder="0" applyAlignment="0" applyProtection="0"/>
    <xf numFmtId="9" fontId="13" fillId="0" borderId="0" applyFont="0" applyFill="0" applyBorder="0" applyAlignment="0" applyProtection="0"/>
    <xf numFmtId="0" fontId="13"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13" fillId="0" borderId="0"/>
    <xf numFmtId="43" fontId="13" fillId="0" borderId="0" applyFont="0" applyFill="0" applyBorder="0" applyAlignment="0" applyProtection="0"/>
    <xf numFmtId="0" fontId="4" fillId="0" borderId="0"/>
    <xf numFmtId="0" fontId="4" fillId="0" borderId="0"/>
    <xf numFmtId="9" fontId="13"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22" fillId="38"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22" fillId="47" borderId="0" applyNumberFormat="0" applyBorder="0" applyAlignment="0" applyProtection="0"/>
    <xf numFmtId="0" fontId="88" fillId="48" borderId="0" applyNumberFormat="0" applyBorder="0" applyAlignment="0" applyProtection="0"/>
    <xf numFmtId="0" fontId="88" fillId="45" borderId="0" applyNumberFormat="0" applyBorder="0" applyAlignment="0" applyProtection="0"/>
    <xf numFmtId="0" fontId="88" fillId="46" borderId="0" applyNumberFormat="0" applyBorder="0" applyAlignment="0" applyProtection="0"/>
    <xf numFmtId="0" fontId="88" fillId="49" borderId="0" applyNumberFormat="0" applyBorder="0" applyAlignment="0" applyProtection="0"/>
    <xf numFmtId="0" fontId="88" fillId="50" borderId="0" applyNumberFormat="0" applyBorder="0" applyAlignment="0" applyProtection="0"/>
    <xf numFmtId="0" fontId="88" fillId="51" borderId="0" applyNumberFormat="0" applyBorder="0" applyAlignment="0" applyProtection="0"/>
    <xf numFmtId="0" fontId="88" fillId="52" borderId="0" applyNumberFormat="0" applyBorder="0" applyAlignment="0" applyProtection="0"/>
    <xf numFmtId="0" fontId="88" fillId="53" borderId="0" applyNumberFormat="0" applyBorder="0" applyAlignment="0" applyProtection="0"/>
    <xf numFmtId="0" fontId="88" fillId="54" borderId="0" applyNumberFormat="0" applyBorder="0" applyAlignment="0" applyProtection="0"/>
    <xf numFmtId="0" fontId="90" fillId="56" borderId="83" applyNumberFormat="0" applyAlignment="0" applyProtection="0"/>
    <xf numFmtId="0" fontId="86" fillId="0" borderId="0" applyNumberFormat="0" applyFill="0" applyBorder="0" applyAlignment="0" applyProtection="0">
      <alignment vertical="top"/>
      <protection locked="0"/>
    </xf>
    <xf numFmtId="0" fontId="99" fillId="58" borderId="0" applyNumberFormat="0" applyBorder="0" applyAlignment="0" applyProtection="0"/>
    <xf numFmtId="0" fontId="101" fillId="0" borderId="0" applyNumberFormat="0" applyFill="0" applyBorder="0" applyAlignment="0" applyProtection="0"/>
    <xf numFmtId="0" fontId="102" fillId="0" borderId="91" applyNumberFormat="0" applyFill="0" applyAlignment="0" applyProtection="0"/>
    <xf numFmtId="0" fontId="103" fillId="0" borderId="0" applyNumberFormat="0" applyFill="0" applyBorder="0" applyAlignment="0" applyProtection="0"/>
    <xf numFmtId="0" fontId="9" fillId="0" borderId="0"/>
    <xf numFmtId="0" fontId="40" fillId="0" borderId="0" applyNumberFormat="0" applyFill="0" applyBorder="0" applyAlignment="0" applyProtection="0"/>
    <xf numFmtId="0" fontId="67" fillId="0" borderId="60" applyNumberFormat="0" applyFill="0" applyAlignment="0" applyProtection="0"/>
    <xf numFmtId="0" fontId="66" fillId="0" borderId="59" applyNumberFormat="0" applyFill="0" applyAlignment="0" applyProtection="0"/>
    <xf numFmtId="0" fontId="3" fillId="0" borderId="0"/>
    <xf numFmtId="0" fontId="68" fillId="0" borderId="61" applyNumberFormat="0" applyFill="0" applyAlignment="0" applyProtection="0"/>
    <xf numFmtId="0" fontId="68" fillId="0" borderId="0" applyNumberFormat="0" applyFill="0" applyBorder="0" applyAlignment="0" applyProtection="0"/>
    <xf numFmtId="0" fontId="69" fillId="29" borderId="0" applyNumberFormat="0" applyBorder="0" applyAlignment="0" applyProtection="0"/>
    <xf numFmtId="0" fontId="70" fillId="26" borderId="0" applyNumberFormat="0" applyBorder="0" applyAlignment="0" applyProtection="0"/>
    <xf numFmtId="0" fontId="71" fillId="31" borderId="0" applyNumberFormat="0" applyBorder="0" applyAlignment="0" applyProtection="0"/>
    <xf numFmtId="0" fontId="72" fillId="30" borderId="57" applyNumberFormat="0" applyAlignment="0" applyProtection="0"/>
    <xf numFmtId="0" fontId="73" fillId="27" borderId="64" applyNumberFormat="0" applyAlignment="0" applyProtection="0"/>
    <xf numFmtId="0" fontId="74" fillId="27" borderId="57" applyNumberFormat="0" applyAlignment="0" applyProtection="0"/>
    <xf numFmtId="0" fontId="75" fillId="0" borderId="62" applyNumberFormat="0" applyFill="0" applyAlignment="0" applyProtection="0"/>
    <xf numFmtId="0" fontId="76" fillId="28" borderId="58" applyNumberFormat="0" applyAlignment="0" applyProtection="0"/>
    <xf numFmtId="0" fontId="77" fillId="0" borderId="0" applyNumberFormat="0" applyFill="0" applyBorder="0" applyAlignment="0" applyProtection="0"/>
    <xf numFmtId="0" fontId="3" fillId="32" borderId="63" applyNumberFormat="0" applyFont="0" applyAlignment="0" applyProtection="0"/>
    <xf numFmtId="0" fontId="78" fillId="0" borderId="0" applyNumberFormat="0" applyFill="0" applyBorder="0" applyAlignment="0" applyProtection="0"/>
    <xf numFmtId="0" fontId="79" fillId="0" borderId="65" applyNumberFormat="0" applyFill="0" applyAlignment="0" applyProtection="0"/>
    <xf numFmtId="0" fontId="80" fillId="20" borderId="0" applyNumberFormat="0" applyBorder="0" applyAlignment="0" applyProtection="0"/>
    <xf numFmtId="0" fontId="3" fillId="2" borderId="0" applyNumberFormat="0" applyBorder="0" applyAlignment="0" applyProtection="0"/>
    <xf numFmtId="0" fontId="3" fillId="8" borderId="0" applyNumberFormat="0" applyBorder="0" applyAlignment="0" applyProtection="0"/>
    <xf numFmtId="0" fontId="80" fillId="14" borderId="0" applyNumberFormat="0" applyBorder="0" applyAlignment="0" applyProtection="0"/>
    <xf numFmtId="0" fontId="80" fillId="21"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80" fillId="15" borderId="0" applyNumberFormat="0" applyBorder="0" applyAlignment="0" applyProtection="0"/>
    <xf numFmtId="0" fontId="80" fillId="22"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80" fillId="16" borderId="0" applyNumberFormat="0" applyBorder="0" applyAlignment="0" applyProtection="0"/>
    <xf numFmtId="0" fontId="80" fillId="23"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80" fillId="17" borderId="0" applyNumberFormat="0" applyBorder="0" applyAlignment="0" applyProtection="0"/>
    <xf numFmtId="0" fontId="80" fillId="24"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80" fillId="18" borderId="0" applyNumberFormat="0" applyBorder="0" applyAlignment="0" applyProtection="0"/>
    <xf numFmtId="0" fontId="80" fillId="25"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80" fillId="19" borderId="0" applyNumberFormat="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178" fontId="9" fillId="0" borderId="0"/>
    <xf numFmtId="179" fontId="9" fillId="0" borderId="0"/>
    <xf numFmtId="178" fontId="9" fillId="0" borderId="0"/>
    <xf numFmtId="178" fontId="9" fillId="0" borderId="0"/>
    <xf numFmtId="178" fontId="9" fillId="0" borderId="0"/>
    <xf numFmtId="178" fontId="9" fillId="0" borderId="0"/>
    <xf numFmtId="180" fontId="9" fillId="0" borderId="0"/>
    <xf numFmtId="181" fontId="9" fillId="0" borderId="0"/>
    <xf numFmtId="180" fontId="9" fillId="0" borderId="0"/>
    <xf numFmtId="3" fontId="9" fillId="0" borderId="0" applyFont="0" applyFill="0" applyBorder="0" applyAlignment="0" applyProtection="0"/>
    <xf numFmtId="164" fontId="9" fillId="0" borderId="0" applyFont="0" applyFill="0" applyBorder="0" applyAlignment="0" applyProtection="0"/>
    <xf numFmtId="14" fontId="9" fillId="0" borderId="0" applyFont="0" applyFill="0" applyBorder="0" applyAlignment="0" applyProtection="0"/>
    <xf numFmtId="2" fontId="9" fillId="0" borderId="0" applyFont="0" applyFill="0" applyBorder="0" applyAlignment="0" applyProtection="0"/>
    <xf numFmtId="38" fontId="87" fillId="60" borderId="0" applyNumberFormat="0" applyBorder="0" applyAlignment="0" applyProtection="0"/>
    <xf numFmtId="10" fontId="87" fillId="63" borderId="1" applyNumberFormat="0" applyBorder="0" applyAlignment="0" applyProtection="0"/>
    <xf numFmtId="182" fontId="9" fillId="0" borderId="0"/>
    <xf numFmtId="182" fontId="9" fillId="0" borderId="0"/>
    <xf numFmtId="182" fontId="9" fillId="0" borderId="0"/>
    <xf numFmtId="182" fontId="9" fillId="0" borderId="0"/>
    <xf numFmtId="182" fontId="9" fillId="0" borderId="0"/>
    <xf numFmtId="184" fontId="9" fillId="0" borderId="0"/>
    <xf numFmtId="10" fontId="9"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183" fontId="9" fillId="0" borderId="0"/>
    <xf numFmtId="0" fontId="100" fillId="56" borderId="90" applyNumberFormat="0" applyAlignment="0" applyProtection="0"/>
    <xf numFmtId="0" fontId="91" fillId="57" borderId="84" applyNumberFormat="0" applyAlignment="0" applyProtection="0"/>
    <xf numFmtId="0" fontId="97" fillId="43" borderId="83" applyNumberFormat="0" applyAlignment="0" applyProtection="0"/>
    <xf numFmtId="0" fontId="9" fillId="59" borderId="89" applyNumberFormat="0" applyFont="0" applyAlignment="0" applyProtection="0"/>
    <xf numFmtId="0" fontId="93" fillId="40" borderId="0" applyNumberFormat="0" applyBorder="0" applyAlignment="0" applyProtection="0"/>
    <xf numFmtId="0" fontId="89" fillId="39" borderId="0" applyNumberFormat="0" applyBorder="0" applyAlignment="0" applyProtection="0"/>
    <xf numFmtId="0" fontId="96" fillId="0" borderId="87" applyNumberFormat="0" applyFill="0" applyAlignment="0" applyProtection="0"/>
    <xf numFmtId="0" fontId="95" fillId="0" borderId="86" applyNumberFormat="0" applyFill="0" applyAlignment="0" applyProtection="0"/>
    <xf numFmtId="0" fontId="92" fillId="0" borderId="0" applyNumberFormat="0" applyFill="0" applyBorder="0" applyAlignment="0" applyProtection="0"/>
    <xf numFmtId="0" fontId="94" fillId="0" borderId="85" applyNumberFormat="0" applyFill="0" applyAlignment="0" applyProtection="0"/>
    <xf numFmtId="0" fontId="82" fillId="0" borderId="0" applyNumberForma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88" fillId="50" borderId="0" applyNumberFormat="0" applyBorder="0" applyAlignment="0" applyProtection="0"/>
    <xf numFmtId="0" fontId="3" fillId="0" borderId="0"/>
    <xf numFmtId="0" fontId="3" fillId="0" borderId="0"/>
    <xf numFmtId="0" fontId="3" fillId="0" borderId="0"/>
    <xf numFmtId="0" fontId="88" fillId="55" borderId="0" applyNumberFormat="0" applyBorder="0" applyAlignment="0" applyProtection="0"/>
    <xf numFmtId="0" fontId="88" fillId="49" borderId="0" applyNumberFormat="0" applyBorder="0" applyAlignment="0" applyProtection="0"/>
    <xf numFmtId="43"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13" fillId="0" borderId="0"/>
    <xf numFmtId="0" fontId="98" fillId="0" borderId="88" applyNumberFormat="0" applyFill="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96" fillId="0" borderId="0" applyNumberForma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9" fillId="0" borderId="0"/>
    <xf numFmtId="0" fontId="9" fillId="0" borderId="0"/>
    <xf numFmtId="0" fontId="97" fillId="43" borderId="83" applyNumberFormat="0" applyAlignment="0" applyProtection="0"/>
    <xf numFmtId="0" fontId="97" fillId="43" borderId="83" applyNumberFormat="0" applyAlignment="0" applyProtection="0"/>
    <xf numFmtId="0" fontId="97" fillId="43" borderId="83" applyNumberFormat="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9" fontId="9" fillId="0" borderId="0" applyFont="0" applyFill="0" applyBorder="0" applyAlignment="0" applyProtection="0"/>
    <xf numFmtId="0" fontId="97" fillId="43" borderId="83" applyNumberFormat="0" applyAlignment="0" applyProtection="0"/>
    <xf numFmtId="0" fontId="9" fillId="0" borderId="0"/>
    <xf numFmtId="0" fontId="13" fillId="0" borderId="0"/>
    <xf numFmtId="0" fontId="2" fillId="0" borderId="0"/>
    <xf numFmtId="0" fontId="2" fillId="0" borderId="0"/>
    <xf numFmtId="9" fontId="13"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 fillId="0" borderId="0"/>
    <xf numFmtId="0" fontId="9" fillId="0" borderId="0"/>
    <xf numFmtId="9" fontId="13" fillId="0" borderId="0" applyFont="0" applyFill="0" applyBorder="0" applyAlignment="0" applyProtection="0"/>
    <xf numFmtId="0" fontId="13" fillId="0" borderId="0"/>
    <xf numFmtId="9" fontId="9" fillId="0" borderId="0" applyFont="0" applyFill="0" applyBorder="0" applyAlignment="0" applyProtection="0"/>
    <xf numFmtId="0" fontId="9"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5" fontId="9" fillId="0" borderId="0" applyFont="0" applyFill="0" applyBorder="0" applyAlignment="0" applyProtection="0"/>
    <xf numFmtId="166" fontId="1" fillId="0" borderId="0" applyFont="0" applyFill="0" applyBorder="0" applyAlignment="0" applyProtection="0"/>
    <xf numFmtId="0" fontId="9" fillId="0" borderId="0"/>
    <xf numFmtId="0" fontId="1" fillId="0" borderId="0"/>
    <xf numFmtId="0" fontId="1"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01" fillId="0" borderId="0" applyNumberFormat="0" applyFill="0" applyBorder="0" applyAlignment="0" applyProtection="0"/>
    <xf numFmtId="0" fontId="1" fillId="0" borderId="0"/>
    <xf numFmtId="44"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07" fillId="0" borderId="0" applyNumberForma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3" fillId="0" borderId="0"/>
    <xf numFmtId="43" fontId="13" fillId="0" borderId="0" applyFont="0" applyFill="0" applyBorder="0" applyAlignment="0" applyProtection="0"/>
    <xf numFmtId="0" fontId="1" fillId="0" borderId="0"/>
    <xf numFmtId="0" fontId="1" fillId="0" borderId="0"/>
    <xf numFmtId="9" fontId="13"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3" fillId="0" borderId="0"/>
    <xf numFmtId="9" fontId="13" fillId="0" borderId="0" applyFont="0" applyFill="0" applyBorder="0" applyAlignment="0" applyProtection="0"/>
    <xf numFmtId="9" fontId="9" fillId="0" borderId="0" applyFont="0" applyFill="0" applyBorder="0" applyAlignment="0" applyProtection="0"/>
    <xf numFmtId="9" fontId="13" fillId="0" borderId="0" applyFont="0" applyFill="0" applyBorder="0" applyAlignment="0" applyProtection="0"/>
    <xf numFmtId="9" fontId="9"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cellStyleXfs>
  <cellXfs count="918">
    <xf numFmtId="0" fontId="0" fillId="0" borderId="0" xfId="0"/>
    <xf numFmtId="0" fontId="9" fillId="0" borderId="0" xfId="0" applyFont="1"/>
    <xf numFmtId="1" fontId="9" fillId="33" borderId="2" xfId="379" applyNumberFormat="1" applyFont="1" applyFill="1" applyBorder="1" applyAlignment="1">
      <alignment horizontal="center"/>
    </xf>
    <xf numFmtId="0" fontId="43" fillId="0" borderId="0" xfId="0" applyFont="1" applyBorder="1" applyAlignment="1">
      <alignment horizontal="left" vertical="center"/>
    </xf>
    <xf numFmtId="0" fontId="9" fillId="0" borderId="3" xfId="0" applyFont="1" applyBorder="1" applyAlignment="1">
      <alignment horizontal="center"/>
    </xf>
    <xf numFmtId="0" fontId="9" fillId="0" borderId="4"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49" fontId="9" fillId="0" borderId="7" xfId="0" applyNumberFormat="1" applyFont="1" applyBorder="1" applyAlignment="1">
      <alignment horizontal="center"/>
    </xf>
    <xf numFmtId="49" fontId="9" fillId="0" borderId="2" xfId="0" applyNumberFormat="1" applyFont="1" applyBorder="1" applyAlignment="1">
      <alignment horizontal="center"/>
    </xf>
    <xf numFmtId="167" fontId="9" fillId="0" borderId="1" xfId="0" applyNumberFormat="1" applyFont="1" applyBorder="1" applyAlignment="1">
      <alignment horizontal="center"/>
    </xf>
    <xf numFmtId="167" fontId="9" fillId="0" borderId="8" xfId="0" applyNumberFormat="1" applyFont="1" applyBorder="1" applyAlignment="1">
      <alignment horizontal="center"/>
    </xf>
    <xf numFmtId="14" fontId="9" fillId="0" borderId="2" xfId="0" applyNumberFormat="1" applyFont="1" applyBorder="1" applyAlignment="1">
      <alignment horizontal="center"/>
    </xf>
    <xf numFmtId="0" fontId="9" fillId="0" borderId="1" xfId="0" applyFont="1" applyBorder="1" applyAlignment="1">
      <alignment horizontal="center"/>
    </xf>
    <xf numFmtId="14" fontId="15" fillId="0" borderId="2" xfId="0" applyNumberFormat="1" applyFont="1" applyBorder="1" applyAlignment="1">
      <alignment horizontal="center"/>
    </xf>
    <xf numFmtId="167" fontId="15" fillId="0" borderId="1" xfId="0" applyNumberFormat="1" applyFont="1" applyBorder="1" applyAlignment="1">
      <alignment horizontal="center"/>
    </xf>
    <xf numFmtId="0" fontId="15" fillId="0" borderId="1" xfId="0" applyFont="1" applyBorder="1" applyAlignment="1">
      <alignment horizontal="center"/>
    </xf>
    <xf numFmtId="167" fontId="15" fillId="0" borderId="8" xfId="0" applyNumberFormat="1" applyFont="1" applyBorder="1" applyAlignment="1">
      <alignment horizontal="center"/>
    </xf>
    <xf numFmtId="1" fontId="9" fillId="0" borderId="1" xfId="0" applyNumberFormat="1" applyFont="1" applyFill="1" applyBorder="1" applyAlignment="1">
      <alignment horizontal="center"/>
    </xf>
    <xf numFmtId="0" fontId="9" fillId="0" borderId="1" xfId="0" applyFont="1" applyFill="1" applyBorder="1" applyAlignment="1">
      <alignment horizontal="center"/>
    </xf>
    <xf numFmtId="0" fontId="9" fillId="0" borderId="8" xfId="0" applyFont="1" applyFill="1" applyBorder="1" applyAlignment="1">
      <alignment horizontal="center"/>
    </xf>
    <xf numFmtId="49" fontId="9" fillId="0" borderId="9" xfId="0" applyNumberFormat="1" applyFont="1" applyBorder="1" applyAlignment="1">
      <alignment horizontal="center"/>
    </xf>
    <xf numFmtId="167" fontId="9" fillId="0" borderId="10" xfId="0" applyNumberFormat="1" applyFont="1" applyBorder="1" applyAlignment="1">
      <alignment horizontal="center"/>
    </xf>
    <xf numFmtId="0" fontId="9" fillId="0" borderId="10" xfId="0" applyFont="1" applyFill="1" applyBorder="1" applyAlignment="1">
      <alignment horizontal="center"/>
    </xf>
    <xf numFmtId="0" fontId="9" fillId="0" borderId="11" xfId="0" applyFont="1" applyFill="1" applyBorder="1" applyAlignment="1">
      <alignment horizontal="center"/>
    </xf>
    <xf numFmtId="0" fontId="9" fillId="0" borderId="12" xfId="0" applyFont="1" applyFill="1" applyBorder="1"/>
    <xf numFmtId="0" fontId="9" fillId="0" borderId="13" xfId="0" applyFont="1" applyFill="1" applyBorder="1"/>
    <xf numFmtId="1" fontId="9" fillId="33" borderId="1" xfId="0" applyNumberFormat="1" applyFont="1" applyFill="1" applyBorder="1" applyAlignment="1">
      <alignment horizontal="center"/>
    </xf>
    <xf numFmtId="1" fontId="9" fillId="33" borderId="10" xfId="0" applyNumberFormat="1" applyFont="1" applyFill="1" applyBorder="1" applyAlignment="1">
      <alignment horizontal="center"/>
    </xf>
    <xf numFmtId="167" fontId="9" fillId="0" borderId="11" xfId="0" applyNumberFormat="1" applyFont="1" applyBorder="1" applyAlignment="1">
      <alignment horizontal="center"/>
    </xf>
    <xf numFmtId="0" fontId="9" fillId="0" borderId="0" xfId="0" applyFont="1" applyFill="1" applyBorder="1"/>
    <xf numFmtId="2" fontId="42" fillId="0" borderId="0" xfId="0" applyNumberFormat="1" applyFont="1" applyFill="1" applyBorder="1" applyAlignment="1">
      <alignment horizontal="center"/>
    </xf>
    <xf numFmtId="0" fontId="9" fillId="0" borderId="0" xfId="0" applyFont="1" applyFill="1" applyBorder="1" applyAlignment="1">
      <alignment horizontal="center"/>
    </xf>
    <xf numFmtId="0" fontId="9" fillId="0" borderId="14" xfId="0" applyFont="1" applyFill="1" applyBorder="1" applyAlignment="1">
      <alignment horizontal="center"/>
    </xf>
    <xf numFmtId="0" fontId="9" fillId="0" borderId="15" xfId="0" applyFont="1" applyFill="1" applyBorder="1" applyAlignment="1">
      <alignment horizontal="center"/>
    </xf>
    <xf numFmtId="0" fontId="9" fillId="0" borderId="2" xfId="0" applyFont="1" applyFill="1" applyBorder="1" applyAlignment="1">
      <alignment horizontal="center"/>
    </xf>
    <xf numFmtId="2" fontId="42" fillId="0" borderId="8" xfId="0" applyNumberFormat="1" applyFont="1" applyFill="1" applyBorder="1" applyAlignment="1">
      <alignment horizontal="center"/>
    </xf>
    <xf numFmtId="0" fontId="9" fillId="0" borderId="16" xfId="0" applyFont="1" applyFill="1" applyBorder="1" applyAlignment="1">
      <alignment horizontal="center"/>
    </xf>
    <xf numFmtId="0" fontId="9" fillId="0" borderId="9" xfId="0" applyFont="1" applyFill="1" applyBorder="1" applyAlignment="1">
      <alignment horizontal="center"/>
    </xf>
    <xf numFmtId="2" fontId="42" fillId="0" borderId="11" xfId="0" applyNumberFormat="1" applyFont="1" applyFill="1" applyBorder="1" applyAlignment="1">
      <alignment horizontal="center"/>
    </xf>
    <xf numFmtId="0" fontId="9" fillId="0" borderId="17" xfId="0" applyFont="1" applyFill="1" applyBorder="1" applyAlignment="1">
      <alignment horizontal="center"/>
    </xf>
    <xf numFmtId="2" fontId="42" fillId="0" borderId="18" xfId="0" applyNumberFormat="1" applyFont="1" applyFill="1" applyBorder="1" applyAlignment="1">
      <alignment horizontal="center"/>
    </xf>
    <xf numFmtId="2" fontId="42" fillId="0" borderId="13" xfId="0" applyNumberFormat="1" applyFont="1" applyFill="1" applyBorder="1" applyAlignment="1">
      <alignment horizontal="center"/>
    </xf>
    <xf numFmtId="0" fontId="9" fillId="0" borderId="20" xfId="0" applyFont="1" applyFill="1" applyBorder="1" applyAlignment="1">
      <alignment horizontal="left"/>
    </xf>
    <xf numFmtId="17" fontId="9" fillId="0" borderId="15" xfId="0" applyNumberFormat="1" applyFont="1" applyFill="1" applyBorder="1" applyAlignment="1">
      <alignment horizontal="center"/>
    </xf>
    <xf numFmtId="1" fontId="9" fillId="33" borderId="2" xfId="0" applyNumberFormat="1" applyFont="1" applyFill="1" applyBorder="1" applyAlignment="1">
      <alignment horizontal="center"/>
    </xf>
    <xf numFmtId="1" fontId="42" fillId="33" borderId="8" xfId="0" applyNumberFormat="1" applyFont="1" applyFill="1" applyBorder="1" applyAlignment="1">
      <alignment horizontal="center"/>
    </xf>
    <xf numFmtId="1" fontId="9" fillId="33" borderId="21" xfId="0" applyNumberFormat="1" applyFont="1" applyFill="1" applyBorder="1" applyAlignment="1">
      <alignment horizontal="center"/>
    </xf>
    <xf numFmtId="1" fontId="9" fillId="33" borderId="1" xfId="379" applyNumberFormat="1" applyFont="1" applyFill="1" applyBorder="1" applyAlignment="1">
      <alignment horizontal="center"/>
    </xf>
    <xf numFmtId="1" fontId="9" fillId="33" borderId="21" xfId="379" applyNumberFormat="1" applyFont="1" applyFill="1" applyBorder="1" applyAlignment="1">
      <alignment horizontal="center"/>
    </xf>
    <xf numFmtId="1" fontId="9" fillId="33" borderId="2" xfId="379" applyNumberFormat="1" applyFont="1" applyFill="1" applyBorder="1" applyAlignment="1">
      <alignment horizontal="center" vertical="center"/>
    </xf>
    <xf numFmtId="1" fontId="44" fillId="33" borderId="2" xfId="0" applyNumberFormat="1" applyFont="1" applyFill="1" applyBorder="1" applyAlignment="1">
      <alignment horizontal="center"/>
    </xf>
    <xf numFmtId="1" fontId="25" fillId="33" borderId="2" xfId="0" applyNumberFormat="1" applyFont="1" applyFill="1" applyBorder="1" applyAlignment="1">
      <alignment horizontal="center"/>
    </xf>
    <xf numFmtId="1" fontId="9" fillId="33" borderId="9" xfId="0" applyNumberFormat="1" applyFont="1" applyFill="1" applyBorder="1" applyAlignment="1">
      <alignment horizontal="center"/>
    </xf>
    <xf numFmtId="1" fontId="42" fillId="33" borderId="11" xfId="0" applyNumberFormat="1" applyFont="1" applyFill="1" applyBorder="1" applyAlignment="1">
      <alignment horizontal="center"/>
    </xf>
    <xf numFmtId="1" fontId="9" fillId="33" borderId="10" xfId="379" applyNumberFormat="1" applyFont="1" applyFill="1" applyBorder="1" applyAlignment="1">
      <alignment horizontal="center"/>
    </xf>
    <xf numFmtId="1" fontId="9" fillId="33" borderId="22" xfId="0" applyNumberFormat="1" applyFont="1" applyFill="1" applyBorder="1" applyAlignment="1">
      <alignment horizontal="center"/>
    </xf>
    <xf numFmtId="3" fontId="9" fillId="0" borderId="0" xfId="0" applyNumberFormat="1" applyFont="1" applyFill="1" applyBorder="1" applyAlignment="1">
      <alignment horizontal="center"/>
    </xf>
    <xf numFmtId="0" fontId="9" fillId="0" borderId="0" xfId="0" applyFont="1" applyAlignment="1">
      <alignment horizontal="center"/>
    </xf>
    <xf numFmtId="0" fontId="9" fillId="0" borderId="1" xfId="0" applyFont="1" applyBorder="1"/>
    <xf numFmtId="17" fontId="9" fillId="0" borderId="0" xfId="0" applyNumberFormat="1" applyFont="1" applyBorder="1"/>
    <xf numFmtId="0" fontId="9" fillId="0" borderId="0" xfId="0" applyFont="1" applyAlignment="1">
      <alignment horizontal="left"/>
    </xf>
    <xf numFmtId="0" fontId="9" fillId="0" borderId="0" xfId="0" applyFont="1" applyFill="1"/>
    <xf numFmtId="0" fontId="45" fillId="0" borderId="0" xfId="0" applyFont="1" applyBorder="1" applyAlignment="1">
      <alignment horizontal="left" vertical="center"/>
    </xf>
    <xf numFmtId="0" fontId="9" fillId="0" borderId="0" xfId="0" applyFont="1" applyBorder="1"/>
    <xf numFmtId="0" fontId="44" fillId="0" borderId="27" xfId="0" applyFont="1" applyBorder="1" applyAlignment="1">
      <alignment horizontal="center" vertical="center" wrapText="1"/>
    </xf>
    <xf numFmtId="0" fontId="44" fillId="0" borderId="28" xfId="0" applyFont="1" applyBorder="1" applyAlignment="1">
      <alignment horizontal="center" vertical="center" wrapText="1"/>
    </xf>
    <xf numFmtId="0" fontId="46" fillId="0" borderId="28" xfId="0" applyFont="1" applyBorder="1" applyAlignment="1">
      <alignment horizontal="center" vertical="center" wrapText="1"/>
    </xf>
    <xf numFmtId="0" fontId="44" fillId="0" borderId="29" xfId="0" applyFont="1" applyFill="1" applyBorder="1" applyAlignment="1">
      <alignment horizontal="center" vertical="center" wrapText="1"/>
    </xf>
    <xf numFmtId="0" fontId="44" fillId="0" borderId="7" xfId="0" applyFont="1" applyBorder="1" applyAlignment="1">
      <alignment horizontal="center" vertical="center" wrapText="1"/>
    </xf>
    <xf numFmtId="3" fontId="44" fillId="0" borderId="23" xfId="0" applyNumberFormat="1" applyFont="1" applyBorder="1" applyAlignment="1">
      <alignment horizontal="center" vertical="center" wrapText="1"/>
    </xf>
    <xf numFmtId="10" fontId="44" fillId="0" borderId="23" xfId="0"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10" fontId="44" fillId="0" borderId="1" xfId="0" applyNumberFormat="1" applyFont="1" applyBorder="1" applyAlignment="1">
      <alignment horizontal="center" vertical="center" wrapText="1"/>
    </xf>
    <xf numFmtId="0" fontId="42" fillId="0" borderId="2" xfId="0" applyFont="1" applyBorder="1" applyAlignment="1">
      <alignment horizontal="center" vertical="center" wrapText="1"/>
    </xf>
    <xf numFmtId="0" fontId="42" fillId="0" borderId="1" xfId="0" applyFont="1" applyBorder="1" applyAlignment="1">
      <alignment horizontal="center" vertical="center" wrapText="1"/>
    </xf>
    <xf numFmtId="10" fontId="42" fillId="0" borderId="1" xfId="0" applyNumberFormat="1" applyFont="1" applyBorder="1" applyAlignment="1">
      <alignment horizontal="center" vertical="center" wrapText="1"/>
    </xf>
    <xf numFmtId="0" fontId="42" fillId="0" borderId="10" xfId="0" applyFont="1" applyBorder="1" applyAlignment="1">
      <alignment horizontal="center" vertical="center" wrapText="1"/>
    </xf>
    <xf numFmtId="10" fontId="42" fillId="0" borderId="10" xfId="0" applyNumberFormat="1" applyFont="1" applyBorder="1" applyAlignment="1">
      <alignment horizontal="center" vertical="center" wrapText="1"/>
    </xf>
    <xf numFmtId="0" fontId="42" fillId="0" borderId="0" xfId="0" applyFont="1" applyBorder="1" applyAlignment="1">
      <alignment horizontal="center" vertical="center" wrapText="1"/>
    </xf>
    <xf numFmtId="3" fontId="42" fillId="0" borderId="0" xfId="0" applyNumberFormat="1" applyFont="1" applyBorder="1" applyAlignment="1">
      <alignment horizontal="center" vertical="center" wrapText="1"/>
    </xf>
    <xf numFmtId="0" fontId="44" fillId="0" borderId="30" xfId="0" applyFont="1" applyFill="1" applyBorder="1" applyAlignment="1">
      <alignment horizontal="center" vertical="center" wrapText="1"/>
    </xf>
    <xf numFmtId="3" fontId="44" fillId="0" borderId="0" xfId="0" applyNumberFormat="1" applyFont="1" applyBorder="1" applyAlignment="1">
      <alignment horizontal="center" vertical="center" wrapText="1"/>
    </xf>
    <xf numFmtId="3" fontId="47" fillId="0" borderId="8" xfId="0" applyNumberFormat="1" applyFont="1" applyBorder="1" applyAlignment="1">
      <alignment horizontal="center" vertical="center" wrapText="1"/>
    </xf>
    <xf numFmtId="3" fontId="47" fillId="0" borderId="11" xfId="0" applyNumberFormat="1" applyFont="1" applyBorder="1" applyAlignment="1">
      <alignment horizontal="center" vertical="center" wrapText="1"/>
    </xf>
    <xf numFmtId="169" fontId="44" fillId="0" borderId="8" xfId="0" applyNumberFormat="1" applyFont="1" applyBorder="1" applyAlignment="1">
      <alignment horizontal="center" vertical="center" wrapText="1"/>
    </xf>
    <xf numFmtId="3" fontId="42" fillId="0" borderId="8" xfId="0" applyNumberFormat="1" applyFont="1" applyBorder="1" applyAlignment="1">
      <alignment horizontal="center" vertical="center" wrapText="1"/>
    </xf>
    <xf numFmtId="0" fontId="9" fillId="0" borderId="39" xfId="0" applyFont="1" applyBorder="1"/>
    <xf numFmtId="0" fontId="9" fillId="0" borderId="23" xfId="0" applyFont="1" applyBorder="1"/>
    <xf numFmtId="0" fontId="9" fillId="0" borderId="2" xfId="0" applyFont="1" applyBorder="1"/>
    <xf numFmtId="0" fontId="9" fillId="0" borderId="9" xfId="0" applyFont="1" applyBorder="1"/>
    <xf numFmtId="0" fontId="9" fillId="0" borderId="10" xfId="0" applyFont="1" applyBorder="1"/>
    <xf numFmtId="0" fontId="44" fillId="0" borderId="2"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8" xfId="0" applyFont="1" applyFill="1" applyBorder="1" applyAlignment="1">
      <alignment horizontal="center" vertical="center" wrapText="1"/>
    </xf>
    <xf numFmtId="3" fontId="44" fillId="0" borderId="1" xfId="0" applyNumberFormat="1" applyFont="1" applyFill="1" applyBorder="1" applyAlignment="1">
      <alignment horizontal="center" vertical="center" wrapText="1"/>
    </xf>
    <xf numFmtId="3" fontId="44" fillId="0" borderId="8" xfId="0" applyNumberFormat="1" applyFont="1" applyFill="1" applyBorder="1" applyAlignment="1">
      <alignment horizontal="center" vertical="center" wrapText="1"/>
    </xf>
    <xf numFmtId="3" fontId="44" fillId="0" borderId="10" xfId="0" applyNumberFormat="1" applyFont="1" applyFill="1" applyBorder="1" applyAlignment="1">
      <alignment horizontal="center" vertical="center" wrapText="1"/>
    </xf>
    <xf numFmtId="3" fontId="44" fillId="0" borderId="11" xfId="0" applyNumberFormat="1" applyFont="1" applyFill="1" applyBorder="1" applyAlignment="1">
      <alignment horizontal="center" vertical="center" wrapText="1"/>
    </xf>
    <xf numFmtId="0" fontId="19" fillId="0" borderId="0" xfId="0" applyFont="1" applyFill="1" applyAlignment="1">
      <alignment horizontal="center"/>
    </xf>
    <xf numFmtId="0" fontId="19" fillId="0" borderId="0" xfId="0" applyFont="1" applyFill="1" applyAlignment="1">
      <alignment horizontal="left"/>
    </xf>
    <xf numFmtId="0" fontId="20" fillId="0" borderId="0" xfId="0" applyFont="1" applyFill="1" applyAlignment="1">
      <alignment horizontal="left"/>
    </xf>
    <xf numFmtId="0" fontId="9" fillId="0" borderId="0" xfId="521" applyFont="1"/>
    <xf numFmtId="0" fontId="25" fillId="0" borderId="0" xfId="524" applyFont="1" applyFill="1"/>
    <xf numFmtId="0" fontId="9" fillId="0" borderId="0" xfId="521" applyFont="1" applyAlignment="1">
      <alignment horizontal="left"/>
    </xf>
    <xf numFmtId="0" fontId="25" fillId="0" borderId="0" xfId="524" applyFont="1"/>
    <xf numFmtId="9" fontId="9" fillId="0" borderId="0" xfId="559" applyFont="1" applyFill="1"/>
    <xf numFmtId="9" fontId="25" fillId="0" borderId="0" xfId="524" applyNumberFormat="1" applyFont="1" applyFill="1"/>
    <xf numFmtId="9" fontId="25" fillId="0" borderId="0" xfId="524" applyNumberFormat="1" applyFont="1"/>
    <xf numFmtId="0" fontId="48" fillId="0" borderId="0" xfId="524" applyFont="1"/>
    <xf numFmtId="0" fontId="49" fillId="0" borderId="0" xfId="524" applyFont="1"/>
    <xf numFmtId="0" fontId="9" fillId="0" borderId="39" xfId="521" applyFont="1" applyBorder="1"/>
    <xf numFmtId="0" fontId="9" fillId="0" borderId="26" xfId="521" applyFont="1" applyBorder="1" applyAlignment="1">
      <alignment horizontal="center"/>
    </xf>
    <xf numFmtId="0" fontId="9" fillId="0" borderId="7" xfId="521" applyFont="1" applyBorder="1"/>
    <xf numFmtId="0" fontId="9" fillId="0" borderId="2" xfId="521" applyFont="1" applyBorder="1"/>
    <xf numFmtId="3" fontId="9" fillId="0" borderId="1" xfId="521" applyNumberFormat="1" applyFont="1" applyFill="1" applyBorder="1" applyAlignment="1">
      <alignment horizontal="center"/>
    </xf>
    <xf numFmtId="168" fontId="9" fillId="0" borderId="2" xfId="558" applyNumberFormat="1" applyFont="1" applyFill="1" applyBorder="1" applyAlignment="1">
      <alignment horizontal="center"/>
    </xf>
    <xf numFmtId="10" fontId="9" fillId="0" borderId="2" xfId="558" applyNumberFormat="1" applyFont="1" applyFill="1" applyBorder="1" applyAlignment="1">
      <alignment horizontal="center"/>
    </xf>
    <xf numFmtId="0" fontId="9" fillId="0" borderId="43" xfId="521" applyFont="1" applyBorder="1"/>
    <xf numFmtId="0" fontId="9" fillId="0" borderId="9" xfId="521" applyFont="1" applyBorder="1"/>
    <xf numFmtId="10" fontId="9" fillId="0" borderId="9" xfId="558" applyNumberFormat="1" applyFont="1" applyFill="1" applyBorder="1" applyAlignment="1">
      <alignment horizontal="center"/>
    </xf>
    <xf numFmtId="0" fontId="9" fillId="0" borderId="0" xfId="521" applyFont="1" applyFill="1" applyBorder="1"/>
    <xf numFmtId="1" fontId="9" fillId="0" borderId="0" xfId="521" applyNumberFormat="1" applyFont="1" applyFill="1" applyBorder="1" applyAlignment="1">
      <alignment horizontal="center"/>
    </xf>
    <xf numFmtId="1" fontId="42" fillId="0" borderId="0" xfId="521" applyNumberFormat="1" applyFont="1" applyFill="1" applyBorder="1" applyAlignment="1">
      <alignment horizontal="center"/>
    </xf>
    <xf numFmtId="0" fontId="9" fillId="0" borderId="0" xfId="521" applyFont="1" applyFill="1"/>
    <xf numFmtId="0" fontId="9" fillId="0" borderId="0" xfId="521" applyFont="1" applyFill="1" applyBorder="1" applyAlignment="1">
      <alignment horizontal="center"/>
    </xf>
    <xf numFmtId="3" fontId="9" fillId="0" borderId="0" xfId="521" applyNumberFormat="1" applyFont="1" applyFill="1" applyBorder="1" applyAlignment="1">
      <alignment horizontal="center"/>
    </xf>
    <xf numFmtId="3" fontId="42" fillId="0" borderId="0" xfId="521" applyNumberFormat="1" applyFont="1" applyFill="1" applyBorder="1" applyAlignment="1">
      <alignment horizontal="center"/>
    </xf>
    <xf numFmtId="0" fontId="51" fillId="0" borderId="0" xfId="521" applyFont="1" applyFill="1" applyBorder="1" applyAlignment="1">
      <alignment horizontal="left" vertical="center"/>
    </xf>
    <xf numFmtId="0" fontId="9" fillId="0" borderId="1" xfId="521" applyFont="1" applyBorder="1" applyAlignment="1">
      <alignment horizontal="center"/>
    </xf>
    <xf numFmtId="0" fontId="9" fillId="0" borderId="23" xfId="521" applyFont="1" applyBorder="1" applyAlignment="1">
      <alignment horizontal="center"/>
    </xf>
    <xf numFmtId="3" fontId="42" fillId="0" borderId="1" xfId="0" applyNumberFormat="1" applyFont="1" applyBorder="1" applyAlignment="1">
      <alignment horizontal="center" vertical="center" wrapText="1"/>
    </xf>
    <xf numFmtId="3" fontId="42" fillId="0" borderId="10" xfId="0" applyNumberFormat="1" applyFont="1" applyBorder="1" applyAlignment="1">
      <alignment horizontal="center" vertical="center" wrapText="1"/>
    </xf>
    <xf numFmtId="0" fontId="52" fillId="0" borderId="0" xfId="0" applyFont="1" applyBorder="1" applyAlignment="1">
      <alignment horizontal="left" vertical="center"/>
    </xf>
    <xf numFmtId="0" fontId="44" fillId="0" borderId="0" xfId="0" applyFont="1" applyFill="1" applyBorder="1" applyAlignment="1">
      <alignment vertical="top"/>
    </xf>
    <xf numFmtId="0" fontId="9" fillId="0" borderId="0" xfId="0" applyFont="1" applyProtection="1"/>
    <xf numFmtId="0" fontId="0" fillId="0" borderId="0" xfId="0" applyAlignment="1">
      <alignment horizontal="center"/>
    </xf>
    <xf numFmtId="0" fontId="23" fillId="0" borderId="0" xfId="0" applyFont="1" applyAlignment="1">
      <alignment horizontal="center" vertical="top"/>
    </xf>
    <xf numFmtId="0" fontId="9" fillId="0" borderId="0" xfId="0" applyFont="1" applyBorder="1" applyAlignment="1" applyProtection="1">
      <alignment vertical="center"/>
    </xf>
    <xf numFmtId="0" fontId="9" fillId="0" borderId="0" xfId="0" applyFont="1" applyFill="1" applyBorder="1" applyAlignment="1" applyProtection="1">
      <alignment vertical="center"/>
    </xf>
    <xf numFmtId="172" fontId="9" fillId="0" borderId="0" xfId="383" applyNumberFormat="1" applyFont="1" applyFill="1" applyBorder="1" applyAlignment="1">
      <alignment horizontal="left"/>
    </xf>
    <xf numFmtId="0" fontId="9" fillId="0" borderId="0" xfId="0" applyFont="1" applyBorder="1" applyProtection="1"/>
    <xf numFmtId="0" fontId="9" fillId="0" borderId="0" xfId="0" applyFont="1" applyAlignment="1" applyProtection="1">
      <alignment vertical="center"/>
    </xf>
    <xf numFmtId="0" fontId="9" fillId="0" borderId="0" xfId="0" applyFont="1" applyFill="1" applyAlignment="1" applyProtection="1">
      <alignment vertical="center"/>
    </xf>
    <xf numFmtId="1" fontId="9" fillId="33" borderId="9" xfId="379" applyNumberFormat="1" applyFont="1" applyFill="1" applyBorder="1" applyAlignment="1">
      <alignment horizontal="center"/>
    </xf>
    <xf numFmtId="0" fontId="9" fillId="0" borderId="0" xfId="0" applyFont="1" applyBorder="1" applyAlignment="1">
      <alignment horizontal="center"/>
    </xf>
    <xf numFmtId="0" fontId="44" fillId="0" borderId="0" xfId="0" applyFont="1" applyFill="1" applyBorder="1" applyAlignment="1">
      <alignment horizontal="center" vertical="center" wrapText="1"/>
    </xf>
    <xf numFmtId="3" fontId="47" fillId="0" borderId="0" xfId="0" applyNumberFormat="1" applyFont="1" applyBorder="1" applyAlignment="1">
      <alignment horizontal="center" vertical="center" wrapText="1"/>
    </xf>
    <xf numFmtId="0" fontId="42" fillId="34" borderId="0" xfId="0" applyFont="1" applyFill="1" applyBorder="1" applyAlignment="1">
      <alignment horizontal="center" vertical="center" wrapText="1"/>
    </xf>
    <xf numFmtId="3" fontId="42" fillId="34" borderId="0" xfId="0" applyNumberFormat="1" applyFont="1" applyFill="1" applyBorder="1" applyAlignment="1">
      <alignment horizontal="center" vertical="center" wrapText="1"/>
    </xf>
    <xf numFmtId="10" fontId="42" fillId="34" borderId="0" xfId="0" applyNumberFormat="1" applyFont="1" applyFill="1" applyBorder="1" applyAlignment="1">
      <alignment horizontal="center" vertical="center" wrapText="1"/>
    </xf>
    <xf numFmtId="3" fontId="42" fillId="34" borderId="0" xfId="0" applyNumberFormat="1" applyFont="1" applyFill="1" applyBorder="1" applyAlignment="1">
      <alignment horizontal="left" vertical="center"/>
    </xf>
    <xf numFmtId="0" fontId="9" fillId="34" borderId="0" xfId="0" applyFont="1" applyFill="1"/>
    <xf numFmtId="0" fontId="9" fillId="34" borderId="0" xfId="0" applyFont="1" applyFill="1" applyBorder="1"/>
    <xf numFmtId="0" fontId="52" fillId="0" borderId="0" xfId="0" applyFont="1" applyFill="1" applyBorder="1" applyAlignment="1">
      <alignment horizontal="left" vertical="center"/>
    </xf>
    <xf numFmtId="0" fontId="49"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xf>
    <xf numFmtId="0" fontId="9" fillId="0" borderId="0" xfId="0" applyFont="1" applyAlignment="1">
      <alignment horizontal="left" indent="1"/>
    </xf>
    <xf numFmtId="49" fontId="9" fillId="33" borderId="0" xfId="383" applyNumberFormat="1" applyFont="1" applyFill="1" applyBorder="1" applyAlignment="1">
      <alignment horizontal="center"/>
    </xf>
    <xf numFmtId="49" fontId="9" fillId="0" borderId="0" xfId="383" applyNumberFormat="1" applyFont="1" applyFill="1" applyBorder="1" applyAlignment="1">
      <alignment horizontal="center"/>
    </xf>
    <xf numFmtId="0" fontId="9" fillId="0" borderId="0" xfId="0" applyFont="1" applyFill="1" applyAlignment="1">
      <alignment horizontal="center"/>
    </xf>
    <xf numFmtId="0" fontId="24" fillId="0" borderId="0" xfId="0" applyFont="1" applyAlignment="1">
      <alignment horizontal="left" vertical="top"/>
    </xf>
    <xf numFmtId="3" fontId="42" fillId="0" borderId="1" xfId="0" applyNumberFormat="1" applyFont="1" applyBorder="1" applyAlignment="1">
      <alignment horizontal="center" vertical="center" wrapText="1"/>
    </xf>
    <xf numFmtId="3" fontId="42" fillId="0" borderId="10" xfId="0" applyNumberFormat="1" applyFont="1" applyBorder="1" applyAlignment="1">
      <alignment horizontal="center" vertical="center" wrapText="1"/>
    </xf>
    <xf numFmtId="0" fontId="9" fillId="0" borderId="38" xfId="0" applyFont="1" applyFill="1" applyBorder="1" applyAlignment="1">
      <alignment horizontal="center"/>
    </xf>
    <xf numFmtId="49" fontId="9" fillId="0" borderId="15" xfId="0" applyNumberFormat="1" applyFont="1" applyFill="1" applyBorder="1" applyAlignment="1">
      <alignment horizontal="center"/>
    </xf>
    <xf numFmtId="49" fontId="16" fillId="0" borderId="9" xfId="516" applyNumberFormat="1" applyFont="1" applyFill="1" applyBorder="1" applyAlignment="1">
      <alignment horizontal="center"/>
    </xf>
    <xf numFmtId="49" fontId="16" fillId="0" borderId="2" xfId="516" applyNumberFormat="1" applyFont="1" applyFill="1" applyBorder="1" applyAlignment="1">
      <alignment horizontal="center"/>
    </xf>
    <xf numFmtId="0" fontId="9" fillId="0" borderId="23" xfId="0" applyFont="1" applyFill="1" applyBorder="1" applyAlignment="1">
      <alignment horizontal="center"/>
    </xf>
    <xf numFmtId="0" fontId="9" fillId="0" borderId="4" xfId="0" applyFont="1" applyBorder="1" applyAlignment="1">
      <alignment horizontal="center" wrapText="1"/>
    </xf>
    <xf numFmtId="1" fontId="9" fillId="0" borderId="23" xfId="0" applyNumberFormat="1" applyFont="1" applyFill="1" applyBorder="1" applyAlignment="1">
      <alignment horizontal="center"/>
    </xf>
    <xf numFmtId="0" fontId="9" fillId="0" borderId="30" xfId="0" applyFont="1" applyFill="1" applyBorder="1" applyAlignment="1">
      <alignment horizontal="center"/>
    </xf>
    <xf numFmtId="167" fontId="9" fillId="0" borderId="1" xfId="0" applyNumberFormat="1" applyFont="1" applyFill="1" applyBorder="1" applyAlignment="1">
      <alignment horizontal="center"/>
    </xf>
    <xf numFmtId="167" fontId="9" fillId="0" borderId="8" xfId="0" applyNumberFormat="1" applyFont="1" applyFill="1" applyBorder="1" applyAlignment="1">
      <alignment horizontal="center"/>
    </xf>
    <xf numFmtId="17" fontId="9" fillId="0" borderId="23" xfId="0" applyNumberFormat="1" applyFont="1" applyBorder="1" applyAlignment="1">
      <alignment horizontal="center"/>
    </xf>
    <xf numFmtId="17" fontId="9" fillId="0" borderId="0" xfId="0" applyNumberFormat="1" applyFont="1" applyBorder="1" applyAlignment="1">
      <alignment horizontal="center"/>
    </xf>
    <xf numFmtId="0" fontId="16" fillId="0" borderId="0" xfId="0" applyFont="1"/>
    <xf numFmtId="49" fontId="44" fillId="0" borderId="7" xfId="0" applyNumberFormat="1" applyFont="1" applyBorder="1" applyAlignment="1">
      <alignment horizontal="center" vertical="center" wrapText="1"/>
    </xf>
    <xf numFmtId="49" fontId="42" fillId="0" borderId="7" xfId="0" applyNumberFormat="1" applyFont="1" applyBorder="1" applyAlignment="1">
      <alignment horizontal="center" vertical="center" wrapText="1"/>
    </xf>
    <xf numFmtId="49" fontId="42" fillId="0" borderId="27" xfId="0" applyNumberFormat="1" applyFont="1" applyBorder="1" applyAlignment="1">
      <alignment horizontal="center" vertical="center" wrapText="1"/>
    </xf>
    <xf numFmtId="49" fontId="42" fillId="0" borderId="2" xfId="0" applyNumberFormat="1" applyFont="1" applyBorder="1" applyAlignment="1">
      <alignment horizontal="center" vertical="center" wrapText="1"/>
    </xf>
    <xf numFmtId="1" fontId="9" fillId="0" borderId="0" xfId="0" applyNumberFormat="1" applyFont="1"/>
    <xf numFmtId="169" fontId="44" fillId="0" borderId="0" xfId="0" applyNumberFormat="1" applyFont="1" applyBorder="1" applyAlignment="1">
      <alignment horizontal="center" vertical="center" wrapText="1"/>
    </xf>
    <xf numFmtId="169" fontId="15" fillId="0" borderId="0" xfId="0" applyNumberFormat="1" applyFont="1" applyBorder="1" applyAlignment="1">
      <alignment horizontal="center" vertical="center" wrapText="1"/>
    </xf>
    <xf numFmtId="0" fontId="53" fillId="0" borderId="0" xfId="0" applyFont="1" applyBorder="1" applyAlignment="1">
      <alignment horizontal="center" vertical="center" wrapText="1"/>
    </xf>
    <xf numFmtId="0" fontId="53" fillId="0" borderId="0" xfId="0" applyFont="1" applyFill="1" applyBorder="1" applyAlignment="1">
      <alignment horizontal="center" vertical="center" wrapText="1"/>
    </xf>
    <xf numFmtId="9" fontId="44" fillId="0" borderId="1" xfId="557" applyFont="1" applyFill="1" applyBorder="1" applyAlignment="1">
      <alignment horizontal="center" vertical="center" wrapText="1"/>
    </xf>
    <xf numFmtId="9" fontId="42" fillId="0" borderId="1" xfId="557" applyFont="1" applyFill="1" applyBorder="1" applyAlignment="1">
      <alignment horizontal="center" vertical="center" wrapText="1"/>
    </xf>
    <xf numFmtId="3" fontId="15" fillId="0" borderId="1" xfId="0" applyNumberFormat="1" applyFont="1" applyBorder="1" applyAlignment="1">
      <alignment horizontal="center" vertical="center" wrapText="1"/>
    </xf>
    <xf numFmtId="49" fontId="44" fillId="0" borderId="2" xfId="0" applyNumberFormat="1" applyFont="1" applyBorder="1" applyAlignment="1">
      <alignment horizontal="center" vertical="center" wrapText="1"/>
    </xf>
    <xf numFmtId="169" fontId="15" fillId="0" borderId="8" xfId="0" applyNumberFormat="1" applyFont="1" applyBorder="1" applyAlignment="1">
      <alignment horizontal="center" vertical="center" wrapText="1"/>
    </xf>
    <xf numFmtId="0" fontId="9" fillId="0" borderId="9" xfId="0" applyFont="1" applyBorder="1" applyAlignment="1">
      <alignment horizontal="center"/>
    </xf>
    <xf numFmtId="0" fontId="9" fillId="0" borderId="10" xfId="0" applyFont="1" applyBorder="1" applyAlignment="1">
      <alignment horizontal="center"/>
    </xf>
    <xf numFmtId="0" fontId="9" fillId="0" borderId="11" xfId="0" applyFont="1" applyBorder="1"/>
    <xf numFmtId="49" fontId="9" fillId="0" borderId="42" xfId="0" applyNumberFormat="1" applyFont="1" applyBorder="1" applyAlignment="1">
      <alignment horizontal="center"/>
    </xf>
    <xf numFmtId="49" fontId="9" fillId="0" borderId="26" xfId="0" applyNumberFormat="1" applyFont="1" applyBorder="1" applyAlignment="1">
      <alignment horizontal="center"/>
    </xf>
    <xf numFmtId="0" fontId="9" fillId="0" borderId="43" xfId="0" applyFont="1" applyBorder="1"/>
    <xf numFmtId="0" fontId="9" fillId="0" borderId="44" xfId="0" applyFont="1" applyBorder="1"/>
    <xf numFmtId="49" fontId="9" fillId="0" borderId="43" xfId="0" applyNumberFormat="1" applyFont="1" applyBorder="1"/>
    <xf numFmtId="170" fontId="9" fillId="0" borderId="23" xfId="379" applyNumberFormat="1" applyFont="1" applyFill="1" applyBorder="1" applyAlignment="1">
      <alignment horizontal="center"/>
    </xf>
    <xf numFmtId="170" fontId="9" fillId="0" borderId="1" xfId="379" applyNumberFormat="1" applyFont="1" applyFill="1" applyBorder="1" applyAlignment="1">
      <alignment horizontal="center"/>
    </xf>
    <xf numFmtId="0" fontId="9" fillId="0" borderId="19" xfId="0" applyFont="1" applyFill="1" applyBorder="1"/>
    <xf numFmtId="49" fontId="9" fillId="0" borderId="2" xfId="0" applyNumberFormat="1" applyFont="1" applyFill="1" applyBorder="1" applyAlignment="1">
      <alignment horizontal="center" vertical="center" wrapText="1"/>
    </xf>
    <xf numFmtId="49" fontId="42" fillId="0" borderId="2" xfId="0" applyNumberFormat="1" applyFont="1" applyFill="1" applyBorder="1" applyAlignment="1">
      <alignment horizontal="center" vertical="center" wrapText="1"/>
    </xf>
    <xf numFmtId="49" fontId="42" fillId="0" borderId="9" xfId="0" applyNumberFormat="1" applyFont="1" applyFill="1" applyBorder="1" applyAlignment="1">
      <alignment horizontal="center" vertical="center" wrapText="1"/>
    </xf>
    <xf numFmtId="0" fontId="42" fillId="0" borderId="0" xfId="0" applyFont="1"/>
    <xf numFmtId="0" fontId="9" fillId="0" borderId="44" xfId="521" applyFont="1" applyBorder="1" applyAlignment="1">
      <alignment horizontal="center"/>
    </xf>
    <xf numFmtId="0" fontId="9" fillId="0" borderId="10" xfId="521" applyFont="1" applyBorder="1" applyAlignment="1">
      <alignment horizontal="center"/>
    </xf>
    <xf numFmtId="0" fontId="9" fillId="0" borderId="0" xfId="521" applyFont="1" applyAlignment="1">
      <alignment horizontal="center"/>
    </xf>
    <xf numFmtId="49" fontId="9" fillId="0" borderId="26" xfId="521" applyNumberFormat="1" applyFont="1" applyBorder="1" applyAlignment="1">
      <alignment horizontal="center"/>
    </xf>
    <xf numFmtId="2" fontId="9" fillId="0" borderId="26" xfId="521" applyNumberFormat="1" applyFont="1" applyBorder="1" applyAlignment="1">
      <alignment horizontal="center"/>
    </xf>
    <xf numFmtId="2" fontId="9" fillId="0" borderId="42" xfId="521" applyNumberFormat="1" applyFont="1" applyBorder="1" applyAlignment="1">
      <alignment horizontal="center"/>
    </xf>
    <xf numFmtId="0" fontId="9" fillId="0" borderId="26" xfId="521" applyNumberFormat="1" applyFont="1" applyBorder="1" applyAlignment="1">
      <alignment horizontal="center"/>
    </xf>
    <xf numFmtId="0" fontId="16" fillId="0" borderId="43" xfId="0" applyFont="1" applyBorder="1"/>
    <xf numFmtId="0" fontId="16" fillId="0" borderId="44" xfId="0" applyFont="1" applyBorder="1"/>
    <xf numFmtId="0" fontId="16" fillId="0" borderId="9" xfId="0" applyFont="1" applyBorder="1"/>
    <xf numFmtId="0" fontId="16" fillId="0" borderId="10" xfId="0" applyFont="1" applyBorder="1"/>
    <xf numFmtId="0" fontId="26" fillId="0" borderId="0" xfId="0" applyFont="1" applyFill="1" applyBorder="1"/>
    <xf numFmtId="0" fontId="44" fillId="0" borderId="28" xfId="0" applyFont="1" applyBorder="1" applyAlignment="1">
      <alignment horizontal="center" wrapText="1"/>
    </xf>
    <xf numFmtId="0" fontId="16" fillId="0" borderId="39" xfId="0" applyFont="1" applyBorder="1" applyAlignment="1">
      <alignment horizontal="center"/>
    </xf>
    <xf numFmtId="43" fontId="9" fillId="0" borderId="1" xfId="379" applyFont="1" applyFill="1" applyBorder="1"/>
    <xf numFmtId="1" fontId="42" fillId="33" borderId="8" xfId="0" applyNumberFormat="1" applyFont="1" applyFill="1" applyBorder="1" applyAlignment="1">
      <alignment horizontal="center"/>
    </xf>
    <xf numFmtId="167" fontId="9" fillId="0" borderId="26" xfId="0" applyNumberFormat="1" applyFont="1" applyBorder="1"/>
    <xf numFmtId="1" fontId="9" fillId="33" borderId="21" xfId="0" applyNumberFormat="1" applyFont="1" applyFill="1" applyBorder="1" applyAlignment="1">
      <alignment horizontal="center"/>
    </xf>
    <xf numFmtId="3" fontId="44" fillId="0" borderId="1" xfId="0" applyNumberFormat="1" applyFont="1" applyBorder="1" applyAlignment="1">
      <alignment horizontal="center" vertical="center" wrapText="1"/>
    </xf>
    <xf numFmtId="174" fontId="25" fillId="0" borderId="0" xfId="524" applyNumberFormat="1" applyFont="1"/>
    <xf numFmtId="175" fontId="25" fillId="0" borderId="0" xfId="524" applyNumberFormat="1" applyFont="1"/>
    <xf numFmtId="0" fontId="9" fillId="0" borderId="66" xfId="521" applyFont="1" applyBorder="1"/>
    <xf numFmtId="0" fontId="9" fillId="0" borderId="55" xfId="521" applyFont="1" applyBorder="1"/>
    <xf numFmtId="0" fontId="9" fillId="0" borderId="21" xfId="521" applyFont="1" applyBorder="1"/>
    <xf numFmtId="49" fontId="9" fillId="0" borderId="21" xfId="521" applyNumberFormat="1" applyFont="1" applyBorder="1"/>
    <xf numFmtId="0" fontId="9" fillId="0" borderId="17" xfId="521" applyFont="1" applyBorder="1"/>
    <xf numFmtId="0" fontId="9" fillId="0" borderId="22" xfId="521" applyFont="1" applyBorder="1"/>
    <xf numFmtId="176" fontId="25" fillId="0" borderId="0" xfId="379" applyNumberFormat="1" applyFont="1"/>
    <xf numFmtId="0" fontId="15" fillId="0" borderId="2" xfId="0" quotePrefix="1" applyFont="1" applyBorder="1" applyAlignment="1">
      <alignment horizontal="center" vertical="center" wrapText="1"/>
    </xf>
    <xf numFmtId="171" fontId="9" fillId="0" borderId="0" xfId="379" applyNumberFormat="1" applyFont="1" applyFill="1" applyBorder="1" applyAlignment="1">
      <alignment horizontal="center"/>
    </xf>
    <xf numFmtId="171" fontId="42" fillId="0" borderId="0" xfId="379" applyNumberFormat="1" applyFont="1" applyFill="1" applyBorder="1" applyAlignment="1">
      <alignment horizontal="center"/>
    </xf>
    <xf numFmtId="170" fontId="9" fillId="0" borderId="0" xfId="379" applyNumberFormat="1" applyFont="1" applyAlignment="1">
      <alignment horizontal="center"/>
    </xf>
    <xf numFmtId="170" fontId="9" fillId="0" borderId="0" xfId="379" applyNumberFormat="1" applyFont="1"/>
    <xf numFmtId="167" fontId="9" fillId="0" borderId="52" xfId="0" applyNumberFormat="1" applyFont="1" applyFill="1" applyBorder="1" applyAlignment="1">
      <alignment horizontal="center"/>
    </xf>
    <xf numFmtId="170" fontId="9" fillId="0" borderId="2" xfId="379" applyNumberFormat="1" applyFont="1" applyBorder="1"/>
    <xf numFmtId="0" fontId="9" fillId="0" borderId="8" xfId="0" applyFont="1" applyBorder="1"/>
    <xf numFmtId="167" fontId="9" fillId="0" borderId="11" xfId="0" applyNumberFormat="1" applyFont="1" applyFill="1" applyBorder="1" applyAlignment="1">
      <alignment horizontal="center"/>
    </xf>
    <xf numFmtId="0" fontId="16" fillId="0" borderId="1" xfId="0" applyFont="1" applyFill="1" applyBorder="1" applyAlignment="1" applyProtection="1">
      <alignment horizontal="center" wrapText="1"/>
      <protection locked="0"/>
    </xf>
    <xf numFmtId="0" fontId="9" fillId="0" borderId="0" xfId="0" applyFont="1" applyProtection="1">
      <protection locked="0"/>
    </xf>
    <xf numFmtId="0" fontId="9" fillId="0" borderId="0" xfId="0" applyFont="1" applyAlignment="1" applyProtection="1">
      <alignment horizontal="center"/>
      <protection locked="0"/>
    </xf>
    <xf numFmtId="0" fontId="24" fillId="0" borderId="0" xfId="0" applyFont="1" applyAlignment="1" applyProtection="1">
      <alignment horizontal="left"/>
      <protection locked="0"/>
    </xf>
    <xf numFmtId="0" fontId="9" fillId="0" borderId="0" xfId="0" applyFont="1" applyBorder="1" applyProtection="1">
      <protection locked="0"/>
    </xf>
    <xf numFmtId="0" fontId="9" fillId="0" borderId="1" xfId="0" applyFont="1" applyBorder="1" applyAlignment="1" applyProtection="1">
      <alignment horizontal="center"/>
      <protection locked="0"/>
    </xf>
    <xf numFmtId="49" fontId="9" fillId="0" borderId="1" xfId="0" applyNumberFormat="1" applyFont="1" applyBorder="1" applyAlignment="1" applyProtection="1">
      <alignment horizontal="center"/>
      <protection locked="0"/>
    </xf>
    <xf numFmtId="17" fontId="9" fillId="0" borderId="0" xfId="0" applyNumberFormat="1" applyFont="1" applyBorder="1" applyAlignment="1" applyProtection="1">
      <alignment horizontal="center"/>
      <protection locked="0"/>
    </xf>
    <xf numFmtId="49" fontId="9" fillId="0" borderId="1" xfId="0" applyNumberFormat="1" applyFont="1" applyBorder="1" applyAlignment="1" applyProtection="1">
      <alignment horizontal="center" wrapText="1"/>
      <protection locked="0"/>
    </xf>
    <xf numFmtId="0" fontId="16" fillId="33" borderId="1" xfId="0" applyFont="1" applyFill="1" applyBorder="1" applyAlignment="1" applyProtection="1">
      <alignment horizontal="center" wrapText="1"/>
      <protection locked="0"/>
    </xf>
    <xf numFmtId="0" fontId="56" fillId="0" borderId="0" xfId="0" applyFont="1" applyAlignment="1" applyProtection="1">
      <alignment horizontal="center"/>
      <protection locked="0"/>
    </xf>
    <xf numFmtId="0" fontId="55" fillId="0" borderId="0" xfId="0" applyFont="1" applyAlignment="1" applyProtection="1">
      <alignment horizontal="center"/>
      <protection locked="0"/>
    </xf>
    <xf numFmtId="0" fontId="55" fillId="0" borderId="1" xfId="0" applyFont="1" applyBorder="1" applyAlignment="1" applyProtection="1">
      <alignment horizontal="center"/>
      <protection locked="0"/>
    </xf>
    <xf numFmtId="167" fontId="9" fillId="0" borderId="30" xfId="0" applyNumberFormat="1" applyFont="1" applyBorder="1" applyAlignment="1">
      <alignment horizontal="center"/>
    </xf>
    <xf numFmtId="167" fontId="9" fillId="0" borderId="29" xfId="0" applyNumberFormat="1" applyFont="1" applyBorder="1" applyAlignment="1">
      <alignment horizontal="center"/>
    </xf>
    <xf numFmtId="0" fontId="0" fillId="0" borderId="0" xfId="0" applyProtection="1">
      <protection locked="0"/>
    </xf>
    <xf numFmtId="0" fontId="52" fillId="0" borderId="0" xfId="0" applyFont="1" applyBorder="1" applyAlignment="1" applyProtection="1">
      <alignment horizontal="left" vertical="center"/>
      <protection locked="0"/>
    </xf>
    <xf numFmtId="0" fontId="9" fillId="0" borderId="0" xfId="0" applyFont="1" applyFill="1" applyProtection="1">
      <protection locked="0"/>
    </xf>
    <xf numFmtId="17" fontId="9" fillId="0" borderId="23" xfId="0" applyNumberFormat="1" applyFont="1" applyBorder="1" applyAlignment="1" applyProtection="1">
      <alignment horizontal="center"/>
      <protection locked="0"/>
    </xf>
    <xf numFmtId="170" fontId="9" fillId="0" borderId="23" xfId="379" applyNumberFormat="1" applyFont="1" applyFill="1" applyBorder="1" applyAlignment="1" applyProtection="1">
      <alignment horizontal="center"/>
      <protection locked="0"/>
    </xf>
    <xf numFmtId="0" fontId="9" fillId="0" borderId="1" xfId="0" applyFont="1" applyFill="1" applyBorder="1" applyProtection="1">
      <protection locked="0"/>
    </xf>
    <xf numFmtId="43" fontId="9" fillId="0" borderId="1" xfId="379" applyFont="1" applyFill="1" applyBorder="1" applyProtection="1">
      <protection locked="0"/>
    </xf>
    <xf numFmtId="0" fontId="13" fillId="0" borderId="0" xfId="0" applyFont="1" applyProtection="1">
      <protection locked="0"/>
    </xf>
    <xf numFmtId="43" fontId="9" fillId="0" borderId="1" xfId="379" applyFont="1" applyBorder="1" applyAlignment="1" applyProtection="1">
      <alignment horizontal="center"/>
      <protection locked="0"/>
    </xf>
    <xf numFmtId="10" fontId="9" fillId="0" borderId="1" xfId="557" applyNumberFormat="1" applyFont="1" applyBorder="1" applyAlignment="1" applyProtection="1">
      <alignment horizontal="center"/>
      <protection locked="0"/>
    </xf>
    <xf numFmtId="0" fontId="17" fillId="0" borderId="0" xfId="0" applyFont="1" applyAlignment="1" applyProtection="1">
      <alignment horizontal="center"/>
      <protection locked="0"/>
    </xf>
    <xf numFmtId="0" fontId="17" fillId="0" borderId="0" xfId="0" quotePrefix="1" applyFont="1" applyAlignment="1" applyProtection="1">
      <alignment horizontal="center"/>
      <protection locked="0"/>
    </xf>
    <xf numFmtId="9" fontId="9" fillId="0" borderId="0" xfId="557" applyFont="1" applyProtection="1">
      <protection locked="0"/>
    </xf>
    <xf numFmtId="0" fontId="16" fillId="0" borderId="0" xfId="0" applyFont="1" applyProtection="1">
      <protection locked="0"/>
    </xf>
    <xf numFmtId="10" fontId="16" fillId="0" borderId="0" xfId="0" applyNumberFormat="1" applyFont="1" applyAlignment="1" applyProtection="1">
      <alignment horizontal="center"/>
      <protection locked="0"/>
    </xf>
    <xf numFmtId="0" fontId="18" fillId="0" borderId="0" xfId="0" applyFont="1" applyAlignment="1" applyProtection="1">
      <alignment horizontal="left" indent="1"/>
      <protection locked="0"/>
    </xf>
    <xf numFmtId="17" fontId="9" fillId="0" borderId="0" xfId="0" applyNumberFormat="1" applyFont="1" applyBorder="1" applyProtection="1">
      <protection locked="0"/>
    </xf>
    <xf numFmtId="9" fontId="9" fillId="0" borderId="0" xfId="0" applyNumberFormat="1" applyFont="1" applyProtection="1">
      <protection locked="0"/>
    </xf>
    <xf numFmtId="3" fontId="9" fillId="0" borderId="0" xfId="0" applyNumberFormat="1" applyFont="1"/>
    <xf numFmtId="0" fontId="16" fillId="0" borderId="19" xfId="0" applyFont="1" applyFill="1" applyBorder="1" applyAlignment="1">
      <alignment horizontal="center"/>
    </xf>
    <xf numFmtId="3" fontId="42" fillId="0" borderId="10" xfId="0" applyNumberFormat="1" applyFont="1" applyBorder="1" applyAlignment="1">
      <alignment horizontal="center" vertical="center" wrapText="1"/>
    </xf>
    <xf numFmtId="3" fontId="42" fillId="0" borderId="1" xfId="0" applyNumberFormat="1" applyFont="1" applyBorder="1" applyAlignment="1">
      <alignment horizontal="center" vertical="center" wrapText="1"/>
    </xf>
    <xf numFmtId="3" fontId="42" fillId="0" borderId="50" xfId="0" applyNumberFormat="1" applyFont="1" applyBorder="1" applyAlignment="1">
      <alignment horizontal="center" vertical="center" wrapText="1"/>
    </xf>
    <xf numFmtId="0" fontId="44" fillId="0" borderId="23" xfId="0" applyFont="1" applyBorder="1" applyAlignment="1">
      <alignment horizontal="center" vertical="center" wrapText="1"/>
    </xf>
    <xf numFmtId="3" fontId="42" fillId="0" borderId="1" xfId="0" applyNumberFormat="1" applyFont="1" applyBorder="1" applyAlignment="1">
      <alignment horizontal="center" vertical="center" wrapText="1"/>
    </xf>
    <xf numFmtId="1" fontId="42" fillId="33" borderId="51" xfId="0" applyNumberFormat="1" applyFont="1" applyFill="1" applyBorder="1" applyAlignment="1">
      <alignment horizontal="center"/>
    </xf>
    <xf numFmtId="1" fontId="42" fillId="33" borderId="67" xfId="0" applyNumberFormat="1" applyFont="1" applyFill="1" applyBorder="1" applyAlignment="1">
      <alignment horizontal="center"/>
    </xf>
    <xf numFmtId="0" fontId="9" fillId="0" borderId="39" xfId="0" applyFont="1" applyFill="1" applyBorder="1" applyAlignment="1">
      <alignment horizontal="left"/>
    </xf>
    <xf numFmtId="2" fontId="42" fillId="0" borderId="42" xfId="0" applyNumberFormat="1" applyFont="1" applyFill="1" applyBorder="1" applyAlignment="1">
      <alignment horizontal="center"/>
    </xf>
    <xf numFmtId="0" fontId="9" fillId="0" borderId="66" xfId="0" applyFont="1" applyFill="1" applyBorder="1" applyAlignment="1">
      <alignment horizontal="left"/>
    </xf>
    <xf numFmtId="0" fontId="9" fillId="0" borderId="26" xfId="0" applyFont="1" applyFill="1" applyBorder="1" applyAlignment="1">
      <alignment horizontal="center"/>
    </xf>
    <xf numFmtId="0" fontId="16" fillId="36" borderId="72" xfId="0" applyFont="1" applyFill="1" applyBorder="1" applyAlignment="1">
      <alignment horizontal="center"/>
    </xf>
    <xf numFmtId="0" fontId="16" fillId="36" borderId="73" xfId="0" applyFont="1" applyFill="1" applyBorder="1" applyAlignment="1">
      <alignment horizontal="center"/>
    </xf>
    <xf numFmtId="49" fontId="9" fillId="36" borderId="71" xfId="0" applyNumberFormat="1" applyFont="1" applyFill="1" applyBorder="1" applyAlignment="1">
      <alignment wrapText="1"/>
    </xf>
    <xf numFmtId="167" fontId="9" fillId="0" borderId="10" xfId="0" applyNumberFormat="1" applyFont="1" applyFill="1" applyBorder="1" applyAlignment="1">
      <alignment horizontal="center"/>
    </xf>
    <xf numFmtId="170" fontId="9" fillId="0" borderId="26" xfId="379" applyNumberFormat="1" applyFont="1" applyBorder="1"/>
    <xf numFmtId="170" fontId="9" fillId="0" borderId="1" xfId="379" applyNumberFormat="1" applyFont="1" applyBorder="1" applyAlignment="1">
      <alignment horizontal="center"/>
    </xf>
    <xf numFmtId="170" fontId="9" fillId="0" borderId="10" xfId="379" applyNumberFormat="1" applyFont="1" applyFill="1" applyBorder="1" applyAlignment="1">
      <alignment horizontal="center"/>
    </xf>
    <xf numFmtId="170" fontId="15" fillId="0" borderId="1" xfId="379" applyNumberFormat="1" applyFont="1" applyBorder="1" applyAlignment="1">
      <alignment horizontal="center"/>
    </xf>
    <xf numFmtId="170" fontId="9" fillId="33" borderId="1" xfId="379" applyNumberFormat="1" applyFont="1" applyFill="1" applyBorder="1" applyAlignment="1">
      <alignment horizontal="center"/>
    </xf>
    <xf numFmtId="170" fontId="9" fillId="33" borderId="10" xfId="379" applyNumberFormat="1" applyFont="1" applyFill="1" applyBorder="1" applyAlignment="1">
      <alignment horizontal="center"/>
    </xf>
    <xf numFmtId="170" fontId="9" fillId="0" borderId="0" xfId="0" applyNumberFormat="1" applyFont="1"/>
    <xf numFmtId="0" fontId="9" fillId="0" borderId="70" xfId="0" applyFont="1" applyBorder="1" applyAlignment="1">
      <alignment horizontal="center"/>
    </xf>
    <xf numFmtId="0" fontId="0" fillId="0" borderId="68" xfId="0" applyBorder="1"/>
    <xf numFmtId="0" fontId="64" fillId="0" borderId="0" xfId="0" applyFont="1" applyBorder="1"/>
    <xf numFmtId="0" fontId="65" fillId="0" borderId="50" xfId="0" applyFont="1" applyBorder="1"/>
    <xf numFmtId="0" fontId="65" fillId="0" borderId="54" xfId="0" applyFont="1" applyFill="1" applyBorder="1"/>
    <xf numFmtId="3" fontId="42" fillId="0" borderId="1" xfId="0" applyNumberFormat="1" applyFont="1" applyBorder="1" applyAlignment="1">
      <alignment horizontal="center" vertical="center" wrapText="1"/>
    </xf>
    <xf numFmtId="0" fontId="9" fillId="0" borderId="26" xfId="0" applyFont="1" applyBorder="1" applyAlignment="1">
      <alignment horizontal="center"/>
    </xf>
    <xf numFmtId="49" fontId="42" fillId="0" borderId="9" xfId="0" applyNumberFormat="1" applyFont="1" applyBorder="1" applyAlignment="1">
      <alignment horizontal="center" vertical="center" wrapText="1"/>
    </xf>
    <xf numFmtId="3" fontId="44" fillId="0" borderId="28" xfId="0" applyNumberFormat="1" applyFont="1" applyBorder="1" applyAlignment="1">
      <alignment horizontal="center" vertical="center" wrapText="1"/>
    </xf>
    <xf numFmtId="0" fontId="9" fillId="0" borderId="74" xfId="0" applyFont="1" applyBorder="1"/>
    <xf numFmtId="2" fontId="9" fillId="0" borderId="0" xfId="379" applyNumberFormat="1" applyFont="1" applyFill="1" applyBorder="1" applyAlignment="1" applyProtection="1">
      <alignment horizontal="center"/>
      <protection locked="0"/>
    </xf>
    <xf numFmtId="0" fontId="16" fillId="0" borderId="0" xfId="0" applyFont="1" applyFill="1" applyAlignment="1" applyProtection="1">
      <alignment horizontal="center" vertical="center"/>
      <protection locked="0"/>
    </xf>
    <xf numFmtId="0" fontId="55" fillId="0" borderId="1" xfId="0" applyFont="1" applyBorder="1" applyAlignment="1">
      <alignment horizontal="center"/>
    </xf>
    <xf numFmtId="169" fontId="15" fillId="0" borderId="52" xfId="0" applyNumberFormat="1" applyFont="1" applyBorder="1" applyAlignment="1">
      <alignment horizontal="center" vertical="center" wrapText="1"/>
    </xf>
    <xf numFmtId="0" fontId="55" fillId="0" borderId="15" xfId="0" applyFont="1" applyBorder="1" applyAlignment="1"/>
    <xf numFmtId="0" fontId="55" fillId="0" borderId="16" xfId="0" applyFont="1" applyBorder="1" applyAlignment="1"/>
    <xf numFmtId="0" fontId="9" fillId="0" borderId="0" xfId="0" applyFont="1" applyAlignment="1">
      <alignment horizontal="center" wrapText="1"/>
    </xf>
    <xf numFmtId="0" fontId="81" fillId="0" borderId="0" xfId="0" applyFont="1" applyAlignment="1">
      <alignment horizontal="left"/>
    </xf>
    <xf numFmtId="172" fontId="9" fillId="0" borderId="0" xfId="383" applyNumberFormat="1" applyFont="1" applyFill="1" applyBorder="1" applyAlignment="1"/>
    <xf numFmtId="0" fontId="55" fillId="0" borderId="39" xfId="0" applyFont="1" applyBorder="1" applyAlignment="1">
      <alignment horizontal="center" wrapText="1"/>
    </xf>
    <xf numFmtId="0" fontId="55" fillId="0" borderId="42" xfId="0" applyFont="1" applyBorder="1" applyAlignment="1">
      <alignment horizontal="center" wrapText="1"/>
    </xf>
    <xf numFmtId="3" fontId="55" fillId="0" borderId="30" xfId="0" applyNumberFormat="1" applyFont="1" applyBorder="1" applyAlignment="1">
      <alignment horizontal="center" vertical="center" wrapText="1"/>
    </xf>
    <xf numFmtId="3" fontId="55" fillId="0" borderId="8" xfId="0" applyNumberFormat="1" applyFont="1" applyBorder="1" applyAlignment="1">
      <alignment horizontal="center" vertical="center" wrapText="1"/>
    </xf>
    <xf numFmtId="0" fontId="55" fillId="0" borderId="51" xfId="0" applyFont="1" applyBorder="1" applyAlignment="1"/>
    <xf numFmtId="0" fontId="55" fillId="0" borderId="67" xfId="0" applyFont="1" applyBorder="1" applyAlignment="1"/>
    <xf numFmtId="3" fontId="55" fillId="0" borderId="55" xfId="0" applyNumberFormat="1" applyFont="1" applyBorder="1" applyAlignment="1">
      <alignment horizontal="center" vertical="center" wrapText="1"/>
    </xf>
    <xf numFmtId="3" fontId="55" fillId="0" borderId="21" xfId="0" applyNumberFormat="1" applyFont="1" applyBorder="1" applyAlignment="1">
      <alignment horizontal="center" vertical="center" wrapText="1"/>
    </xf>
    <xf numFmtId="3" fontId="55" fillId="0" borderId="22" xfId="0" applyNumberFormat="1" applyFont="1" applyBorder="1" applyAlignment="1">
      <alignment horizontal="center" vertical="center" wrapText="1"/>
    </xf>
    <xf numFmtId="49" fontId="55" fillId="0" borderId="1" xfId="0" applyNumberFormat="1" applyFont="1" applyBorder="1" applyAlignment="1">
      <alignment horizontal="center"/>
    </xf>
    <xf numFmtId="0" fontId="44" fillId="0" borderId="50" xfId="0" applyFont="1" applyFill="1" applyBorder="1" applyAlignment="1">
      <alignment horizontal="center" vertical="center" wrapText="1"/>
    </xf>
    <xf numFmtId="3" fontId="15" fillId="0" borderId="50" xfId="0" applyNumberFormat="1" applyFont="1" applyBorder="1" applyAlignment="1">
      <alignment horizontal="center" vertical="center" wrapText="1"/>
    </xf>
    <xf numFmtId="0" fontId="9" fillId="0" borderId="56" xfId="0" applyFont="1" applyBorder="1" applyAlignment="1">
      <alignment horizontal="center"/>
    </xf>
    <xf numFmtId="49" fontId="55" fillId="0" borderId="55" xfId="0" applyNumberFormat="1" applyFont="1" applyBorder="1" applyAlignment="1">
      <alignment horizontal="center"/>
    </xf>
    <xf numFmtId="49" fontId="55" fillId="0" borderId="21" xfId="0" applyNumberFormat="1" applyFont="1" applyBorder="1" applyAlignment="1">
      <alignment horizontal="center"/>
    </xf>
    <xf numFmtId="49" fontId="55" fillId="0" borderId="17" xfId="0" applyNumberFormat="1" applyFont="1" applyBorder="1" applyAlignment="1">
      <alignment horizontal="center"/>
    </xf>
    <xf numFmtId="0" fontId="53" fillId="0" borderId="37" xfId="636" applyFont="1" applyFill="1" applyBorder="1" applyAlignment="1">
      <alignment horizontal="center" vertical="center" wrapText="1"/>
    </xf>
    <xf numFmtId="43" fontId="15" fillId="0" borderId="1" xfId="379" applyFont="1" applyBorder="1" applyAlignment="1">
      <alignment horizontal="center" vertical="center" wrapText="1"/>
    </xf>
    <xf numFmtId="0" fontId="44" fillId="0" borderId="13" xfId="0" applyFont="1" applyFill="1" applyBorder="1" applyAlignment="1">
      <alignment horizontal="center" vertical="center" wrapText="1"/>
    </xf>
    <xf numFmtId="1" fontId="9" fillId="0" borderId="10" xfId="0" applyNumberFormat="1" applyFont="1" applyBorder="1" applyAlignment="1">
      <alignment horizontal="center"/>
    </xf>
    <xf numFmtId="3" fontId="55" fillId="0" borderId="56" xfId="0" applyNumberFormat="1" applyFont="1" applyBorder="1" applyAlignment="1">
      <alignment horizontal="center" vertical="center" wrapText="1"/>
    </xf>
    <xf numFmtId="3" fontId="55" fillId="0" borderId="50" xfId="0" applyNumberFormat="1" applyFont="1" applyBorder="1" applyAlignment="1">
      <alignment horizontal="center" vertical="center" wrapText="1"/>
    </xf>
    <xf numFmtId="173" fontId="9" fillId="0" borderId="8" xfId="379" applyNumberFormat="1" applyFont="1" applyFill="1" applyBorder="1" applyAlignment="1"/>
    <xf numFmtId="1" fontId="9" fillId="0" borderId="1" xfId="0" applyNumberFormat="1" applyFont="1" applyBorder="1" applyAlignment="1">
      <alignment horizontal="center"/>
    </xf>
    <xf numFmtId="43" fontId="9" fillId="0" borderId="1" xfId="0" applyNumberFormat="1" applyFont="1" applyBorder="1" applyAlignment="1">
      <alignment horizontal="center"/>
    </xf>
    <xf numFmtId="170" fontId="9" fillId="0" borderId="8" xfId="379" applyNumberFormat="1" applyFont="1" applyBorder="1" applyAlignment="1">
      <alignment horizontal="center"/>
    </xf>
    <xf numFmtId="170" fontId="9" fillId="0" borderId="11" xfId="379" applyNumberFormat="1" applyFont="1" applyBorder="1" applyAlignment="1">
      <alignment horizontal="center"/>
    </xf>
    <xf numFmtId="0" fontId="9" fillId="0" borderId="19" xfId="0" applyFont="1" applyBorder="1" applyAlignment="1">
      <alignment horizontal="center" wrapText="1"/>
    </xf>
    <xf numFmtId="0" fontId="9" fillId="0" borderId="12" xfId="0" applyFont="1" applyBorder="1" applyAlignment="1">
      <alignment horizontal="center" wrapText="1"/>
    </xf>
    <xf numFmtId="0" fontId="9" fillId="0" borderId="13" xfId="0" applyFont="1" applyBorder="1" applyAlignment="1">
      <alignment horizontal="center" wrapText="1"/>
    </xf>
    <xf numFmtId="176" fontId="9" fillId="0" borderId="50" xfId="0" applyNumberFormat="1" applyFont="1" applyBorder="1" applyAlignment="1">
      <alignment horizontal="center"/>
    </xf>
    <xf numFmtId="176" fontId="9" fillId="0" borderId="56" xfId="0" applyNumberFormat="1" applyFont="1" applyBorder="1" applyAlignment="1">
      <alignment horizontal="center"/>
    </xf>
    <xf numFmtId="170" fontId="9" fillId="0" borderId="21" xfId="379" applyNumberFormat="1" applyFont="1" applyBorder="1" applyAlignment="1">
      <alignment horizontal="center"/>
    </xf>
    <xf numFmtId="170" fontId="9" fillId="0" borderId="22" xfId="379" applyNumberFormat="1" applyFont="1" applyBorder="1" applyAlignment="1">
      <alignment horizontal="center"/>
    </xf>
    <xf numFmtId="0" fontId="9" fillId="0" borderId="36" xfId="0" applyFont="1" applyBorder="1" applyAlignment="1">
      <alignment horizontal="center" wrapText="1"/>
    </xf>
    <xf numFmtId="3" fontId="9" fillId="0" borderId="0" xfId="0" applyNumberFormat="1" applyFont="1" applyAlignment="1">
      <alignment horizontal="center"/>
    </xf>
    <xf numFmtId="0" fontId="84" fillId="0" borderId="0" xfId="0" applyFont="1" applyAlignment="1">
      <alignment horizontal="left"/>
    </xf>
    <xf numFmtId="1" fontId="44" fillId="0" borderId="2" xfId="0" applyNumberFormat="1" applyFont="1" applyBorder="1" applyAlignment="1">
      <alignment horizontal="center" vertical="center" wrapText="1"/>
    </xf>
    <xf numFmtId="0" fontId="44" fillId="0" borderId="19" xfId="0" applyFont="1" applyBorder="1" applyAlignment="1">
      <alignment horizontal="center" vertical="center" wrapText="1"/>
    </xf>
    <xf numFmtId="0" fontId="44" fillId="0" borderId="12" xfId="0" applyFont="1" applyBorder="1" applyAlignment="1">
      <alignment horizontal="center" vertical="center" wrapText="1"/>
    </xf>
    <xf numFmtId="0" fontId="85" fillId="0" borderId="80" xfId="0" applyFont="1" applyBorder="1"/>
    <xf numFmtId="0" fontId="85" fillId="0" borderId="81" xfId="0" quotePrefix="1" applyFont="1" applyBorder="1"/>
    <xf numFmtId="0" fontId="85" fillId="0" borderId="81" xfId="0" applyFont="1" applyBorder="1"/>
    <xf numFmtId="0" fontId="65" fillId="0" borderId="81" xfId="0" applyFont="1" applyBorder="1"/>
    <xf numFmtId="0" fontId="65" fillId="0" borderId="17" xfId="0" applyFont="1" applyBorder="1"/>
    <xf numFmtId="0" fontId="85" fillId="0" borderId="82" xfId="0" applyFont="1" applyBorder="1"/>
    <xf numFmtId="0" fontId="85" fillId="0" borderId="0" xfId="0" quotePrefix="1" applyFont="1" applyBorder="1"/>
    <xf numFmtId="0" fontId="85" fillId="0" borderId="0" xfId="0" applyFont="1" applyBorder="1"/>
    <xf numFmtId="0" fontId="65" fillId="0" borderId="0" xfId="0" applyFont="1" applyBorder="1"/>
    <xf numFmtId="0" fontId="65" fillId="0" borderId="68" xfId="0" applyFont="1" applyBorder="1"/>
    <xf numFmtId="0" fontId="85" fillId="0" borderId="54" xfId="0" applyFont="1" applyBorder="1"/>
    <xf numFmtId="0" fontId="85" fillId="0" borderId="70" xfId="0" quotePrefix="1" applyFont="1" applyBorder="1"/>
    <xf numFmtId="0" fontId="85" fillId="0" borderId="70" xfId="0" applyFont="1" applyBorder="1"/>
    <xf numFmtId="0" fontId="65" fillId="0" borderId="70" xfId="0" applyFont="1" applyBorder="1"/>
    <xf numFmtId="0" fontId="65" fillId="0" borderId="55" xfId="0" applyFont="1" applyBorder="1"/>
    <xf numFmtId="0" fontId="53" fillId="0" borderId="36" xfId="636" applyFont="1" applyFill="1" applyBorder="1" applyAlignment="1">
      <alignment horizontal="center" vertical="center" wrapText="1"/>
    </xf>
    <xf numFmtId="43" fontId="44" fillId="0" borderId="50" xfId="379" applyFont="1" applyBorder="1" applyAlignment="1">
      <alignment horizontal="center" vertical="center" wrapText="1"/>
    </xf>
    <xf numFmtId="172" fontId="9" fillId="0" borderId="8" xfId="383" applyNumberFormat="1" applyFont="1" applyFill="1" applyBorder="1" applyAlignment="1"/>
    <xf numFmtId="43" fontId="9" fillId="0" borderId="10" xfId="0" applyNumberFormat="1" applyFont="1" applyBorder="1" applyAlignment="1">
      <alignment horizontal="center"/>
    </xf>
    <xf numFmtId="176" fontId="44" fillId="0" borderId="1" xfId="379" applyNumberFormat="1" applyFont="1" applyBorder="1" applyAlignment="1">
      <alignment horizontal="center" vertical="center" wrapText="1"/>
    </xf>
    <xf numFmtId="0" fontId="53" fillId="0" borderId="35" xfId="636" applyFont="1" applyBorder="1" applyAlignment="1">
      <alignment horizontal="center" vertical="center" wrapText="1"/>
    </xf>
    <xf numFmtId="172" fontId="9" fillId="0" borderId="11" xfId="383" applyNumberFormat="1" applyFont="1" applyFill="1" applyBorder="1" applyAlignment="1"/>
    <xf numFmtId="177" fontId="15" fillId="0" borderId="1" xfId="0" applyNumberFormat="1" applyFont="1" applyBorder="1" applyAlignment="1">
      <alignment horizontal="center" vertical="center" wrapText="1"/>
    </xf>
    <xf numFmtId="176" fontId="15" fillId="0" borderId="1" xfId="379" applyNumberFormat="1" applyFont="1" applyBorder="1" applyAlignment="1">
      <alignment horizontal="center" vertical="center" wrapText="1"/>
    </xf>
    <xf numFmtId="0" fontId="25" fillId="0" borderId="0" xfId="524" applyFont="1"/>
    <xf numFmtId="10" fontId="9" fillId="0" borderId="0" xfId="559" applyNumberFormat="1" applyFont="1" applyBorder="1"/>
    <xf numFmtId="0" fontId="41" fillId="0" borderId="0" xfId="524" applyFont="1" applyBorder="1" applyAlignment="1">
      <alignment vertical="top" wrapText="1"/>
    </xf>
    <xf numFmtId="0" fontId="50" fillId="0" borderId="0" xfId="524" applyFont="1" applyBorder="1" applyAlignment="1">
      <alignment vertical="top" wrapText="1"/>
    </xf>
    <xf numFmtId="170" fontId="9" fillId="0" borderId="23" xfId="379" applyNumberFormat="1" applyFont="1" applyFill="1" applyBorder="1" applyAlignment="1">
      <alignment horizontal="center"/>
    </xf>
    <xf numFmtId="170" fontId="9" fillId="0" borderId="30" xfId="379" applyNumberFormat="1" applyFont="1" applyFill="1" applyBorder="1" applyAlignment="1">
      <alignment horizontal="center"/>
    </xf>
    <xf numFmtId="170" fontId="9" fillId="0" borderId="1" xfId="379" applyNumberFormat="1" applyFont="1" applyFill="1" applyBorder="1" applyAlignment="1">
      <alignment horizontal="center"/>
    </xf>
    <xf numFmtId="170" fontId="9" fillId="0" borderId="8" xfId="379" applyNumberFormat="1" applyFont="1" applyFill="1" applyBorder="1" applyAlignment="1">
      <alignment horizontal="center"/>
    </xf>
    <xf numFmtId="170" fontId="9" fillId="0" borderId="33" xfId="379" applyNumberFormat="1" applyFont="1" applyFill="1" applyBorder="1" applyAlignment="1">
      <alignment horizontal="center"/>
    </xf>
    <xf numFmtId="170" fontId="9" fillId="0" borderId="44" xfId="379" applyNumberFormat="1" applyFont="1" applyFill="1" applyBorder="1" applyAlignment="1">
      <alignment horizontal="center"/>
    </xf>
    <xf numFmtId="170" fontId="42" fillId="0" borderId="44" xfId="379" applyNumberFormat="1" applyFont="1" applyFill="1" applyBorder="1" applyAlignment="1">
      <alignment horizontal="center"/>
    </xf>
    <xf numFmtId="170" fontId="16" fillId="0" borderId="44" xfId="379" applyNumberFormat="1" applyFont="1" applyFill="1" applyBorder="1" applyAlignment="1">
      <alignment horizontal="center"/>
    </xf>
    <xf numFmtId="170" fontId="16" fillId="0" borderId="18" xfId="379" applyNumberFormat="1" applyFont="1" applyFill="1" applyBorder="1" applyAlignment="1">
      <alignment horizontal="center"/>
    </xf>
    <xf numFmtId="170" fontId="16" fillId="0" borderId="10" xfId="379" applyNumberFormat="1" applyFont="1" applyFill="1" applyBorder="1" applyAlignment="1">
      <alignment horizontal="center"/>
    </xf>
    <xf numFmtId="170" fontId="16" fillId="0" borderId="11" xfId="379" applyNumberFormat="1" applyFont="1" applyFill="1" applyBorder="1" applyAlignment="1">
      <alignment horizontal="center"/>
    </xf>
    <xf numFmtId="170" fontId="9" fillId="0" borderId="2" xfId="379" applyNumberFormat="1" applyFont="1" applyBorder="1"/>
    <xf numFmtId="170" fontId="9" fillId="0" borderId="9" xfId="379" applyNumberFormat="1" applyFont="1" applyBorder="1"/>
    <xf numFmtId="2" fontId="9" fillId="0" borderId="23" xfId="379" applyNumberFormat="1" applyFont="1" applyFill="1" applyBorder="1" applyAlignment="1" applyProtection="1">
      <alignment horizontal="center"/>
      <protection locked="0"/>
    </xf>
    <xf numFmtId="0" fontId="53" fillId="0" borderId="12" xfId="636" applyFont="1" applyFill="1" applyBorder="1" applyAlignment="1">
      <alignment horizontal="center" vertical="center" wrapText="1"/>
    </xf>
    <xf numFmtId="0" fontId="53" fillId="0" borderId="13" xfId="636" applyFont="1" applyFill="1" applyBorder="1" applyAlignment="1">
      <alignment horizontal="center" vertical="center" wrapText="1"/>
    </xf>
    <xf numFmtId="0" fontId="53" fillId="0" borderId="19" xfId="636" applyFont="1" applyBorder="1" applyAlignment="1">
      <alignment horizontal="center" vertical="center" wrapText="1"/>
    </xf>
    <xf numFmtId="0" fontId="16" fillId="0" borderId="17" xfId="0" applyFont="1" applyBorder="1"/>
    <xf numFmtId="0" fontId="16" fillId="0" borderId="22" xfId="0" applyFont="1" applyBorder="1"/>
    <xf numFmtId="170" fontId="9" fillId="0" borderId="1" xfId="379" applyNumberFormat="1" applyFont="1" applyFill="1" applyBorder="1" applyAlignment="1">
      <alignment horizontal="right"/>
    </xf>
    <xf numFmtId="170" fontId="42" fillId="0" borderId="1" xfId="379" applyNumberFormat="1" applyFont="1" applyFill="1" applyBorder="1" applyAlignment="1">
      <alignment horizontal="right"/>
    </xf>
    <xf numFmtId="170" fontId="42" fillId="0" borderId="8" xfId="379" applyNumberFormat="1" applyFont="1" applyFill="1" applyBorder="1" applyAlignment="1">
      <alignment horizontal="right"/>
    </xf>
    <xf numFmtId="170" fontId="9" fillId="0" borderId="44" xfId="379" applyNumberFormat="1" applyFont="1" applyFill="1" applyBorder="1" applyAlignment="1">
      <alignment horizontal="right"/>
    </xf>
    <xf numFmtId="170" fontId="42" fillId="0" borderId="44" xfId="379" applyNumberFormat="1" applyFont="1" applyFill="1" applyBorder="1" applyAlignment="1">
      <alignment horizontal="right"/>
    </xf>
    <xf numFmtId="170" fontId="42" fillId="0" borderId="18" xfId="379" applyNumberFormat="1" applyFont="1" applyFill="1" applyBorder="1" applyAlignment="1">
      <alignment horizontal="right"/>
    </xf>
    <xf numFmtId="170" fontId="16" fillId="0" borderId="44" xfId="379" applyNumberFormat="1" applyFont="1" applyFill="1" applyBorder="1" applyAlignment="1">
      <alignment horizontal="right"/>
    </xf>
    <xf numFmtId="170" fontId="16" fillId="0" borderId="18" xfId="379" applyNumberFormat="1" applyFont="1" applyFill="1" applyBorder="1" applyAlignment="1">
      <alignment horizontal="right"/>
    </xf>
    <xf numFmtId="43" fontId="16" fillId="0" borderId="44" xfId="379" applyNumberFormat="1" applyFont="1" applyFill="1" applyBorder="1" applyAlignment="1">
      <alignment horizontal="right"/>
    </xf>
    <xf numFmtId="170" fontId="16" fillId="0" borderId="10" xfId="379" applyNumberFormat="1" applyFont="1" applyFill="1" applyBorder="1" applyAlignment="1">
      <alignment horizontal="right"/>
    </xf>
    <xf numFmtId="170" fontId="16" fillId="0" borderId="11" xfId="379" applyNumberFormat="1" applyFont="1" applyFill="1" applyBorder="1" applyAlignment="1">
      <alignment horizontal="right"/>
    </xf>
    <xf numFmtId="49" fontId="9" fillId="62" borderId="26" xfId="0" applyNumberFormat="1" applyFont="1" applyFill="1" applyBorder="1" applyAlignment="1">
      <alignment horizontal="center"/>
    </xf>
    <xf numFmtId="49" fontId="9" fillId="62" borderId="42" xfId="0" applyNumberFormat="1" applyFont="1" applyFill="1" applyBorder="1" applyAlignment="1">
      <alignment horizontal="center"/>
    </xf>
    <xf numFmtId="0" fontId="9" fillId="62" borderId="26" xfId="0" applyFont="1" applyFill="1" applyBorder="1" applyAlignment="1">
      <alignment horizontal="center"/>
    </xf>
    <xf numFmtId="2" fontId="9" fillId="0" borderId="7" xfId="0" applyNumberFormat="1" applyFont="1" applyBorder="1"/>
    <xf numFmtId="2" fontId="9" fillId="0" borderId="2" xfId="0" applyNumberFormat="1" applyFont="1" applyBorder="1"/>
    <xf numFmtId="0" fontId="50" fillId="0" borderId="0" xfId="524" applyFont="1" applyAlignment="1">
      <alignment horizontal="center" vertical="center"/>
    </xf>
    <xf numFmtId="2" fontId="9" fillId="0" borderId="7" xfId="521" applyNumberFormat="1" applyFont="1" applyBorder="1"/>
    <xf numFmtId="2" fontId="9" fillId="0" borderId="2" xfId="521" applyNumberFormat="1" applyFont="1" applyBorder="1"/>
    <xf numFmtId="2" fontId="9" fillId="0" borderId="43" xfId="521" applyNumberFormat="1" applyFont="1" applyBorder="1"/>
    <xf numFmtId="49" fontId="9" fillId="0" borderId="42" xfId="521" applyNumberFormat="1" applyFont="1" applyBorder="1" applyAlignment="1">
      <alignment horizontal="center"/>
    </xf>
    <xf numFmtId="2" fontId="9" fillId="0" borderId="19" xfId="521" applyNumberFormat="1" applyFont="1" applyBorder="1"/>
    <xf numFmtId="0" fontId="9" fillId="0" borderId="20" xfId="521" applyFont="1" applyBorder="1"/>
    <xf numFmtId="0" fontId="9" fillId="0" borderId="12" xfId="521" applyFont="1" applyBorder="1" applyAlignment="1">
      <alignment horizontal="center"/>
    </xf>
    <xf numFmtId="170" fontId="9" fillId="0" borderId="18" xfId="379" applyNumberFormat="1" applyFont="1" applyFill="1" applyBorder="1" applyAlignment="1">
      <alignment horizontal="center"/>
    </xf>
    <xf numFmtId="170" fontId="25" fillId="0" borderId="12" xfId="379" applyNumberFormat="1" applyFont="1" applyBorder="1"/>
    <xf numFmtId="170" fontId="25" fillId="0" borderId="13" xfId="379" applyNumberFormat="1" applyFont="1" applyBorder="1"/>
    <xf numFmtId="170" fontId="25" fillId="0" borderId="1" xfId="379" applyNumberFormat="1" applyFont="1" applyBorder="1"/>
    <xf numFmtId="170" fontId="25" fillId="0" borderId="8" xfId="379" applyNumberFormat="1" applyFont="1" applyBorder="1"/>
    <xf numFmtId="170" fontId="9" fillId="0" borderId="11" xfId="379" applyNumberFormat="1" applyFont="1" applyFill="1" applyBorder="1" applyAlignment="1">
      <alignment horizontal="center"/>
    </xf>
    <xf numFmtId="3" fontId="9" fillId="0" borderId="1" xfId="558" applyNumberFormat="1" applyFont="1" applyFill="1" applyBorder="1" applyAlignment="1">
      <alignment horizontal="center"/>
    </xf>
    <xf numFmtId="3" fontId="9" fillId="0" borderId="1" xfId="379" applyNumberFormat="1" applyFont="1" applyFill="1" applyBorder="1" applyAlignment="1">
      <alignment horizontal="center"/>
    </xf>
    <xf numFmtId="3" fontId="9" fillId="0" borderId="10" xfId="558" applyNumberFormat="1" applyFont="1" applyFill="1" applyBorder="1" applyAlignment="1">
      <alignment horizontal="center"/>
    </xf>
    <xf numFmtId="0" fontId="9" fillId="0" borderId="39" xfId="521" applyFont="1" applyBorder="1" applyAlignment="1">
      <alignment horizontal="center" wrapText="1"/>
    </xf>
    <xf numFmtId="0" fontId="9" fillId="0" borderId="26" xfId="521" applyFont="1" applyBorder="1" applyAlignment="1">
      <alignment horizontal="center" wrapText="1"/>
    </xf>
    <xf numFmtId="0" fontId="9" fillId="0" borderId="69" xfId="521" applyFont="1" applyBorder="1" applyAlignment="1">
      <alignment horizontal="center" wrapText="1"/>
    </xf>
    <xf numFmtId="3" fontId="42" fillId="0" borderId="50" xfId="379" applyNumberFormat="1" applyFont="1" applyFill="1" applyBorder="1" applyAlignment="1">
      <alignment horizontal="center"/>
    </xf>
    <xf numFmtId="3" fontId="42" fillId="0" borderId="56" xfId="379" applyNumberFormat="1" applyFont="1" applyFill="1" applyBorder="1" applyAlignment="1">
      <alignment horizontal="center"/>
    </xf>
    <xf numFmtId="0" fontId="9" fillId="0" borderId="26" xfId="521" applyFont="1" applyFill="1" applyBorder="1" applyAlignment="1">
      <alignment horizontal="center" wrapText="1"/>
    </xf>
    <xf numFmtId="0" fontId="9" fillId="0" borderId="42" xfId="521" applyFont="1" applyFill="1" applyBorder="1" applyAlignment="1">
      <alignment horizontal="center" wrapText="1"/>
    </xf>
    <xf numFmtId="0" fontId="9" fillId="0" borderId="36" xfId="521" applyFont="1" applyFill="1" applyBorder="1" applyAlignment="1">
      <alignment horizontal="center" wrapText="1"/>
    </xf>
    <xf numFmtId="10" fontId="9" fillId="0" borderId="19" xfId="558" applyNumberFormat="1" applyFont="1" applyFill="1" applyBorder="1" applyAlignment="1">
      <alignment horizontal="center"/>
    </xf>
    <xf numFmtId="3" fontId="9" fillId="0" borderId="12" xfId="379" applyNumberFormat="1" applyFont="1" applyFill="1" applyBorder="1" applyAlignment="1">
      <alignment horizontal="center"/>
    </xf>
    <xf numFmtId="3" fontId="42" fillId="0" borderId="75" xfId="379" applyNumberFormat="1" applyFont="1" applyFill="1" applyBorder="1" applyAlignment="1">
      <alignment horizontal="center"/>
    </xf>
    <xf numFmtId="3" fontId="9" fillId="0" borderId="13" xfId="0" applyNumberFormat="1" applyFont="1" applyBorder="1"/>
    <xf numFmtId="3" fontId="9" fillId="0" borderId="8" xfId="0" applyNumberFormat="1" applyFont="1" applyBorder="1"/>
    <xf numFmtId="0" fontId="9" fillId="0" borderId="37" xfId="521" applyFont="1" applyFill="1" applyBorder="1" applyAlignment="1">
      <alignment horizontal="center" wrapText="1"/>
    </xf>
    <xf numFmtId="3" fontId="42" fillId="0" borderId="19" xfId="521" applyNumberFormat="1" applyFont="1" applyFill="1" applyBorder="1" applyAlignment="1">
      <alignment horizontal="center"/>
    </xf>
    <xf numFmtId="3" fontId="42" fillId="0" borderId="2" xfId="521" applyNumberFormat="1" applyFont="1" applyFill="1" applyBorder="1" applyAlignment="1">
      <alignment horizontal="center"/>
    </xf>
    <xf numFmtId="3" fontId="42" fillId="0" borderId="9" xfId="521" applyNumberFormat="1" applyFont="1" applyFill="1" applyBorder="1" applyAlignment="1">
      <alignment horizontal="center"/>
    </xf>
    <xf numFmtId="170" fontId="9" fillId="33" borderId="12" xfId="379" applyNumberFormat="1" applyFont="1" applyFill="1" applyBorder="1"/>
    <xf numFmtId="170" fontId="9" fillId="33" borderId="1" xfId="379" applyNumberFormat="1" applyFont="1" applyFill="1" applyBorder="1"/>
    <xf numFmtId="43" fontId="104" fillId="65" borderId="4" xfId="379" applyFont="1" applyFill="1" applyBorder="1" applyAlignment="1">
      <alignment horizontal="center" vertical="center"/>
    </xf>
    <xf numFmtId="0" fontId="13" fillId="0" borderId="0" xfId="0" applyFont="1" applyAlignment="1">
      <alignment horizontal="center" vertical="center"/>
    </xf>
    <xf numFmtId="3" fontId="9" fillId="0" borderId="12" xfId="521" applyNumberFormat="1" applyFont="1" applyFill="1" applyBorder="1" applyAlignment="1">
      <alignment horizontal="center"/>
    </xf>
    <xf numFmtId="0" fontId="9" fillId="0" borderId="35" xfId="521" applyFont="1" applyBorder="1" applyAlignment="1">
      <alignment horizontal="center" wrapText="1"/>
    </xf>
    <xf numFmtId="170" fontId="9" fillId="0" borderId="12" xfId="379" applyNumberFormat="1" applyFont="1" applyFill="1" applyBorder="1" applyAlignment="1">
      <alignment horizontal="center"/>
    </xf>
    <xf numFmtId="170" fontId="9" fillId="0" borderId="13" xfId="379" applyNumberFormat="1" applyFont="1" applyFill="1" applyBorder="1" applyAlignment="1">
      <alignment horizontal="center"/>
    </xf>
    <xf numFmtId="0" fontId="9" fillId="0" borderId="27" xfId="521" applyFont="1" applyBorder="1"/>
    <xf numFmtId="170" fontId="9" fillId="0" borderId="28" xfId="379" applyNumberFormat="1" applyFont="1" applyFill="1" applyBorder="1" applyAlignment="1">
      <alignment horizontal="center"/>
    </xf>
    <xf numFmtId="170" fontId="9" fillId="0" borderId="29" xfId="379" applyNumberFormat="1" applyFont="1" applyFill="1" applyBorder="1" applyAlignment="1">
      <alignment horizontal="center"/>
    </xf>
    <xf numFmtId="0" fontId="9" fillId="0" borderId="28" xfId="521" applyFont="1" applyBorder="1"/>
    <xf numFmtId="3" fontId="9" fillId="0" borderId="28" xfId="521" applyNumberFormat="1" applyFont="1" applyFill="1" applyBorder="1" applyAlignment="1">
      <alignment horizontal="center"/>
    </xf>
    <xf numFmtId="0" fontId="9" fillId="33" borderId="10" xfId="0" applyFont="1" applyFill="1" applyBorder="1"/>
    <xf numFmtId="3" fontId="42" fillId="0" borderId="27" xfId="521" applyNumberFormat="1" applyFont="1" applyFill="1" applyBorder="1" applyAlignment="1">
      <alignment horizontal="center"/>
    </xf>
    <xf numFmtId="3" fontId="9" fillId="0" borderId="29" xfId="521" applyNumberFormat="1" applyFont="1" applyFill="1" applyBorder="1" applyAlignment="1">
      <alignment horizontal="center"/>
    </xf>
    <xf numFmtId="0" fontId="9" fillId="62" borderId="39" xfId="0" applyFont="1" applyFill="1" applyBorder="1"/>
    <xf numFmtId="0" fontId="9" fillId="62" borderId="26" xfId="0" applyFont="1" applyFill="1" applyBorder="1"/>
    <xf numFmtId="0" fontId="16" fillId="0" borderId="32" xfId="0" applyFont="1" applyBorder="1"/>
    <xf numFmtId="0" fontId="16" fillId="0" borderId="68" xfId="0" applyFont="1" applyBorder="1"/>
    <xf numFmtId="0" fontId="16" fillId="0" borderId="33" xfId="0" applyFont="1" applyBorder="1"/>
    <xf numFmtId="170" fontId="16" fillId="0" borderId="33" xfId="379" applyNumberFormat="1" applyFont="1" applyFill="1" applyBorder="1" applyAlignment="1">
      <alignment horizontal="right"/>
    </xf>
    <xf numFmtId="170" fontId="16" fillId="0" borderId="34" xfId="379" applyNumberFormat="1" applyFont="1" applyFill="1" applyBorder="1" applyAlignment="1">
      <alignment horizontal="right"/>
    </xf>
    <xf numFmtId="0" fontId="9" fillId="0" borderId="22" xfId="0" applyFont="1" applyBorder="1"/>
    <xf numFmtId="170" fontId="9" fillId="0" borderId="10" xfId="379" applyNumberFormat="1" applyFont="1" applyFill="1" applyBorder="1" applyAlignment="1">
      <alignment horizontal="right"/>
    </xf>
    <xf numFmtId="170" fontId="42" fillId="0" borderId="10" xfId="379" applyNumberFormat="1" applyFont="1" applyFill="1" applyBorder="1" applyAlignment="1">
      <alignment horizontal="right"/>
    </xf>
    <xf numFmtId="170" fontId="42" fillId="0" borderId="11" xfId="379" applyNumberFormat="1" applyFont="1" applyFill="1" applyBorder="1" applyAlignment="1">
      <alignment horizontal="right"/>
    </xf>
    <xf numFmtId="49" fontId="9" fillId="0" borderId="32" xfId="0" applyNumberFormat="1" applyFont="1" applyBorder="1"/>
    <xf numFmtId="0" fontId="9" fillId="0" borderId="33" xfId="0" applyFont="1" applyBorder="1"/>
    <xf numFmtId="43" fontId="42" fillId="0" borderId="33" xfId="379" applyNumberFormat="1" applyFont="1" applyFill="1" applyBorder="1" applyAlignment="1">
      <alignment horizontal="center"/>
    </xf>
    <xf numFmtId="170" fontId="42" fillId="0" borderId="10" xfId="379" applyNumberFormat="1" applyFont="1" applyFill="1" applyBorder="1" applyAlignment="1">
      <alignment horizontal="center"/>
    </xf>
    <xf numFmtId="2" fontId="9" fillId="0" borderId="43" xfId="0" applyNumberFormat="1" applyFont="1" applyBorder="1"/>
    <xf numFmtId="170" fontId="9" fillId="0" borderId="34" xfId="379" applyNumberFormat="1" applyFont="1" applyFill="1" applyBorder="1" applyAlignment="1">
      <alignment horizontal="center"/>
    </xf>
    <xf numFmtId="0" fontId="53" fillId="0" borderId="20" xfId="636" applyFont="1" applyBorder="1" applyAlignment="1">
      <alignment horizontal="center" vertical="center" wrapText="1"/>
    </xf>
    <xf numFmtId="0" fontId="44" fillId="0" borderId="21" xfId="0" applyFont="1" applyFill="1" applyBorder="1" applyAlignment="1">
      <alignment horizontal="center" vertical="center" wrapText="1"/>
    </xf>
    <xf numFmtId="0" fontId="42" fillId="0" borderId="21" xfId="0" applyFont="1" applyBorder="1" applyAlignment="1">
      <alignment horizontal="center" vertical="center" wrapText="1"/>
    </xf>
    <xf numFmtId="0" fontId="15" fillId="0" borderId="55" xfId="0" quotePrefix="1" applyFont="1" applyBorder="1" applyAlignment="1">
      <alignment horizontal="center" vertical="center" wrapText="1"/>
    </xf>
    <xf numFmtId="0" fontId="9" fillId="0" borderId="22" xfId="0" applyFont="1" applyBorder="1" applyAlignment="1">
      <alignment horizontal="center"/>
    </xf>
    <xf numFmtId="0" fontId="9" fillId="0" borderId="20" xfId="0" applyFont="1" applyBorder="1" applyAlignment="1">
      <alignment horizontal="center" wrapText="1"/>
    </xf>
    <xf numFmtId="49" fontId="9" fillId="0" borderId="21" xfId="0" applyNumberFormat="1" applyFont="1" applyBorder="1" applyAlignment="1">
      <alignment horizontal="center"/>
    </xf>
    <xf numFmtId="49" fontId="9" fillId="0" borderId="22" xfId="0" applyNumberFormat="1" applyFont="1" applyBorder="1" applyAlignment="1">
      <alignment horizontal="center"/>
    </xf>
    <xf numFmtId="0" fontId="15" fillId="0" borderId="21" xfId="0" quotePrefix="1" applyFont="1" applyBorder="1" applyAlignment="1">
      <alignment horizontal="center" vertical="center" wrapText="1"/>
    </xf>
    <xf numFmtId="3" fontId="42" fillId="0" borderId="23" xfId="0" applyNumberFormat="1" applyFont="1" applyBorder="1" applyAlignment="1">
      <alignment horizontal="center" vertical="center" wrapText="1"/>
    </xf>
    <xf numFmtId="0" fontId="65" fillId="0" borderId="50" xfId="0" applyFont="1" applyBorder="1" applyAlignment="1">
      <alignment horizontal="left"/>
    </xf>
    <xf numFmtId="185" fontId="106" fillId="0" borderId="1" xfId="890" applyNumberFormat="1" applyFont="1" applyBorder="1"/>
    <xf numFmtId="0" fontId="65" fillId="0" borderId="1" xfId="860" applyFont="1" applyBorder="1" applyAlignment="1">
      <alignment horizontal="center"/>
    </xf>
    <xf numFmtId="0" fontId="105" fillId="0" borderId="0" xfId="0" applyFont="1" applyProtection="1">
      <protection locked="0"/>
    </xf>
    <xf numFmtId="0" fontId="65" fillId="0" borderId="1" xfId="860" applyFont="1" applyBorder="1"/>
    <xf numFmtId="49" fontId="9" fillId="36" borderId="115" xfId="0" applyNumberFormat="1" applyFont="1" applyFill="1" applyBorder="1" applyAlignment="1">
      <alignment wrapText="1"/>
    </xf>
    <xf numFmtId="0" fontId="16" fillId="36" borderId="116" xfId="0" applyFont="1" applyFill="1" applyBorder="1" applyAlignment="1">
      <alignment horizontal="center"/>
    </xf>
    <xf numFmtId="0" fontId="16" fillId="36" borderId="117" xfId="0" applyFont="1" applyFill="1" applyBorder="1" applyAlignment="1">
      <alignment horizontal="center"/>
    </xf>
    <xf numFmtId="0" fontId="61" fillId="0" borderId="0" xfId="0" applyFont="1" applyAlignment="1">
      <alignment vertical="center" wrapText="1"/>
    </xf>
    <xf numFmtId="170" fontId="44" fillId="0" borderId="23" xfId="379" applyNumberFormat="1" applyFont="1" applyBorder="1" applyAlignment="1">
      <alignment horizontal="right" vertical="center" wrapText="1"/>
    </xf>
    <xf numFmtId="170" fontId="44" fillId="0" borderId="30" xfId="379" applyNumberFormat="1" applyFont="1" applyBorder="1" applyAlignment="1">
      <alignment horizontal="right" vertical="center" wrapText="1"/>
    </xf>
    <xf numFmtId="170" fontId="9" fillId="0" borderId="8" xfId="379" applyNumberFormat="1" applyFont="1" applyFill="1" applyBorder="1" applyAlignment="1">
      <alignment horizontal="right"/>
    </xf>
    <xf numFmtId="170" fontId="44" fillId="0" borderId="1" xfId="379" applyNumberFormat="1" applyFont="1" applyBorder="1" applyAlignment="1">
      <alignment horizontal="right" vertical="center" wrapText="1"/>
    </xf>
    <xf numFmtId="170" fontId="44" fillId="0" borderId="8" xfId="379" applyNumberFormat="1" applyFont="1" applyBorder="1" applyAlignment="1">
      <alignment horizontal="right" vertical="center" wrapText="1"/>
    </xf>
    <xf numFmtId="0" fontId="23" fillId="0" borderId="0" xfId="0" applyFont="1" applyAlignment="1">
      <alignment horizontal="center" vertical="top"/>
    </xf>
    <xf numFmtId="0" fontId="13" fillId="0" borderId="0" xfId="0" applyFont="1"/>
    <xf numFmtId="1" fontId="9" fillId="33" borderId="67" xfId="0" applyNumberFormat="1" applyFont="1" applyFill="1" applyBorder="1" applyAlignment="1">
      <alignment horizontal="center"/>
    </xf>
    <xf numFmtId="170" fontId="9" fillId="0" borderId="28" xfId="379" applyNumberFormat="1" applyFont="1" applyBorder="1"/>
    <xf numFmtId="0" fontId="9" fillId="0" borderId="51" xfId="0" applyFont="1" applyFill="1" applyBorder="1" applyAlignment="1">
      <alignment horizontal="center"/>
    </xf>
    <xf numFmtId="0" fontId="108" fillId="0" borderId="0" xfId="0" applyFont="1" applyAlignment="1" applyProtection="1">
      <alignment horizontal="right"/>
      <protection locked="0"/>
    </xf>
    <xf numFmtId="167" fontId="9" fillId="0" borderId="28" xfId="0" applyNumberFormat="1" applyFont="1" applyBorder="1"/>
    <xf numFmtId="1" fontId="9" fillId="33" borderId="51" xfId="0" applyNumberFormat="1" applyFont="1" applyFill="1" applyBorder="1" applyAlignment="1">
      <alignment horizontal="center"/>
    </xf>
    <xf numFmtId="17" fontId="9" fillId="65" borderId="23" xfId="0" applyNumberFormat="1" applyFont="1" applyFill="1" applyBorder="1" applyAlignment="1" applyProtection="1">
      <alignment horizontal="center"/>
      <protection locked="0"/>
    </xf>
    <xf numFmtId="3" fontId="9" fillId="33" borderId="2" xfId="0" applyNumberFormat="1" applyFont="1" applyFill="1" applyBorder="1" applyAlignment="1">
      <alignment horizontal="center"/>
    </xf>
    <xf numFmtId="3" fontId="9" fillId="33" borderId="1" xfId="379" applyNumberFormat="1" applyFont="1" applyFill="1" applyBorder="1" applyAlignment="1">
      <alignment horizontal="center"/>
    </xf>
    <xf numFmtId="43" fontId="9" fillId="33" borderId="1" xfId="379" applyNumberFormat="1" applyFont="1" applyFill="1" applyBorder="1" applyAlignment="1">
      <alignment horizontal="center"/>
    </xf>
    <xf numFmtId="3" fontId="9" fillId="33" borderId="23" xfId="379" applyNumberFormat="1" applyFont="1" applyFill="1" applyBorder="1" applyAlignment="1">
      <alignment horizontal="center" vertical="center"/>
    </xf>
    <xf numFmtId="170" fontId="9" fillId="33" borderId="1" xfId="379" applyNumberFormat="1" applyFont="1" applyFill="1" applyBorder="1" applyAlignment="1">
      <alignment horizontal="center"/>
    </xf>
    <xf numFmtId="170" fontId="9" fillId="33" borderId="1" xfId="379" applyNumberFormat="1" applyFont="1" applyFill="1" applyBorder="1" applyAlignment="1">
      <alignment horizontal="center"/>
    </xf>
    <xf numFmtId="2" fontId="9" fillId="33" borderId="23" xfId="379" applyNumberFormat="1" applyFont="1" applyFill="1" applyBorder="1" applyAlignment="1">
      <alignment horizontal="center"/>
    </xf>
    <xf numFmtId="2" fontId="9" fillId="33" borderId="1" xfId="379" applyNumberFormat="1" applyFont="1" applyFill="1" applyBorder="1" applyAlignment="1">
      <alignment horizontal="center"/>
    </xf>
    <xf numFmtId="43" fontId="9" fillId="0" borderId="1" xfId="379" applyFont="1" applyBorder="1" applyAlignment="1">
      <alignment horizontal="center"/>
    </xf>
    <xf numFmtId="10" fontId="9" fillId="0" borderId="1" xfId="933" applyNumberFormat="1" applyFont="1" applyBorder="1" applyAlignment="1">
      <alignment horizontal="center"/>
    </xf>
    <xf numFmtId="49" fontId="9" fillId="0" borderId="1" xfId="1413" applyNumberFormat="1" applyFont="1" applyBorder="1" applyAlignment="1">
      <alignment horizontal="center"/>
    </xf>
    <xf numFmtId="0" fontId="16" fillId="0" borderId="1" xfId="1413" applyFont="1" applyBorder="1" applyAlignment="1">
      <alignment horizontal="center"/>
    </xf>
    <xf numFmtId="0" fontId="16" fillId="0" borderId="1" xfId="521" applyFont="1" applyBorder="1" applyAlignment="1">
      <alignment horizontal="center"/>
    </xf>
    <xf numFmtId="0" fontId="9" fillId="0" borderId="0" xfId="0" applyFont="1"/>
    <xf numFmtId="0" fontId="9" fillId="0" borderId="0" xfId="0" applyFont="1" applyFill="1" applyBorder="1" applyAlignment="1">
      <alignment horizontal="center"/>
    </xf>
    <xf numFmtId="0" fontId="9" fillId="0" borderId="17" xfId="0" applyFont="1" applyFill="1" applyBorder="1" applyAlignment="1">
      <alignment horizontal="center"/>
    </xf>
    <xf numFmtId="0" fontId="9" fillId="0" borderId="20" xfId="0" applyFont="1" applyFill="1" applyBorder="1" applyAlignment="1">
      <alignment horizontal="left"/>
    </xf>
    <xf numFmtId="3" fontId="44" fillId="0" borderId="1" xfId="0" applyNumberFormat="1" applyFont="1" applyBorder="1" applyAlignment="1">
      <alignment horizontal="center" vertical="center" wrapText="1"/>
    </xf>
    <xf numFmtId="3" fontId="42" fillId="33" borderId="8" xfId="0" applyNumberFormat="1" applyFont="1" applyFill="1" applyBorder="1" applyAlignment="1">
      <alignment horizontal="center"/>
    </xf>
    <xf numFmtId="3" fontId="9" fillId="33" borderId="1" xfId="0" applyNumberFormat="1" applyFont="1" applyFill="1" applyBorder="1" applyAlignment="1">
      <alignment horizontal="center"/>
    </xf>
    <xf numFmtId="3" fontId="9" fillId="33" borderId="2" xfId="379" applyNumberFormat="1" applyFont="1" applyFill="1" applyBorder="1" applyAlignment="1">
      <alignment horizontal="center"/>
    </xf>
    <xf numFmtId="3" fontId="9" fillId="33" borderId="21" xfId="0" applyNumberFormat="1" applyFont="1" applyFill="1" applyBorder="1" applyAlignment="1">
      <alignment horizontal="center"/>
    </xf>
    <xf numFmtId="3" fontId="9" fillId="33" borderId="21" xfId="379" applyNumberFormat="1" applyFont="1" applyFill="1" applyBorder="1" applyAlignment="1">
      <alignment horizontal="center"/>
    </xf>
    <xf numFmtId="0" fontId="0" fillId="0" borderId="0" xfId="0" applyFill="1" applyBorder="1" applyAlignment="1"/>
    <xf numFmtId="0" fontId="0" fillId="0" borderId="25" xfId="0" applyFill="1" applyBorder="1" applyAlignment="1"/>
    <xf numFmtId="0" fontId="58" fillId="0" borderId="24" xfId="0" applyFont="1" applyFill="1" applyBorder="1" applyAlignment="1">
      <alignment horizontal="center"/>
    </xf>
    <xf numFmtId="0" fontId="58" fillId="0" borderId="24" xfId="0" applyFont="1" applyFill="1" applyBorder="1" applyAlignment="1">
      <alignment horizontal="centerContinuous"/>
    </xf>
    <xf numFmtId="0" fontId="16" fillId="0" borderId="27" xfId="0" applyFont="1" applyBorder="1" applyAlignment="1">
      <alignment horizontal="center"/>
    </xf>
    <xf numFmtId="0" fontId="16" fillId="0" borderId="81" xfId="0" applyFont="1" applyBorder="1" applyAlignment="1" applyProtection="1">
      <alignment horizontal="center" wrapText="1"/>
      <protection locked="0"/>
    </xf>
    <xf numFmtId="0" fontId="16" fillId="0" borderId="81" xfId="0" applyFont="1" applyFill="1" applyBorder="1" applyAlignment="1" applyProtection="1">
      <alignment horizontal="center" wrapText="1"/>
      <protection locked="0"/>
    </xf>
    <xf numFmtId="0" fontId="60" fillId="0" borderId="81" xfId="0" applyFont="1" applyFill="1" applyBorder="1" applyAlignment="1" applyProtection="1">
      <alignment vertical="center" wrapText="1"/>
      <protection locked="0"/>
    </xf>
    <xf numFmtId="17" fontId="9" fillId="0" borderId="1" xfId="0" applyNumberFormat="1" applyFont="1" applyBorder="1" applyAlignment="1" applyProtection="1">
      <alignment horizontal="center"/>
      <protection locked="0"/>
    </xf>
    <xf numFmtId="0" fontId="16" fillId="0" borderId="1" xfId="0" applyFont="1" applyBorder="1" applyAlignment="1" applyProtection="1">
      <alignment horizontal="center" wrapText="1"/>
      <protection locked="0"/>
    </xf>
    <xf numFmtId="0" fontId="9" fillId="0" borderId="81" xfId="0" applyFont="1" applyBorder="1" applyAlignment="1" applyProtection="1">
      <alignment horizontal="center"/>
      <protection locked="0"/>
    </xf>
    <xf numFmtId="0" fontId="0" fillId="0" borderId="0" xfId="0" applyBorder="1" applyProtection="1">
      <protection locked="0"/>
    </xf>
    <xf numFmtId="170" fontId="9" fillId="0" borderId="1" xfId="379" applyNumberFormat="1" applyFont="1" applyFill="1" applyBorder="1" applyAlignment="1" applyProtection="1">
      <alignment horizontal="center"/>
      <protection locked="0"/>
    </xf>
    <xf numFmtId="0" fontId="110" fillId="0" borderId="0" xfId="0" applyFont="1" applyProtection="1">
      <protection locked="0"/>
    </xf>
    <xf numFmtId="0" fontId="16" fillId="0" borderId="44" xfId="0" applyFont="1" applyBorder="1" applyAlignment="1" applyProtection="1">
      <alignment horizontal="center"/>
      <protection locked="0"/>
    </xf>
    <xf numFmtId="2" fontId="16" fillId="33" borderId="23" xfId="379" applyNumberFormat="1" applyFont="1" applyFill="1" applyBorder="1" applyAlignment="1" applyProtection="1">
      <alignment horizontal="center" wrapText="1"/>
      <protection locked="0"/>
    </xf>
    <xf numFmtId="2" fontId="16" fillId="33" borderId="1" xfId="379" applyNumberFormat="1" applyFont="1" applyFill="1" applyBorder="1" applyAlignment="1" applyProtection="1">
      <alignment horizontal="center" wrapText="1"/>
      <protection locked="0"/>
    </xf>
    <xf numFmtId="0" fontId="16" fillId="0" borderId="68" xfId="0" applyFont="1" applyBorder="1" applyProtection="1">
      <protection locked="0"/>
    </xf>
    <xf numFmtId="0" fontId="16" fillId="0" borderId="0" xfId="0" applyFont="1" applyFill="1" applyProtection="1">
      <protection locked="0"/>
    </xf>
    <xf numFmtId="0" fontId="16" fillId="0" borderId="0" xfId="0" applyFont="1" applyAlignment="1" applyProtection="1">
      <alignment horizontal="center"/>
      <protection locked="0"/>
    </xf>
    <xf numFmtId="2" fontId="20" fillId="33" borderId="4" xfId="379" applyNumberFormat="1" applyFont="1" applyFill="1" applyBorder="1" applyAlignment="1" applyProtection="1">
      <alignment horizontal="center"/>
      <protection locked="0"/>
    </xf>
    <xf numFmtId="0" fontId="55" fillId="0" borderId="0" xfId="0" applyFont="1" applyBorder="1" applyAlignment="1">
      <alignment horizontal="center"/>
    </xf>
    <xf numFmtId="0" fontId="55" fillId="0" borderId="0" xfId="0" applyFont="1" applyBorder="1" applyAlignment="1"/>
    <xf numFmtId="0" fontId="48" fillId="0" borderId="0" xfId="767" applyFont="1"/>
    <xf numFmtId="49" fontId="9" fillId="0" borderId="0" xfId="768" applyNumberFormat="1" applyFont="1" applyBorder="1" applyAlignment="1">
      <alignment vertical="top" wrapText="1"/>
    </xf>
    <xf numFmtId="49" fontId="48" fillId="0" borderId="0" xfId="767" applyNumberFormat="1" applyFont="1" applyAlignment="1">
      <alignment vertical="top" wrapText="1"/>
    </xf>
    <xf numFmtId="0" fontId="49" fillId="34" borderId="45" xfId="767" applyFont="1" applyFill="1" applyBorder="1" applyAlignment="1">
      <alignment horizontal="right"/>
    </xf>
    <xf numFmtId="0" fontId="49" fillId="34" borderId="0" xfId="767" applyFont="1" applyFill="1" applyBorder="1" applyAlignment="1">
      <alignment horizontal="right"/>
    </xf>
    <xf numFmtId="0" fontId="49" fillId="34" borderId="41" xfId="767" applyFont="1" applyFill="1" applyBorder="1" applyAlignment="1">
      <alignment horizontal="right"/>
    </xf>
    <xf numFmtId="0" fontId="48" fillId="0" borderId="45" xfId="767" applyFont="1" applyBorder="1"/>
    <xf numFmtId="10" fontId="19" fillId="0" borderId="0" xfId="769" applyNumberFormat="1" applyFont="1" applyBorder="1"/>
    <xf numFmtId="10" fontId="19" fillId="0" borderId="101" xfId="769" applyNumberFormat="1" applyFont="1" applyBorder="1"/>
    <xf numFmtId="10" fontId="19" fillId="0" borderId="41" xfId="769" applyNumberFormat="1" applyFont="1" applyBorder="1"/>
    <xf numFmtId="0" fontId="48" fillId="0" borderId="0" xfId="767" applyFont="1" applyBorder="1"/>
    <xf numFmtId="0" fontId="48" fillId="0" borderId="94" xfId="767" applyFont="1" applyBorder="1"/>
    <xf numFmtId="0" fontId="48" fillId="0" borderId="100" xfId="767" applyFont="1" applyBorder="1"/>
    <xf numFmtId="10" fontId="19" fillId="0" borderId="102" xfId="769" applyNumberFormat="1" applyFont="1" applyBorder="1"/>
    <xf numFmtId="10" fontId="19" fillId="0" borderId="95" xfId="769" applyNumberFormat="1" applyFont="1" applyBorder="1"/>
    <xf numFmtId="0" fontId="49" fillId="0" borderId="45" xfId="767" applyFont="1" applyBorder="1"/>
    <xf numFmtId="10" fontId="49" fillId="0" borderId="0" xfId="767" applyNumberFormat="1" applyFont="1" applyBorder="1"/>
    <xf numFmtId="10" fontId="49" fillId="0" borderId="101" xfId="767" applyNumberFormat="1" applyFont="1" applyBorder="1"/>
    <xf numFmtId="10" fontId="49" fillId="0" borderId="41" xfId="767" applyNumberFormat="1" applyFont="1" applyBorder="1"/>
    <xf numFmtId="43" fontId="19" fillId="33" borderId="0" xfId="768" applyNumberFormat="1" applyFont="1" applyFill="1" applyBorder="1"/>
    <xf numFmtId="43" fontId="19" fillId="33" borderId="17" xfId="768" applyNumberFormat="1" applyFont="1" applyFill="1" applyBorder="1"/>
    <xf numFmtId="43" fontId="19" fillId="0" borderId="41" xfId="768" applyNumberFormat="1" applyFont="1" applyBorder="1"/>
    <xf numFmtId="43" fontId="19" fillId="0" borderId="0" xfId="768" applyNumberFormat="1" applyFont="1" applyBorder="1"/>
    <xf numFmtId="43" fontId="19" fillId="33" borderId="105" xfId="768" applyNumberFormat="1" applyFont="1" applyFill="1" applyBorder="1"/>
    <xf numFmtId="43" fontId="19" fillId="33" borderId="113" xfId="768" applyNumberFormat="1" applyFont="1" applyFill="1" applyBorder="1"/>
    <xf numFmtId="43" fontId="19" fillId="0" borderId="100" xfId="768" applyNumberFormat="1" applyFont="1" applyBorder="1"/>
    <xf numFmtId="43" fontId="19" fillId="0" borderId="114" xfId="768" applyNumberFormat="1" applyFont="1" applyBorder="1"/>
    <xf numFmtId="43" fontId="19" fillId="0" borderId="95" xfId="768" applyNumberFormat="1" applyFont="1" applyBorder="1"/>
    <xf numFmtId="0" fontId="49" fillId="0" borderId="46" xfId="767" applyFont="1" applyBorder="1"/>
    <xf numFmtId="43" fontId="49" fillId="0" borderId="25" xfId="768" applyNumberFormat="1" applyFont="1" applyBorder="1"/>
    <xf numFmtId="43" fontId="49" fillId="0" borderId="103" xfId="768" applyNumberFormat="1" applyFont="1" applyBorder="1"/>
    <xf numFmtId="43" fontId="49" fillId="0" borderId="40" xfId="768" applyNumberFormat="1" applyFont="1" applyBorder="1"/>
    <xf numFmtId="0" fontId="49" fillId="0" borderId="0" xfId="767" applyFont="1" applyBorder="1"/>
    <xf numFmtId="43" fontId="49" fillId="0" borderId="0" xfId="768" applyNumberFormat="1" applyFont="1" applyBorder="1"/>
    <xf numFmtId="0" fontId="49" fillId="62" borderId="45" xfId="767" applyFont="1" applyFill="1" applyBorder="1" applyAlignment="1">
      <alignment horizontal="right"/>
    </xf>
    <xf numFmtId="0" fontId="49" fillId="62" borderId="0" xfId="767" applyFont="1" applyFill="1" applyBorder="1" applyAlignment="1">
      <alignment horizontal="right"/>
    </xf>
    <xf numFmtId="0" fontId="49" fillId="62" borderId="41" xfId="767" applyFont="1" applyFill="1" applyBorder="1" applyAlignment="1">
      <alignment horizontal="right"/>
    </xf>
    <xf numFmtId="10" fontId="19" fillId="61" borderId="0" xfId="769" applyNumberFormat="1" applyFont="1" applyFill="1" applyBorder="1"/>
    <xf numFmtId="10" fontId="19" fillId="61" borderId="101" xfId="769" applyNumberFormat="1" applyFont="1" applyFill="1" applyBorder="1"/>
    <xf numFmtId="0" fontId="49" fillId="0" borderId="106" xfId="767" applyFont="1" applyBorder="1"/>
    <xf numFmtId="10" fontId="49" fillId="0" borderId="107" xfId="767" applyNumberFormat="1" applyFont="1" applyBorder="1"/>
    <xf numFmtId="10" fontId="49" fillId="0" borderId="108" xfId="767" applyNumberFormat="1" applyFont="1" applyBorder="1"/>
    <xf numFmtId="10" fontId="49" fillId="0" borderId="109" xfId="767" applyNumberFormat="1" applyFont="1" applyBorder="1"/>
    <xf numFmtId="43" fontId="19" fillId="61" borderId="0" xfId="768" applyNumberFormat="1" applyFont="1" applyFill="1" applyBorder="1"/>
    <xf numFmtId="43" fontId="19" fillId="61" borderId="101" xfId="768" applyNumberFormat="1" applyFont="1" applyFill="1" applyBorder="1"/>
    <xf numFmtId="43" fontId="19" fillId="61" borderId="105" xfId="768" applyNumberFormat="1" applyFont="1" applyFill="1" applyBorder="1"/>
    <xf numFmtId="43" fontId="19" fillId="61" borderId="104" xfId="768" applyNumberFormat="1" applyFont="1" applyFill="1" applyBorder="1"/>
    <xf numFmtId="43" fontId="19" fillId="0" borderId="0" xfId="768" applyNumberFormat="1" applyFont="1" applyFill="1" applyBorder="1"/>
    <xf numFmtId="43" fontId="19" fillId="33" borderId="102" xfId="768" applyNumberFormat="1" applyFont="1" applyFill="1" applyBorder="1"/>
    <xf numFmtId="0" fontId="48" fillId="0" borderId="0" xfId="767" applyFont="1" applyBorder="1" applyAlignment="1">
      <alignment vertical="top" wrapText="1"/>
    </xf>
    <xf numFmtId="0" fontId="48" fillId="0" borderId="0" xfId="767" applyFont="1" applyAlignment="1">
      <alignment vertical="top" wrapText="1"/>
    </xf>
    <xf numFmtId="0" fontId="49" fillId="34" borderId="45" xfId="767" applyFont="1" applyFill="1" applyBorder="1" applyAlignment="1">
      <alignment horizontal="center"/>
    </xf>
    <xf numFmtId="0" fontId="49" fillId="34" borderId="0" xfId="767" applyFont="1" applyFill="1" applyBorder="1" applyAlignment="1">
      <alignment horizontal="center"/>
    </xf>
    <xf numFmtId="0" fontId="49" fillId="34" borderId="41" xfId="767" applyFont="1" applyFill="1" applyBorder="1" applyAlignment="1">
      <alignment horizontal="center"/>
    </xf>
    <xf numFmtId="0" fontId="49" fillId="35" borderId="41" xfId="767" applyFont="1" applyFill="1" applyBorder="1" applyAlignment="1">
      <alignment horizontal="center"/>
    </xf>
    <xf numFmtId="0" fontId="49" fillId="34" borderId="38" xfId="767" applyFont="1" applyFill="1" applyBorder="1" applyAlignment="1">
      <alignment horizontal="center"/>
    </xf>
    <xf numFmtId="0" fontId="49" fillId="34" borderId="70" xfId="767" applyFont="1" applyFill="1" applyBorder="1" applyAlignment="1">
      <alignment horizontal="center"/>
    </xf>
    <xf numFmtId="0" fontId="49" fillId="34" borderId="78" xfId="767" applyFont="1" applyFill="1" applyBorder="1" applyAlignment="1">
      <alignment horizontal="center"/>
    </xf>
    <xf numFmtId="0" fontId="48" fillId="34" borderId="45" xfId="767" applyFont="1" applyFill="1" applyBorder="1" applyAlignment="1">
      <alignment vertical="top"/>
    </xf>
    <xf numFmtId="0" fontId="48" fillId="34" borderId="0" xfId="767" applyFont="1" applyFill="1" applyBorder="1" applyAlignment="1">
      <alignment vertical="top"/>
    </xf>
    <xf numFmtId="0" fontId="49" fillId="34" borderId="41" xfId="767" applyFont="1" applyFill="1" applyBorder="1" applyAlignment="1">
      <alignment horizontal="center" wrapText="1"/>
    </xf>
    <xf numFmtId="0" fontId="49" fillId="34" borderId="70" xfId="767" applyFont="1" applyFill="1" applyBorder="1" applyAlignment="1">
      <alignment horizontal="center" vertical="center"/>
    </xf>
    <xf numFmtId="0" fontId="49" fillId="34" borderId="78" xfId="767" applyFont="1" applyFill="1" applyBorder="1" applyAlignment="1">
      <alignment horizontal="center" vertical="center" wrapText="1"/>
    </xf>
    <xf numFmtId="0" fontId="48" fillId="0" borderId="45" xfId="767" applyFont="1" applyFill="1" applyBorder="1" applyAlignment="1">
      <alignment vertical="top"/>
    </xf>
    <xf numFmtId="0" fontId="48" fillId="0" borderId="0" xfId="767" applyFont="1" applyFill="1" applyBorder="1" applyAlignment="1">
      <alignment vertical="top"/>
    </xf>
    <xf numFmtId="0" fontId="49" fillId="33" borderId="0" xfId="767" applyFont="1" applyFill="1" applyBorder="1" applyAlignment="1">
      <alignment vertical="top"/>
    </xf>
    <xf numFmtId="0" fontId="49" fillId="0" borderId="0" xfId="767" applyFont="1" applyFill="1" applyBorder="1" applyAlignment="1">
      <alignment vertical="top"/>
    </xf>
    <xf numFmtId="0" fontId="49" fillId="0" borderId="41" xfId="767" applyFont="1" applyFill="1" applyBorder="1" applyAlignment="1">
      <alignment horizontal="center" vertical="top" wrapText="1"/>
    </xf>
    <xf numFmtId="0" fontId="48" fillId="0" borderId="94" xfId="767" applyFont="1" applyFill="1" applyBorder="1" applyAlignment="1">
      <alignment vertical="top"/>
    </xf>
    <xf numFmtId="0" fontId="48" fillId="0" borderId="100" xfId="767" applyFont="1" applyFill="1" applyBorder="1" applyAlignment="1">
      <alignment vertical="top"/>
    </xf>
    <xf numFmtId="0" fontId="49" fillId="33" borderId="100" xfId="767" applyFont="1" applyFill="1" applyBorder="1" applyAlignment="1">
      <alignment vertical="top"/>
    </xf>
    <xf numFmtId="0" fontId="48" fillId="0" borderId="25" xfId="767" applyFont="1" applyFill="1" applyBorder="1"/>
    <xf numFmtId="0" fontId="48" fillId="0" borderId="25" xfId="767" applyFont="1" applyBorder="1"/>
    <xf numFmtId="10" fontId="9" fillId="0" borderId="40" xfId="769" applyNumberFormat="1" applyFont="1" applyBorder="1"/>
    <xf numFmtId="0" fontId="49" fillId="0" borderId="0" xfId="767" applyFont="1" applyBorder="1" applyAlignment="1">
      <alignment vertical="top" wrapText="1"/>
    </xf>
    <xf numFmtId="0" fontId="48" fillId="0" borderId="0" xfId="767" applyFont="1" applyFill="1" applyBorder="1"/>
    <xf numFmtId="10" fontId="9" fillId="0" borderId="0" xfId="769" applyNumberFormat="1" applyFont="1" applyBorder="1"/>
    <xf numFmtId="0" fontId="49" fillId="0" borderId="0" xfId="767" applyFont="1" applyFill="1" applyBorder="1" applyAlignment="1">
      <alignment vertical="top" wrapText="1"/>
    </xf>
    <xf numFmtId="0" fontId="49" fillId="0" borderId="47" xfId="767" applyFont="1" applyBorder="1" applyAlignment="1">
      <alignment vertical="top" wrapText="1"/>
    </xf>
    <xf numFmtId="0" fontId="49" fillId="0" borderId="48" xfId="767" applyFont="1" applyFill="1" applyBorder="1" applyAlignment="1">
      <alignment horizontal="center" vertical="center" wrapText="1"/>
    </xf>
    <xf numFmtId="0" fontId="20" fillId="0" borderId="48" xfId="796" applyNumberFormat="1" applyFont="1" applyBorder="1" applyAlignment="1">
      <alignment horizontal="center" vertical="center"/>
    </xf>
    <xf numFmtId="0" fontId="48" fillId="0" borderId="49" xfId="767" applyFont="1" applyBorder="1"/>
    <xf numFmtId="0" fontId="49" fillId="0" borderId="45" xfId="767" applyFont="1" applyBorder="1" applyAlignment="1">
      <alignment horizontal="left" vertical="center" wrapText="1"/>
    </xf>
    <xf numFmtId="0" fontId="49" fillId="35" borderId="1" xfId="767" applyFont="1" applyFill="1" applyBorder="1" applyAlignment="1">
      <alignment horizontal="center" vertical="center" wrapText="1"/>
    </xf>
    <xf numFmtId="10" fontId="9" fillId="0" borderId="41" xfId="769" applyNumberFormat="1" applyFont="1" applyBorder="1" applyAlignment="1">
      <alignment horizontal="center" vertical="center" wrapText="1"/>
    </xf>
    <xf numFmtId="0" fontId="113" fillId="0" borderId="46" xfId="767" applyFont="1" applyBorder="1" applyAlignment="1">
      <alignment horizontal="left" vertical="top" wrapText="1"/>
    </xf>
    <xf numFmtId="0" fontId="114" fillId="0" borderId="25" xfId="767" applyFont="1" applyBorder="1" applyAlignment="1">
      <alignment vertical="top" wrapText="1"/>
    </xf>
    <xf numFmtId="0" fontId="113" fillId="0" borderId="0" xfId="767" applyFont="1" applyBorder="1" applyAlignment="1">
      <alignment horizontal="left" vertical="top" wrapText="1"/>
    </xf>
    <xf numFmtId="0" fontId="114" fillId="0" borderId="0" xfId="767" applyFont="1" applyBorder="1" applyAlignment="1">
      <alignment vertical="top" wrapText="1"/>
    </xf>
    <xf numFmtId="0" fontId="111" fillId="0" borderId="0" xfId="767" applyFont="1" applyBorder="1" applyAlignment="1">
      <alignment horizontal="center" vertical="top" wrapText="1"/>
    </xf>
    <xf numFmtId="0" fontId="48" fillId="0" borderId="35" xfId="767" applyFont="1" applyBorder="1"/>
    <xf numFmtId="0" fontId="49" fillId="34" borderId="48" xfId="767" applyFont="1" applyFill="1" applyBorder="1" applyAlignment="1">
      <alignment horizontal="center"/>
    </xf>
    <xf numFmtId="0" fontId="49" fillId="34" borderId="48" xfId="767" applyFont="1" applyFill="1" applyBorder="1" applyAlignment="1">
      <alignment horizontal="center" vertical="center"/>
    </xf>
    <xf numFmtId="0" fontId="49" fillId="34" borderId="49" xfId="767" applyFont="1" applyFill="1" applyBorder="1" applyAlignment="1">
      <alignment horizontal="center" vertical="center"/>
    </xf>
    <xf numFmtId="0" fontId="48" fillId="0" borderId="7" xfId="767" applyFont="1" applyBorder="1"/>
    <xf numFmtId="0" fontId="48" fillId="0" borderId="32" xfId="767" applyFont="1" applyBorder="1" applyAlignment="1">
      <alignment wrapText="1"/>
    </xf>
    <xf numFmtId="43" fontId="48" fillId="0" borderId="0" xfId="767" applyNumberFormat="1" applyFont="1" applyBorder="1" applyAlignment="1">
      <alignment horizontal="center" vertical="center"/>
    </xf>
    <xf numFmtId="43" fontId="48" fillId="0" borderId="17" xfId="767" applyNumberFormat="1" applyFont="1" applyBorder="1" applyAlignment="1">
      <alignment horizontal="center" vertical="center"/>
    </xf>
    <xf numFmtId="43" fontId="48" fillId="0" borderId="44" xfId="767" applyNumberFormat="1" applyFont="1" applyBorder="1" applyAlignment="1">
      <alignment horizontal="center" vertical="center"/>
    </xf>
    <xf numFmtId="43" fontId="48" fillId="0" borderId="41" xfId="767" applyNumberFormat="1" applyFont="1" applyBorder="1" applyAlignment="1">
      <alignment horizontal="center" vertical="center"/>
    </xf>
    <xf numFmtId="43" fontId="48" fillId="0" borderId="68" xfId="767" applyNumberFormat="1" applyFont="1" applyBorder="1" applyAlignment="1">
      <alignment horizontal="center" vertical="center"/>
    </xf>
    <xf numFmtId="43" fontId="48" fillId="0" borderId="33" xfId="767" applyNumberFormat="1" applyFont="1" applyBorder="1" applyAlignment="1">
      <alignment horizontal="center" vertical="center"/>
    </xf>
    <xf numFmtId="0" fontId="48" fillId="0" borderId="7" xfId="767" applyFont="1" applyBorder="1" applyAlignment="1">
      <alignment wrapText="1"/>
    </xf>
    <xf numFmtId="43" fontId="9" fillId="33" borderId="70" xfId="796" applyFont="1" applyFill="1" applyBorder="1" applyAlignment="1">
      <alignment horizontal="center" vertical="center"/>
    </xf>
    <xf numFmtId="43" fontId="48" fillId="0" borderId="70" xfId="767" applyNumberFormat="1" applyFont="1" applyBorder="1" applyAlignment="1">
      <alignment horizontal="center" vertical="center"/>
    </xf>
    <xf numFmtId="43" fontId="48" fillId="0" borderId="55" xfId="767" applyNumberFormat="1" applyFont="1" applyBorder="1" applyAlignment="1">
      <alignment horizontal="center" vertical="center"/>
    </xf>
    <xf numFmtId="43" fontId="48" fillId="0" borderId="23" xfId="767" applyNumberFormat="1" applyFont="1" applyBorder="1" applyAlignment="1">
      <alignment horizontal="center" vertical="center"/>
    </xf>
    <xf numFmtId="43" fontId="48" fillId="0" borderId="78" xfId="767" applyNumberFormat="1" applyFont="1" applyBorder="1" applyAlignment="1">
      <alignment horizontal="center" vertical="center"/>
    </xf>
    <xf numFmtId="0" fontId="48" fillId="62" borderId="15" xfId="767" applyFont="1" applyFill="1" applyBorder="1" applyAlignment="1">
      <alignment wrapText="1"/>
    </xf>
    <xf numFmtId="43" fontId="48" fillId="62" borderId="51" xfId="767" applyNumberFormat="1" applyFont="1" applyFill="1" applyBorder="1" applyAlignment="1">
      <alignment horizontal="center" vertical="center"/>
    </xf>
    <xf numFmtId="43" fontId="48" fillId="62" borderId="52" xfId="767" applyNumberFormat="1" applyFont="1" applyFill="1" applyBorder="1" applyAlignment="1">
      <alignment horizontal="center" vertical="center"/>
    </xf>
    <xf numFmtId="0" fontId="48" fillId="0" borderId="97" xfId="767" applyFont="1" applyBorder="1" applyAlignment="1">
      <alignment wrapText="1"/>
    </xf>
    <xf numFmtId="43" fontId="48" fillId="0" borderId="81" xfId="767" applyNumberFormat="1" applyFont="1" applyBorder="1" applyAlignment="1">
      <alignment horizontal="center" vertical="center"/>
    </xf>
    <xf numFmtId="43" fontId="48" fillId="0" borderId="92" xfId="767" applyNumberFormat="1" applyFont="1" applyBorder="1" applyAlignment="1">
      <alignment horizontal="center" vertical="center"/>
    </xf>
    <xf numFmtId="43" fontId="48" fillId="0" borderId="93" xfId="767" applyNumberFormat="1" applyFont="1" applyBorder="1" applyAlignment="1">
      <alignment horizontal="center" vertical="center"/>
    </xf>
    <xf numFmtId="43" fontId="48" fillId="0" borderId="96" xfId="767" applyNumberFormat="1" applyFont="1" applyBorder="1" applyAlignment="1">
      <alignment horizontal="center" vertical="center"/>
    </xf>
    <xf numFmtId="0" fontId="48" fillId="62" borderId="94" xfId="767" applyFont="1" applyFill="1" applyBorder="1" applyAlignment="1">
      <alignment wrapText="1"/>
    </xf>
    <xf numFmtId="43" fontId="48" fillId="62" borderId="110" xfId="767" applyNumberFormat="1" applyFont="1" applyFill="1" applyBorder="1" applyAlignment="1">
      <alignment horizontal="center" vertical="center"/>
    </xf>
    <xf numFmtId="43" fontId="48" fillId="62" borderId="0" xfId="767" applyNumberFormat="1" applyFont="1" applyFill="1" applyBorder="1" applyAlignment="1">
      <alignment horizontal="center" vertical="center"/>
    </xf>
    <xf numFmtId="43" fontId="48" fillId="62" borderId="111" xfId="767" applyNumberFormat="1" applyFont="1" applyFill="1" applyBorder="1" applyAlignment="1">
      <alignment horizontal="center" vertical="center"/>
    </xf>
    <xf numFmtId="43" fontId="9" fillId="0" borderId="112" xfId="768" applyNumberFormat="1" applyFont="1" applyBorder="1" applyAlignment="1">
      <alignment horizontal="center" vertical="center"/>
    </xf>
    <xf numFmtId="43" fontId="9" fillId="0" borderId="107" xfId="768" applyNumberFormat="1" applyFont="1" applyBorder="1" applyAlignment="1">
      <alignment horizontal="center" vertical="center"/>
    </xf>
    <xf numFmtId="43" fontId="9" fillId="0" borderId="55" xfId="768" applyNumberFormat="1" applyFont="1" applyBorder="1" applyAlignment="1">
      <alignment horizontal="center" vertical="center"/>
    </xf>
    <xf numFmtId="43" fontId="9" fillId="0" borderId="98" xfId="768" applyNumberFormat="1" applyFont="1" applyBorder="1" applyAlignment="1">
      <alignment horizontal="center" vertical="center"/>
    </xf>
    <xf numFmtId="43" fontId="9" fillId="62" borderId="51" xfId="768" applyNumberFormat="1" applyFont="1" applyFill="1" applyBorder="1" applyAlignment="1">
      <alignment horizontal="center" vertical="center"/>
    </xf>
    <xf numFmtId="43" fontId="9" fillId="62" borderId="52" xfId="768" applyNumberFormat="1" applyFont="1" applyFill="1" applyBorder="1" applyAlignment="1">
      <alignment horizontal="center" vertical="center"/>
    </xf>
    <xf numFmtId="43" fontId="115" fillId="64" borderId="99" xfId="768" applyNumberFormat="1" applyFont="1" applyFill="1" applyBorder="1" applyAlignment="1">
      <alignment horizontal="center" vertical="center"/>
    </xf>
    <xf numFmtId="1" fontId="9" fillId="33" borderId="23" xfId="634" applyNumberFormat="1" applyFont="1" applyFill="1" applyBorder="1" applyAlignment="1">
      <alignment horizontal="center"/>
    </xf>
    <xf numFmtId="43" fontId="9" fillId="33" borderId="23" xfId="379" applyFont="1" applyFill="1" applyBorder="1" applyAlignment="1">
      <alignment horizontal="center"/>
    </xf>
    <xf numFmtId="43" fontId="9" fillId="65" borderId="23" xfId="379" applyFont="1" applyFill="1" applyBorder="1" applyAlignment="1">
      <alignment horizontal="center"/>
    </xf>
    <xf numFmtId="43" fontId="9" fillId="33" borderId="23" xfId="379" applyFont="1" applyFill="1" applyBorder="1" applyAlignment="1" applyProtection="1">
      <alignment horizontal="center"/>
      <protection locked="0"/>
    </xf>
    <xf numFmtId="1" fontId="9" fillId="33" borderId="1" xfId="379" applyNumberFormat="1" applyFont="1" applyFill="1" applyBorder="1" applyAlignment="1" applyProtection="1">
      <alignment horizontal="center"/>
      <protection locked="0"/>
    </xf>
    <xf numFmtId="1" fontId="9" fillId="33" borderId="1" xfId="0" applyNumberFormat="1" applyFont="1" applyFill="1" applyBorder="1" applyProtection="1">
      <protection locked="0"/>
    </xf>
    <xf numFmtId="1" fontId="9" fillId="33" borderId="23" xfId="379" applyNumberFormat="1" applyFont="1" applyFill="1" applyBorder="1" applyAlignment="1">
      <alignment horizontal="center"/>
    </xf>
    <xf numFmtId="1" fontId="9" fillId="33" borderId="23" xfId="379" applyNumberFormat="1" applyFont="1" applyFill="1" applyBorder="1" applyAlignment="1" applyProtection="1">
      <alignment horizontal="center"/>
      <protection locked="0"/>
    </xf>
    <xf numFmtId="1" fontId="9" fillId="33" borderId="23" xfId="0" applyNumberFormat="1" applyFont="1" applyFill="1" applyBorder="1" applyProtection="1">
      <protection locked="0"/>
    </xf>
    <xf numFmtId="1" fontId="9" fillId="65" borderId="23" xfId="379" applyNumberFormat="1" applyFont="1" applyFill="1" applyBorder="1" applyAlignment="1" applyProtection="1">
      <alignment horizontal="center"/>
      <protection locked="0"/>
    </xf>
    <xf numFmtId="1" fontId="9" fillId="65" borderId="23" xfId="0" applyNumberFormat="1" applyFont="1" applyFill="1" applyBorder="1" applyProtection="1">
      <protection locked="0"/>
    </xf>
    <xf numFmtId="1" fontId="9" fillId="33" borderId="23" xfId="379" applyNumberFormat="1" applyFont="1" applyFill="1" applyBorder="1" applyProtection="1">
      <protection locked="0"/>
    </xf>
    <xf numFmtId="0" fontId="109" fillId="0" borderId="0" xfId="0" applyFont="1" applyFill="1" applyBorder="1" applyAlignment="1" applyProtection="1">
      <alignment horizontal="left" vertical="center" wrapText="1"/>
      <protection locked="0"/>
    </xf>
    <xf numFmtId="43" fontId="9" fillId="0" borderId="0" xfId="379" applyFont="1" applyAlignment="1">
      <alignment horizontal="center"/>
    </xf>
    <xf numFmtId="43" fontId="9" fillId="0" borderId="0" xfId="379" applyFont="1" applyAlignment="1" applyProtection="1">
      <alignment horizontal="center"/>
      <protection locked="0"/>
    </xf>
    <xf numFmtId="43" fontId="52" fillId="0" borderId="0" xfId="379" applyFont="1" applyBorder="1" applyAlignment="1" applyProtection="1">
      <alignment horizontal="left" vertical="center"/>
      <protection locked="0"/>
    </xf>
    <xf numFmtId="43" fontId="16" fillId="0" borderId="0" xfId="379" applyFont="1" applyAlignment="1" applyProtection="1">
      <alignment horizontal="center"/>
      <protection locked="0"/>
    </xf>
    <xf numFmtId="43" fontId="16" fillId="0" borderId="44" xfId="379" applyFont="1" applyBorder="1" applyAlignment="1" applyProtection="1">
      <alignment horizontal="center" wrapText="1"/>
      <protection locked="0"/>
    </xf>
    <xf numFmtId="43" fontId="16" fillId="0" borderId="81" xfId="379" applyFont="1" applyBorder="1" applyAlignment="1" applyProtection="1">
      <alignment horizontal="center" wrapText="1"/>
      <protection locked="0"/>
    </xf>
    <xf numFmtId="43" fontId="9" fillId="0" borderId="0" xfId="379" applyFont="1" applyBorder="1" applyProtection="1">
      <protection locked="0"/>
    </xf>
    <xf numFmtId="43" fontId="9" fillId="0" borderId="0" xfId="379" applyFont="1" applyBorder="1"/>
    <xf numFmtId="43" fontId="9" fillId="0" borderId="70" xfId="379" applyFont="1" applyBorder="1" applyAlignment="1">
      <alignment horizontal="center"/>
    </xf>
    <xf numFmtId="43" fontId="65" fillId="0" borderId="17" xfId="379" applyFont="1" applyBorder="1" applyAlignment="1">
      <alignment horizontal="center"/>
    </xf>
    <xf numFmtId="43" fontId="65" fillId="0" borderId="21" xfId="379" applyFont="1" applyBorder="1" applyAlignment="1">
      <alignment horizontal="center"/>
    </xf>
    <xf numFmtId="43" fontId="65" fillId="0" borderId="55" xfId="379" applyFont="1" applyBorder="1" applyAlignment="1">
      <alignment horizontal="center"/>
    </xf>
    <xf numFmtId="43" fontId="65" fillId="0" borderId="1" xfId="379" applyFont="1" applyBorder="1" applyAlignment="1">
      <alignment horizontal="center"/>
    </xf>
    <xf numFmtId="43" fontId="106" fillId="0" borderId="1" xfId="379" applyFont="1" applyBorder="1"/>
    <xf numFmtId="0" fontId="9" fillId="0" borderId="0" xfId="0" applyFont="1" applyAlignment="1"/>
    <xf numFmtId="0" fontId="9" fillId="0" borderId="0" xfId="0" applyFont="1" applyAlignment="1" applyProtection="1">
      <protection locked="0"/>
    </xf>
    <xf numFmtId="2" fontId="9" fillId="0" borderId="23" xfId="379" applyNumberFormat="1" applyFont="1" applyFill="1" applyBorder="1" applyAlignment="1" applyProtection="1">
      <protection locked="0"/>
    </xf>
    <xf numFmtId="43" fontId="9" fillId="0" borderId="0" xfId="0" applyNumberFormat="1" applyFont="1" applyAlignment="1"/>
    <xf numFmtId="0" fontId="9" fillId="0" borderId="68" xfId="0" applyFont="1" applyBorder="1" applyAlignment="1">
      <alignment horizontal="center"/>
    </xf>
    <xf numFmtId="0" fontId="65" fillId="0" borderId="0" xfId="0" applyFont="1" applyBorder="1" applyAlignment="1">
      <alignment horizontal="center"/>
    </xf>
    <xf numFmtId="43" fontId="65" fillId="0" borderId="0" xfId="379" applyFont="1" applyBorder="1" applyAlignment="1">
      <alignment horizontal="center"/>
    </xf>
    <xf numFmtId="0" fontId="65" fillId="0" borderId="68" xfId="0" applyFont="1" applyBorder="1" applyAlignment="1">
      <alignment horizontal="center"/>
    </xf>
    <xf numFmtId="49" fontId="9" fillId="0" borderId="0" xfId="0" applyNumberFormat="1" applyFont="1" applyBorder="1" applyAlignment="1" applyProtection="1">
      <alignment horizontal="center"/>
      <protection locked="0"/>
    </xf>
    <xf numFmtId="43" fontId="9" fillId="0" borderId="0" xfId="379" applyFont="1" applyBorder="1" applyAlignment="1" applyProtection="1">
      <alignment horizontal="center"/>
      <protection locked="0"/>
    </xf>
    <xf numFmtId="10" fontId="9" fillId="0" borderId="0" xfId="557" applyNumberFormat="1" applyFont="1" applyBorder="1" applyAlignment="1" applyProtection="1">
      <alignment horizontal="center"/>
      <protection locked="0"/>
    </xf>
    <xf numFmtId="0" fontId="0" fillId="0" borderId="0" xfId="0" applyBorder="1" applyAlignment="1">
      <alignment vertical="center"/>
    </xf>
    <xf numFmtId="0" fontId="9" fillId="36" borderId="2" xfId="0" applyFont="1" applyFill="1" applyBorder="1" applyAlignment="1">
      <alignment wrapText="1"/>
    </xf>
    <xf numFmtId="0" fontId="9" fillId="36" borderId="9" xfId="0" applyFont="1" applyFill="1" applyBorder="1" applyAlignment="1">
      <alignment wrapText="1"/>
    </xf>
    <xf numFmtId="0" fontId="9" fillId="36" borderId="19" xfId="0" applyFont="1" applyFill="1" applyBorder="1" applyAlignment="1">
      <alignment wrapText="1"/>
    </xf>
    <xf numFmtId="49" fontId="9" fillId="36" borderId="2" xfId="0" applyNumberFormat="1" applyFont="1" applyFill="1" applyBorder="1" applyAlignment="1">
      <alignment wrapText="1"/>
    </xf>
    <xf numFmtId="0" fontId="16" fillId="0" borderId="118" xfId="0" applyFont="1" applyBorder="1" applyAlignment="1">
      <alignment wrapText="1"/>
    </xf>
    <xf numFmtId="0" fontId="16" fillId="0" borderId="119" xfId="0" applyFont="1" applyBorder="1" applyAlignment="1">
      <alignment horizontal="center" wrapText="1"/>
    </xf>
    <xf numFmtId="0" fontId="16" fillId="0" borderId="120" xfId="0" applyFont="1" applyBorder="1" applyAlignment="1">
      <alignment horizontal="center" wrapText="1"/>
    </xf>
    <xf numFmtId="49" fontId="9" fillId="36" borderId="43" xfId="0" applyNumberFormat="1" applyFont="1" applyFill="1" applyBorder="1" applyAlignment="1">
      <alignment wrapText="1"/>
    </xf>
    <xf numFmtId="0" fontId="9" fillId="36" borderId="39" xfId="0" applyFont="1" applyFill="1" applyBorder="1" applyAlignment="1">
      <alignment wrapText="1"/>
    </xf>
    <xf numFmtId="2" fontId="9" fillId="0" borderId="1" xfId="379" applyNumberFormat="1" applyFont="1" applyBorder="1" applyAlignment="1" applyProtection="1">
      <protection locked="0"/>
    </xf>
    <xf numFmtId="0" fontId="116" fillId="0" borderId="0" xfId="0" applyFont="1" applyFill="1" applyBorder="1" applyAlignment="1" applyProtection="1">
      <alignment horizontal="center" vertical="center" wrapText="1"/>
      <protection locked="0"/>
    </xf>
    <xf numFmtId="0" fontId="19" fillId="0" borderId="0" xfId="0" applyFont="1" applyAlignment="1" applyProtection="1">
      <alignment horizontal="left"/>
      <protection locked="0"/>
    </xf>
    <xf numFmtId="10" fontId="19" fillId="0" borderId="0" xfId="557" applyNumberFormat="1" applyFont="1" applyBorder="1"/>
    <xf numFmtId="170" fontId="9" fillId="65" borderId="1" xfId="379" applyNumberFormat="1" applyFont="1" applyFill="1" applyBorder="1" applyAlignment="1">
      <alignment horizontal="center"/>
    </xf>
    <xf numFmtId="170" fontId="9" fillId="65" borderId="10" xfId="379" applyNumberFormat="1" applyFont="1" applyFill="1" applyBorder="1" applyAlignment="1">
      <alignment horizontal="center"/>
    </xf>
    <xf numFmtId="1" fontId="9" fillId="65" borderId="1" xfId="0" applyNumberFormat="1" applyFont="1" applyFill="1" applyBorder="1" applyAlignment="1">
      <alignment horizontal="center"/>
    </xf>
    <xf numFmtId="1" fontId="9" fillId="65" borderId="10" xfId="0" applyNumberFormat="1" applyFont="1" applyFill="1" applyBorder="1" applyAlignment="1">
      <alignment horizontal="center"/>
    </xf>
    <xf numFmtId="170" fontId="9" fillId="65" borderId="28" xfId="379" applyNumberFormat="1" applyFont="1" applyFill="1" applyBorder="1"/>
    <xf numFmtId="170" fontId="9" fillId="65" borderId="26" xfId="379" applyNumberFormat="1" applyFont="1" applyFill="1" applyBorder="1"/>
    <xf numFmtId="167" fontId="9" fillId="65" borderId="28" xfId="0" applyNumberFormat="1" applyFont="1" applyFill="1" applyBorder="1"/>
    <xf numFmtId="167" fontId="9" fillId="65" borderId="26" xfId="0" applyNumberFormat="1" applyFont="1" applyFill="1" applyBorder="1"/>
    <xf numFmtId="0" fontId="9" fillId="65" borderId="1" xfId="0" applyFont="1" applyFill="1" applyBorder="1" applyAlignment="1">
      <alignment horizontal="center"/>
    </xf>
    <xf numFmtId="0" fontId="9" fillId="65" borderId="10" xfId="0" applyFont="1" applyFill="1" applyBorder="1" applyAlignment="1">
      <alignment horizontal="center"/>
    </xf>
    <xf numFmtId="0" fontId="117" fillId="0" borderId="0" xfId="0" applyFont="1" applyBorder="1" applyAlignment="1"/>
    <xf numFmtId="0" fontId="9" fillId="33" borderId="0" xfId="0" applyFont="1" applyFill="1"/>
    <xf numFmtId="2" fontId="9" fillId="66" borderId="7" xfId="379" applyNumberFormat="1" applyFont="1" applyFill="1" applyBorder="1" applyAlignment="1" applyProtection="1">
      <alignment horizontal="center"/>
      <protection locked="0"/>
    </xf>
    <xf numFmtId="2" fontId="9" fillId="66" borderId="23" xfId="379" applyNumberFormat="1" applyFont="1" applyFill="1" applyBorder="1" applyAlignment="1" applyProtection="1">
      <alignment horizontal="center"/>
      <protection locked="0"/>
    </xf>
    <xf numFmtId="2" fontId="9" fillId="66" borderId="2" xfId="379" applyNumberFormat="1" applyFont="1" applyFill="1" applyBorder="1" applyAlignment="1" applyProtection="1">
      <alignment horizontal="center"/>
      <protection locked="0"/>
    </xf>
    <xf numFmtId="0" fontId="9" fillId="66" borderId="0" xfId="0" applyFont="1" applyFill="1"/>
    <xf numFmtId="0" fontId="16" fillId="67" borderId="1" xfId="0" applyFont="1" applyFill="1" applyBorder="1" applyAlignment="1">
      <alignment horizontal="center"/>
    </xf>
    <xf numFmtId="0" fontId="16" fillId="67" borderId="8" xfId="0" applyFont="1" applyFill="1" applyBorder="1" applyAlignment="1">
      <alignment horizontal="center"/>
    </xf>
    <xf numFmtId="0" fontId="16" fillId="67" borderId="10" xfId="0" applyFont="1" applyFill="1" applyBorder="1" applyAlignment="1">
      <alignment horizontal="center"/>
    </xf>
    <xf numFmtId="0" fontId="16" fillId="67" borderId="11" xfId="0" applyFont="1" applyFill="1" applyBorder="1" applyAlignment="1">
      <alignment horizontal="center"/>
    </xf>
    <xf numFmtId="0" fontId="16" fillId="67" borderId="12" xfId="0" applyFont="1" applyFill="1" applyBorder="1" applyAlignment="1">
      <alignment horizontal="center"/>
    </xf>
    <xf numFmtId="0" fontId="16" fillId="67" borderId="13" xfId="0" applyFont="1" applyFill="1" applyBorder="1" applyAlignment="1">
      <alignment horizontal="center"/>
    </xf>
    <xf numFmtId="0" fontId="16" fillId="67" borderId="44" xfId="0" applyFont="1" applyFill="1" applyBorder="1" applyAlignment="1">
      <alignment horizontal="center"/>
    </xf>
    <xf numFmtId="0" fontId="16" fillId="67" borderId="18" xfId="0" applyFont="1" applyFill="1" applyBorder="1" applyAlignment="1">
      <alignment horizontal="center"/>
    </xf>
    <xf numFmtId="0" fontId="16" fillId="67" borderId="26" xfId="0" applyFont="1" applyFill="1" applyBorder="1" applyAlignment="1">
      <alignment horizontal="center"/>
    </xf>
    <xf numFmtId="0" fontId="16" fillId="67" borderId="42" xfId="0" applyFont="1" applyFill="1" applyBorder="1" applyAlignment="1">
      <alignment horizontal="center"/>
    </xf>
    <xf numFmtId="0" fontId="16" fillId="66" borderId="1" xfId="0" applyFont="1" applyFill="1" applyBorder="1" applyAlignment="1" applyProtection="1">
      <alignment horizontal="center" wrapText="1"/>
    </xf>
    <xf numFmtId="0" fontId="16" fillId="66" borderId="44" xfId="0" applyFont="1" applyFill="1" applyBorder="1" applyAlignment="1" applyProtection="1">
      <alignment horizontal="center" wrapText="1"/>
    </xf>
    <xf numFmtId="2" fontId="9" fillId="66" borderId="1" xfId="379" applyNumberFormat="1" applyFont="1" applyFill="1" applyBorder="1" applyAlignment="1" applyProtection="1">
      <alignment horizontal="center"/>
      <protection locked="0"/>
    </xf>
    <xf numFmtId="2" fontId="55" fillId="0" borderId="23" xfId="379" applyNumberFormat="1" applyFont="1" applyFill="1" applyBorder="1" applyAlignment="1" applyProtection="1">
      <alignment horizontal="center"/>
      <protection locked="0"/>
    </xf>
    <xf numFmtId="0" fontId="55" fillId="0" borderId="1" xfId="0" applyFont="1" applyFill="1" applyBorder="1"/>
    <xf numFmtId="0" fontId="55" fillId="0" borderId="1" xfId="0" applyFont="1" applyBorder="1"/>
    <xf numFmtId="49" fontId="55" fillId="0" borderId="17" xfId="0" applyNumberFormat="1" applyFont="1" applyBorder="1"/>
    <xf numFmtId="0" fontId="55" fillId="0" borderId="17" xfId="0" applyFont="1" applyBorder="1"/>
    <xf numFmtId="0" fontId="55" fillId="0" borderId="22" xfId="0" applyFont="1" applyBorder="1"/>
    <xf numFmtId="170" fontId="42" fillId="0" borderId="0" xfId="0" applyNumberFormat="1" applyFont="1"/>
    <xf numFmtId="0" fontId="41" fillId="0" borderId="1" xfId="0" applyFont="1" applyBorder="1" applyAlignment="1"/>
    <xf numFmtId="170" fontId="41" fillId="0" borderId="1" xfId="379" applyNumberFormat="1" applyFont="1" applyBorder="1" applyAlignment="1"/>
    <xf numFmtId="0" fontId="25" fillId="68" borderId="1" xfId="0" applyFont="1" applyFill="1" applyBorder="1" applyAlignment="1"/>
    <xf numFmtId="170" fontId="25" fillId="0" borderId="1" xfId="379" applyNumberFormat="1" applyFont="1" applyBorder="1" applyAlignment="1"/>
    <xf numFmtId="0" fontId="25" fillId="69" borderId="1" xfId="0" applyFont="1" applyFill="1" applyBorder="1" applyAlignment="1"/>
    <xf numFmtId="0" fontId="25" fillId="70" borderId="1" xfId="0" applyFont="1" applyFill="1" applyBorder="1" applyAlignment="1"/>
    <xf numFmtId="0" fontId="25" fillId="71" borderId="1" xfId="0" applyFont="1" applyFill="1" applyBorder="1" applyAlignment="1"/>
    <xf numFmtId="170" fontId="9" fillId="0" borderId="0" xfId="379" applyNumberFormat="1" applyFont="1" applyAlignment="1"/>
    <xf numFmtId="43" fontId="26" fillId="64" borderId="99" xfId="768" applyNumberFormat="1" applyFont="1" applyFill="1" applyBorder="1" applyAlignment="1">
      <alignment horizontal="center" vertical="center"/>
    </xf>
    <xf numFmtId="0" fontId="9" fillId="0" borderId="27" xfId="521" applyFont="1" applyBorder="1" applyAlignment="1">
      <alignment vertical="center"/>
    </xf>
    <xf numFmtId="0" fontId="9" fillId="0" borderId="77" xfId="521" applyFont="1" applyBorder="1" applyAlignment="1">
      <alignment vertical="center"/>
    </xf>
    <xf numFmtId="0" fontId="9" fillId="0" borderId="28" xfId="521" applyFont="1" applyBorder="1" applyAlignment="1">
      <alignment horizontal="center" vertical="center"/>
    </xf>
    <xf numFmtId="170" fontId="9" fillId="0" borderId="28" xfId="379" applyNumberFormat="1" applyFont="1" applyFill="1" applyBorder="1" applyAlignment="1">
      <alignment horizontal="center" vertical="center"/>
    </xf>
    <xf numFmtId="170" fontId="9" fillId="0" borderId="29" xfId="379" applyNumberFormat="1" applyFont="1" applyFill="1" applyBorder="1" applyAlignment="1">
      <alignment horizontal="center" vertical="center"/>
    </xf>
    <xf numFmtId="0" fontId="9" fillId="0" borderId="0" xfId="521" applyFont="1" applyAlignment="1">
      <alignment vertical="center"/>
    </xf>
    <xf numFmtId="10" fontId="9" fillId="0" borderId="27" xfId="558" applyNumberFormat="1" applyFont="1" applyFill="1" applyBorder="1" applyAlignment="1">
      <alignment horizontal="center" vertical="center"/>
    </xf>
    <xf numFmtId="3" fontId="42" fillId="0" borderId="76" xfId="379" applyNumberFormat="1" applyFont="1" applyFill="1" applyBorder="1" applyAlignment="1">
      <alignment horizontal="center" vertical="center"/>
    </xf>
    <xf numFmtId="3" fontId="9" fillId="0" borderId="76" xfId="379" applyNumberFormat="1" applyFont="1" applyFill="1" applyBorder="1" applyAlignment="1">
      <alignment horizontal="center" vertical="center"/>
    </xf>
    <xf numFmtId="3" fontId="9" fillId="0" borderId="29" xfId="379" applyNumberFormat="1" applyFont="1" applyFill="1" applyBorder="1" applyAlignment="1">
      <alignment horizontal="center" vertical="center"/>
    </xf>
    <xf numFmtId="0" fontId="13" fillId="0" borderId="0" xfId="0" applyFont="1" applyFill="1" applyBorder="1" applyAlignment="1"/>
    <xf numFmtId="0" fontId="13" fillId="0" borderId="25" xfId="0" applyFont="1" applyFill="1" applyBorder="1" applyAlignment="1"/>
    <xf numFmtId="0" fontId="44" fillId="0" borderId="1" xfId="0" applyFont="1" applyBorder="1" applyAlignment="1">
      <alignment horizontal="center" vertical="center" wrapText="1"/>
    </xf>
    <xf numFmtId="172" fontId="82" fillId="33" borderId="0" xfId="784" applyNumberFormat="1" applyFill="1" applyBorder="1" applyAlignment="1">
      <alignment horizontal="left"/>
    </xf>
    <xf numFmtId="172" fontId="9" fillId="33" borderId="0" xfId="383" applyNumberFormat="1" applyFont="1" applyFill="1" applyBorder="1" applyAlignment="1">
      <alignment horizontal="left"/>
    </xf>
    <xf numFmtId="172" fontId="9" fillId="0" borderId="0" xfId="383" applyNumberFormat="1" applyFont="1" applyFill="1" applyBorder="1" applyAlignment="1">
      <alignment horizontal="center"/>
    </xf>
    <xf numFmtId="0" fontId="23" fillId="0" borderId="0" xfId="0" applyFont="1" applyAlignment="1">
      <alignment horizontal="center" vertical="top"/>
    </xf>
    <xf numFmtId="0" fontId="24" fillId="0" borderId="0" xfId="0" applyFont="1" applyAlignment="1">
      <alignment horizontal="left" vertical="top"/>
    </xf>
    <xf numFmtId="0" fontId="9" fillId="33" borderId="0" xfId="0" applyFont="1" applyFill="1" applyBorder="1" applyAlignment="1" applyProtection="1">
      <alignment horizontal="center" vertical="center"/>
    </xf>
    <xf numFmtId="0" fontId="61" fillId="0" borderId="0" xfId="0" applyFont="1" applyBorder="1" applyAlignment="1">
      <alignment horizontal="center" vertical="center" wrapText="1"/>
    </xf>
    <xf numFmtId="0" fontId="61" fillId="0" borderId="0" xfId="0" applyFont="1" applyAlignment="1">
      <alignment horizontal="center" vertical="center" wrapText="1"/>
    </xf>
    <xf numFmtId="49" fontId="16" fillId="0" borderId="14" xfId="0" applyNumberFormat="1" applyFont="1" applyFill="1" applyBorder="1" applyAlignment="1">
      <alignment horizontal="center" wrapText="1"/>
    </xf>
    <xf numFmtId="0" fontId="16" fillId="0" borderId="24" xfId="0" applyFont="1" applyFill="1" applyBorder="1" applyAlignment="1">
      <alignment horizontal="center" wrapText="1"/>
    </xf>
    <xf numFmtId="0" fontId="16" fillId="0" borderId="53" xfId="0" applyFont="1" applyFill="1" applyBorder="1" applyAlignment="1">
      <alignment horizontal="center" wrapText="1"/>
    </xf>
    <xf numFmtId="49" fontId="16" fillId="0" borderId="20" xfId="0" applyNumberFormat="1" applyFont="1" applyFill="1" applyBorder="1" applyAlignment="1">
      <alignment horizontal="center"/>
    </xf>
    <xf numFmtId="0" fontId="16" fillId="0" borderId="13" xfId="0" applyNumberFormat="1" applyFont="1" applyFill="1" applyBorder="1" applyAlignment="1">
      <alignment horizontal="center"/>
    </xf>
    <xf numFmtId="0" fontId="16" fillId="0" borderId="15" xfId="0" applyFont="1" applyFill="1" applyBorder="1" applyAlignment="1">
      <alignment horizontal="center"/>
    </xf>
    <xf numFmtId="0" fontId="16" fillId="0" borderId="52" xfId="0" applyFont="1" applyFill="1" applyBorder="1" applyAlignment="1">
      <alignment horizontal="center"/>
    </xf>
    <xf numFmtId="49" fontId="16" fillId="0" borderId="24" xfId="0" applyNumberFormat="1" applyFont="1" applyFill="1" applyBorder="1" applyAlignment="1">
      <alignment horizontal="center"/>
    </xf>
    <xf numFmtId="0" fontId="16" fillId="0" borderId="51" xfId="0" applyFont="1" applyFill="1" applyBorder="1" applyAlignment="1">
      <alignment horizontal="center"/>
    </xf>
    <xf numFmtId="0" fontId="16" fillId="0" borderId="19" xfId="0" applyFont="1" applyFill="1" applyBorder="1" applyAlignment="1">
      <alignment horizontal="center"/>
    </xf>
    <xf numFmtId="0" fontId="16" fillId="0" borderId="13" xfId="0" applyFont="1" applyFill="1" applyBorder="1" applyAlignment="1">
      <alignment horizontal="center"/>
    </xf>
    <xf numFmtId="0" fontId="16" fillId="0" borderId="12" xfId="0" applyFont="1" applyFill="1" applyBorder="1" applyAlignment="1">
      <alignment horizontal="center"/>
    </xf>
    <xf numFmtId="2" fontId="16" fillId="0" borderId="20" xfId="0" applyNumberFormat="1" applyFont="1" applyFill="1" applyBorder="1" applyAlignment="1">
      <alignment horizontal="center"/>
    </xf>
    <xf numFmtId="2" fontId="16" fillId="0" borderId="13" xfId="0" applyNumberFormat="1" applyFont="1" applyFill="1" applyBorder="1" applyAlignment="1">
      <alignment horizontal="center"/>
    </xf>
    <xf numFmtId="0" fontId="16" fillId="0" borderId="20" xfId="0" applyNumberFormat="1" applyFont="1" applyFill="1" applyBorder="1" applyAlignment="1">
      <alignment horizontal="center"/>
    </xf>
    <xf numFmtId="170" fontId="9" fillId="0" borderId="14" xfId="379" applyNumberFormat="1" applyFont="1" applyBorder="1" applyAlignment="1">
      <alignment horizontal="center"/>
    </xf>
    <xf numFmtId="170" fontId="9" fillId="0" borderId="53" xfId="379" applyNumberFormat="1" applyFont="1" applyBorder="1" applyAlignment="1">
      <alignment horizontal="center"/>
    </xf>
    <xf numFmtId="0" fontId="9" fillId="0" borderId="47" xfId="0" applyFont="1" applyBorder="1" applyAlignment="1">
      <alignment horizontal="center" vertical="center" wrapText="1"/>
    </xf>
    <xf numFmtId="0" fontId="9" fillId="0" borderId="49" xfId="0" applyFont="1" applyBorder="1" applyAlignment="1">
      <alignment horizontal="center" vertical="center" wrapText="1"/>
    </xf>
    <xf numFmtId="0" fontId="16" fillId="0" borderId="50" xfId="0" applyFont="1" applyBorder="1" applyAlignment="1">
      <alignment horizontal="center"/>
    </xf>
    <xf numFmtId="0" fontId="16" fillId="0" borderId="51" xfId="0" applyFont="1" applyBorder="1" applyAlignment="1">
      <alignment horizontal="center"/>
    </xf>
    <xf numFmtId="0" fontId="16" fillId="0" borderId="21" xfId="0" applyFont="1" applyBorder="1" applyAlignment="1">
      <alignment horizontal="center"/>
    </xf>
    <xf numFmtId="49" fontId="9" fillId="0" borderId="47" xfId="0" applyNumberFormat="1" applyFont="1" applyBorder="1" applyAlignment="1">
      <alignment horizontal="center"/>
    </xf>
    <xf numFmtId="0" fontId="9" fillId="0" borderId="49" xfId="0" applyFont="1" applyBorder="1" applyAlignment="1">
      <alignment horizontal="center"/>
    </xf>
    <xf numFmtId="0" fontId="9" fillId="0" borderId="49" xfId="0" applyNumberFormat="1" applyFont="1" applyBorder="1" applyAlignment="1">
      <alignment horizontal="center"/>
    </xf>
    <xf numFmtId="49" fontId="9" fillId="0" borderId="47" xfId="0" applyNumberFormat="1" applyFont="1" applyBorder="1" applyAlignment="1">
      <alignment horizontal="center" vertical="center" wrapText="1"/>
    </xf>
    <xf numFmtId="0" fontId="16" fillId="0" borderId="1" xfId="0" applyFont="1" applyBorder="1" applyAlignment="1" applyProtection="1">
      <alignment horizontal="center"/>
      <protection locked="0"/>
    </xf>
    <xf numFmtId="0" fontId="60" fillId="0" borderId="0" xfId="0" applyFont="1" applyFill="1" applyBorder="1" applyAlignment="1" applyProtection="1">
      <alignment horizontal="center" vertical="center"/>
      <protection locked="0"/>
    </xf>
    <xf numFmtId="0" fontId="64" fillId="0" borderId="1" xfId="860" applyFont="1" applyBorder="1" applyAlignment="1">
      <alignment horizontal="center"/>
    </xf>
    <xf numFmtId="0" fontId="56" fillId="0" borderId="0" xfId="0" applyFont="1" applyBorder="1" applyAlignment="1">
      <alignment horizontal="center"/>
    </xf>
    <xf numFmtId="3" fontId="42" fillId="0" borderId="10" xfId="0" applyNumberFormat="1" applyFont="1" applyBorder="1" applyAlignment="1">
      <alignment horizontal="center" vertical="center" wrapText="1"/>
    </xf>
    <xf numFmtId="3" fontId="42" fillId="0" borderId="76" xfId="0" applyNumberFormat="1" applyFont="1" applyBorder="1" applyAlignment="1">
      <alignment horizontal="center" vertical="center" wrapText="1"/>
    </xf>
    <xf numFmtId="3" fontId="42" fillId="0" borderId="77" xfId="0" applyNumberFormat="1" applyFont="1" applyBorder="1" applyAlignment="1">
      <alignment horizontal="center" vertical="center" wrapText="1"/>
    </xf>
    <xf numFmtId="0" fontId="54" fillId="0" borderId="54" xfId="0" applyFont="1" applyBorder="1" applyAlignment="1">
      <alignment horizontal="center" vertical="center" wrapText="1"/>
    </xf>
    <xf numFmtId="0" fontId="54" fillId="0" borderId="55" xfId="0" applyFont="1" applyBorder="1" applyAlignment="1">
      <alignment horizontal="center" vertical="center" wrapText="1"/>
    </xf>
    <xf numFmtId="3" fontId="42" fillId="0" borderId="50" xfId="0" applyNumberFormat="1" applyFont="1" applyBorder="1" applyAlignment="1">
      <alignment horizontal="center" vertical="center" wrapText="1"/>
    </xf>
    <xf numFmtId="3" fontId="42" fillId="0" borderId="21" xfId="0" applyNumberFormat="1" applyFont="1" applyBorder="1" applyAlignment="1">
      <alignment horizontal="center" vertical="center" wrapText="1"/>
    </xf>
    <xf numFmtId="0" fontId="44" fillId="0" borderId="23" xfId="0" applyFont="1" applyBorder="1" applyAlignment="1">
      <alignment horizontal="center" vertical="center" wrapText="1"/>
    </xf>
    <xf numFmtId="3" fontId="42" fillId="0" borderId="1" xfId="0" applyNumberFormat="1" applyFont="1" applyBorder="1" applyAlignment="1">
      <alignment horizontal="center" vertical="center" wrapText="1"/>
    </xf>
    <xf numFmtId="0" fontId="54" fillId="0" borderId="54" xfId="0" applyFont="1" applyBorder="1" applyAlignment="1">
      <alignment horizontal="center" vertical="center"/>
    </xf>
    <xf numFmtId="0" fontId="54" fillId="0" borderId="55" xfId="0" applyFont="1" applyBorder="1" applyAlignment="1">
      <alignment horizontal="center" vertical="center"/>
    </xf>
    <xf numFmtId="172" fontId="9" fillId="66" borderId="31" xfId="383" applyNumberFormat="1" applyFont="1" applyFill="1" applyBorder="1" applyAlignment="1">
      <alignment horizontal="center"/>
    </xf>
    <xf numFmtId="172" fontId="9" fillId="66" borderId="5" xfId="383" applyNumberFormat="1" applyFont="1" applyFill="1" applyBorder="1" applyAlignment="1">
      <alignment horizontal="center"/>
    </xf>
    <xf numFmtId="172" fontId="9" fillId="66" borderId="6" xfId="383" applyNumberFormat="1" applyFont="1" applyFill="1" applyBorder="1" applyAlignment="1">
      <alignment horizontal="center"/>
    </xf>
    <xf numFmtId="0" fontId="9" fillId="0" borderId="39" xfId="0" applyFont="1" applyBorder="1" applyAlignment="1">
      <alignment horizontal="center"/>
    </xf>
    <xf numFmtId="0" fontId="9" fillId="0" borderId="26" xfId="0" applyFont="1" applyBorder="1" applyAlignment="1">
      <alignment horizontal="center"/>
    </xf>
    <xf numFmtId="0" fontId="9" fillId="0" borderId="42" xfId="0" applyFont="1" applyBorder="1" applyAlignment="1">
      <alignment horizontal="center"/>
    </xf>
    <xf numFmtId="0" fontId="43" fillId="34" borderId="0" xfId="0" applyFont="1" applyFill="1" applyBorder="1" applyAlignment="1">
      <alignment horizontal="center" vertical="center"/>
    </xf>
    <xf numFmtId="0" fontId="9" fillId="34" borderId="48" xfId="0" applyFont="1" applyFill="1" applyBorder="1" applyAlignment="1">
      <alignment horizontal="left" vertical="center" wrapText="1"/>
    </xf>
    <xf numFmtId="0" fontId="44" fillId="0" borderId="12" xfId="0" applyFont="1" applyBorder="1" applyAlignment="1">
      <alignment horizontal="center" vertical="center" wrapText="1"/>
    </xf>
    <xf numFmtId="0" fontId="54" fillId="0" borderId="75" xfId="0" applyFont="1" applyBorder="1" applyAlignment="1">
      <alignment horizontal="center" vertical="center" wrapText="1"/>
    </xf>
    <xf numFmtId="0" fontId="54" fillId="0" borderId="20" xfId="0" applyFont="1" applyBorder="1" applyAlignment="1">
      <alignment horizontal="center" vertical="center" wrapText="1"/>
    </xf>
    <xf numFmtId="172" fontId="9" fillId="0" borderId="31" xfId="383" applyNumberFormat="1" applyFont="1" applyFill="1" applyBorder="1" applyAlignment="1">
      <alignment horizontal="center"/>
    </xf>
    <xf numFmtId="172" fontId="9" fillId="0" borderId="5" xfId="383" applyNumberFormat="1" applyFont="1" applyFill="1" applyBorder="1" applyAlignment="1">
      <alignment horizontal="center"/>
    </xf>
    <xf numFmtId="172" fontId="9" fillId="0" borderId="6" xfId="383" applyNumberFormat="1" applyFont="1" applyFill="1" applyBorder="1" applyAlignment="1">
      <alignment horizontal="center"/>
    </xf>
    <xf numFmtId="0" fontId="56" fillId="0" borderId="19" xfId="0" applyFont="1" applyBorder="1" applyAlignment="1">
      <alignment horizontal="center"/>
    </xf>
    <xf numFmtId="0" fontId="56" fillId="0" borderId="24" xfId="0" applyFont="1" applyBorder="1" applyAlignment="1">
      <alignment horizontal="center"/>
    </xf>
    <xf numFmtId="0" fontId="56" fillId="0" borderId="13" xfId="0" applyFont="1" applyBorder="1" applyAlignment="1">
      <alignment horizontal="center"/>
    </xf>
    <xf numFmtId="2" fontId="83" fillId="66" borderId="3" xfId="379" applyNumberFormat="1" applyFont="1" applyFill="1" applyBorder="1" applyAlignment="1" applyProtection="1">
      <alignment horizontal="center" vertical="center"/>
      <protection locked="0"/>
    </xf>
    <xf numFmtId="2" fontId="83" fillId="66" borderId="79" xfId="379" applyNumberFormat="1" applyFont="1" applyFill="1" applyBorder="1" applyAlignment="1" applyProtection="1">
      <alignment horizontal="center" vertical="center"/>
      <protection locked="0"/>
    </xf>
    <xf numFmtId="0" fontId="9" fillId="34" borderId="48" xfId="0" applyFont="1" applyFill="1" applyBorder="1" applyAlignment="1">
      <alignment horizontal="center" vertical="center" wrapText="1"/>
    </xf>
    <xf numFmtId="0" fontId="65" fillId="0" borderId="50" xfId="0" applyFont="1" applyBorder="1" applyAlignment="1">
      <alignment horizontal="center"/>
    </xf>
    <xf numFmtId="0" fontId="65" fillId="0" borderId="51" xfId="0" applyFont="1" applyBorder="1" applyAlignment="1">
      <alignment horizontal="center"/>
    </xf>
    <xf numFmtId="0" fontId="65" fillId="0" borderId="21" xfId="0" applyFont="1" applyBorder="1" applyAlignment="1">
      <alignment horizontal="center"/>
    </xf>
    <xf numFmtId="0" fontId="24" fillId="0" borderId="0" xfId="696" applyFont="1" applyAlignment="1">
      <alignment horizontal="left"/>
    </xf>
    <xf numFmtId="0" fontId="48" fillId="0" borderId="0" xfId="767" applyFont="1" applyAlignment="1">
      <alignment horizontal="left" vertical="top" wrapText="1"/>
    </xf>
    <xf numFmtId="0" fontId="49" fillId="34" borderId="70" xfId="767" applyFont="1" applyFill="1" applyBorder="1" applyAlignment="1">
      <alignment horizontal="center" vertical="top"/>
    </xf>
    <xf numFmtId="0" fontId="49" fillId="34" borderId="78" xfId="767" applyFont="1" applyFill="1" applyBorder="1" applyAlignment="1">
      <alignment horizontal="center" vertical="top"/>
    </xf>
    <xf numFmtId="0" fontId="112" fillId="0" borderId="0" xfId="767" applyFont="1" applyBorder="1" applyAlignment="1">
      <alignment horizontal="left" vertical="top" wrapText="1"/>
    </xf>
    <xf numFmtId="0" fontId="48" fillId="0" borderId="0" xfId="767" applyFont="1" applyBorder="1" applyAlignment="1">
      <alignment horizontal="left" vertical="top" wrapText="1"/>
    </xf>
    <xf numFmtId="0" fontId="49" fillId="34" borderId="45" xfId="767" applyFont="1" applyFill="1" applyBorder="1" applyAlignment="1">
      <alignment horizontal="center" vertical="top"/>
    </xf>
    <xf numFmtId="0" fontId="49" fillId="34" borderId="0" xfId="767" applyFont="1" applyFill="1" applyBorder="1" applyAlignment="1">
      <alignment horizontal="center" vertical="top"/>
    </xf>
    <xf numFmtId="0" fontId="49" fillId="34" borderId="41" xfId="767" applyFont="1" applyFill="1" applyBorder="1" applyAlignment="1">
      <alignment horizontal="center" vertical="top"/>
    </xf>
    <xf numFmtId="0" fontId="49" fillId="34" borderId="15" xfId="767" applyFont="1" applyFill="1" applyBorder="1" applyAlignment="1">
      <alignment horizontal="center" vertical="center"/>
    </xf>
    <xf numFmtId="0" fontId="49" fillId="34" borderId="51" xfId="767" applyFont="1" applyFill="1" applyBorder="1" applyAlignment="1">
      <alignment horizontal="center" vertical="center"/>
    </xf>
    <xf numFmtId="0" fontId="49" fillId="34" borderId="52" xfId="767" applyFont="1" applyFill="1" applyBorder="1" applyAlignment="1">
      <alignment horizontal="center" vertical="center"/>
    </xf>
    <xf numFmtId="0" fontId="112" fillId="0" borderId="0" xfId="767" applyFont="1" applyBorder="1" applyAlignment="1">
      <alignment horizontal="left"/>
    </xf>
    <xf numFmtId="0" fontId="49" fillId="0" borderId="0" xfId="767" applyFont="1" applyBorder="1" applyAlignment="1">
      <alignment horizontal="center" vertical="top" wrapText="1"/>
    </xf>
    <xf numFmtId="0" fontId="49" fillId="34" borderId="47" xfId="767" applyFont="1" applyFill="1" applyBorder="1" applyAlignment="1">
      <alignment horizontal="center"/>
    </xf>
    <xf numFmtId="0" fontId="49" fillId="34" borderId="48" xfId="767" applyFont="1" applyFill="1" applyBorder="1" applyAlignment="1">
      <alignment horizontal="center"/>
    </xf>
    <xf numFmtId="0" fontId="49" fillId="34" borderId="49" xfId="767" applyFont="1" applyFill="1" applyBorder="1" applyAlignment="1">
      <alignment horizontal="center"/>
    </xf>
    <xf numFmtId="0" fontId="49" fillId="34" borderId="45" xfId="767" applyFont="1" applyFill="1" applyBorder="1" applyAlignment="1">
      <alignment horizontal="left" vertical="center"/>
    </xf>
    <xf numFmtId="0" fontId="49" fillId="34" borderId="0" xfId="767" applyFont="1" applyFill="1" applyBorder="1" applyAlignment="1">
      <alignment horizontal="left" vertical="center"/>
    </xf>
    <xf numFmtId="0" fontId="48" fillId="34" borderId="38" xfId="767" applyFont="1" applyFill="1" applyBorder="1" applyAlignment="1">
      <alignment vertical="top" wrapText="1"/>
    </xf>
    <xf numFmtId="0" fontId="48" fillId="34" borderId="70" xfId="767" applyFont="1" applyFill="1" applyBorder="1" applyAlignment="1">
      <alignment vertical="top" wrapText="1"/>
    </xf>
    <xf numFmtId="0" fontId="49" fillId="0" borderId="46" xfId="767" applyFont="1" applyBorder="1" applyAlignment="1">
      <alignment vertical="top" wrapText="1"/>
    </xf>
    <xf numFmtId="0" fontId="49" fillId="0" borderId="25" xfId="767" applyFont="1" applyBorder="1" applyAlignment="1">
      <alignment vertical="top" wrapText="1"/>
    </xf>
    <xf numFmtId="171" fontId="19" fillId="33" borderId="45" xfId="768" applyNumberFormat="1" applyFont="1" applyFill="1" applyBorder="1" applyAlignment="1">
      <alignment horizontal="center" vertical="top"/>
    </xf>
    <xf numFmtId="171" fontId="19" fillId="33" borderId="0" xfId="768" applyNumberFormat="1" applyFont="1" applyFill="1" applyBorder="1" applyAlignment="1">
      <alignment horizontal="center" vertical="top"/>
    </xf>
    <xf numFmtId="171" fontId="19" fillId="33" borderId="41" xfId="768" applyNumberFormat="1" applyFont="1" applyFill="1" applyBorder="1" applyAlignment="1">
      <alignment horizontal="center" vertical="top"/>
    </xf>
    <xf numFmtId="0" fontId="112" fillId="0" borderId="0" xfId="767" applyFont="1" applyAlignment="1">
      <alignment horizontal="left" vertical="top"/>
    </xf>
    <xf numFmtId="0" fontId="49" fillId="62" borderId="47" xfId="767" applyFont="1" applyFill="1" applyBorder="1" applyAlignment="1">
      <alignment horizontal="center" vertical="top"/>
    </xf>
    <xf numFmtId="0" fontId="49" fillId="62" borderId="48" xfId="767" applyFont="1" applyFill="1" applyBorder="1" applyAlignment="1">
      <alignment horizontal="center" vertical="top"/>
    </xf>
    <xf numFmtId="0" fontId="49" fillId="62" borderId="49" xfId="767" applyFont="1" applyFill="1" applyBorder="1" applyAlignment="1">
      <alignment horizontal="center" vertical="top"/>
    </xf>
    <xf numFmtId="171" fontId="19" fillId="33" borderId="45" xfId="768" applyNumberFormat="1" applyFont="1" applyFill="1" applyBorder="1" applyAlignment="1">
      <alignment horizontal="center"/>
    </xf>
    <xf numFmtId="171" fontId="19" fillId="33" borderId="0" xfId="768" applyNumberFormat="1" applyFont="1" applyFill="1" applyBorder="1" applyAlignment="1">
      <alignment horizontal="center"/>
    </xf>
    <xf numFmtId="171" fontId="19" fillId="33" borderId="41" xfId="768" applyNumberFormat="1" applyFont="1" applyFill="1" applyBorder="1" applyAlignment="1">
      <alignment horizontal="center"/>
    </xf>
    <xf numFmtId="2" fontId="9" fillId="0" borderId="75" xfId="0" applyNumberFormat="1" applyFont="1" applyFill="1" applyBorder="1" applyAlignment="1">
      <alignment horizontal="center" wrapText="1"/>
    </xf>
    <xf numFmtId="2" fontId="9" fillId="0" borderId="20" xfId="0" applyNumberFormat="1" applyFont="1" applyFill="1" applyBorder="1" applyAlignment="1">
      <alignment horizontal="center" wrapText="1"/>
    </xf>
    <xf numFmtId="2" fontId="9" fillId="0" borderId="53" xfId="0" applyNumberFormat="1" applyFont="1" applyFill="1" applyBorder="1" applyAlignment="1">
      <alignment horizontal="center" wrapText="1"/>
    </xf>
    <xf numFmtId="2" fontId="9" fillId="0" borderId="12" xfId="0" applyNumberFormat="1" applyFont="1" applyFill="1" applyBorder="1" applyAlignment="1">
      <alignment horizontal="center" wrapText="1"/>
    </xf>
    <xf numFmtId="0" fontId="9" fillId="0" borderId="12" xfId="0" applyFont="1" applyFill="1" applyBorder="1" applyAlignment="1">
      <alignment horizontal="center" wrapText="1"/>
    </xf>
    <xf numFmtId="2" fontId="16" fillId="0" borderId="1" xfId="0" applyNumberFormat="1" applyFont="1" applyBorder="1" applyAlignment="1">
      <alignment horizontal="center"/>
    </xf>
    <xf numFmtId="0" fontId="16" fillId="0" borderId="1" xfId="0" applyFont="1" applyBorder="1" applyAlignment="1">
      <alignment horizontal="center"/>
    </xf>
  </cellXfs>
  <cellStyles count="1446">
    <cellStyle name="$" xfId="745"/>
    <cellStyle name="$.00" xfId="746"/>
    <cellStyle name="$_9. Rev2Cost_GDPIPI" xfId="747"/>
    <cellStyle name="$_lists" xfId="748"/>
    <cellStyle name="$_lists_4. Current Monthly Fixed Charge" xfId="749"/>
    <cellStyle name="$_Sheet4" xfId="750"/>
    <cellStyle name="$M" xfId="751"/>
    <cellStyle name="$M.00" xfId="752"/>
    <cellStyle name="$M_9. Rev2Cost_GDPIPI" xfId="753"/>
    <cellStyle name="20% - Accent1 10" xfId="1"/>
    <cellStyle name="20% - Accent1 11" xfId="2"/>
    <cellStyle name="20% - Accent1 12" xfId="3"/>
    <cellStyle name="20% - Accent1 13" xfId="4"/>
    <cellStyle name="20% - Accent1 14" xfId="5"/>
    <cellStyle name="20% - Accent1 15" xfId="6"/>
    <cellStyle name="20% - Accent1 16" xfId="669"/>
    <cellStyle name="20% - Accent1 2" xfId="7"/>
    <cellStyle name="20% - Accent1 2 2" xfId="716"/>
    <cellStyle name="20% - Accent1 3" xfId="8"/>
    <cellStyle name="20% - Accent1 4" xfId="9"/>
    <cellStyle name="20% - Accent1 5" xfId="10"/>
    <cellStyle name="20% - Accent1 6" xfId="11"/>
    <cellStyle name="20% - Accent1 7" xfId="12"/>
    <cellStyle name="20% - Accent1 8" xfId="13"/>
    <cellStyle name="20% - Accent1 9" xfId="14"/>
    <cellStyle name="20% - Accent2 10" xfId="15"/>
    <cellStyle name="20% - Accent2 11" xfId="16"/>
    <cellStyle name="20% - Accent2 12" xfId="17"/>
    <cellStyle name="20% - Accent2 13" xfId="18"/>
    <cellStyle name="20% - Accent2 14" xfId="19"/>
    <cellStyle name="20% - Accent2 15" xfId="20"/>
    <cellStyle name="20% - Accent2 16" xfId="670"/>
    <cellStyle name="20% - Accent2 2" xfId="21"/>
    <cellStyle name="20% - Accent2 2 2" xfId="720"/>
    <cellStyle name="20% - Accent2 3" xfId="22"/>
    <cellStyle name="20% - Accent2 4" xfId="23"/>
    <cellStyle name="20% - Accent2 5" xfId="24"/>
    <cellStyle name="20% - Accent2 6" xfId="25"/>
    <cellStyle name="20% - Accent2 7" xfId="26"/>
    <cellStyle name="20% - Accent2 8" xfId="27"/>
    <cellStyle name="20% - Accent2 9" xfId="28"/>
    <cellStyle name="20% - Accent3 10" xfId="29"/>
    <cellStyle name="20% - Accent3 11" xfId="30"/>
    <cellStyle name="20% - Accent3 12" xfId="31"/>
    <cellStyle name="20% - Accent3 13" xfId="32"/>
    <cellStyle name="20% - Accent3 14" xfId="33"/>
    <cellStyle name="20% - Accent3 15" xfId="34"/>
    <cellStyle name="20% - Accent3 16" xfId="671"/>
    <cellStyle name="20% - Accent3 2" xfId="35"/>
    <cellStyle name="20% - Accent3 2 2" xfId="724"/>
    <cellStyle name="20% - Accent3 3" xfId="36"/>
    <cellStyle name="20% - Accent3 4" xfId="37"/>
    <cellStyle name="20% - Accent3 5" xfId="38"/>
    <cellStyle name="20% - Accent3 6" xfId="39"/>
    <cellStyle name="20% - Accent3 7" xfId="40"/>
    <cellStyle name="20% - Accent3 8" xfId="41"/>
    <cellStyle name="20% - Accent3 9" xfId="42"/>
    <cellStyle name="20% - Accent4 10" xfId="43"/>
    <cellStyle name="20% - Accent4 11" xfId="44"/>
    <cellStyle name="20% - Accent4 12" xfId="45"/>
    <cellStyle name="20% - Accent4 13" xfId="46"/>
    <cellStyle name="20% - Accent4 14" xfId="47"/>
    <cellStyle name="20% - Accent4 15" xfId="48"/>
    <cellStyle name="20% - Accent4 16" xfId="672"/>
    <cellStyle name="20% - Accent4 2" xfId="49"/>
    <cellStyle name="20% - Accent4 2 2" xfId="728"/>
    <cellStyle name="20% - Accent4 3" xfId="50"/>
    <cellStyle name="20% - Accent4 4" xfId="51"/>
    <cellStyle name="20% - Accent4 5" xfId="52"/>
    <cellStyle name="20% - Accent4 6" xfId="53"/>
    <cellStyle name="20% - Accent4 7" xfId="54"/>
    <cellStyle name="20% - Accent4 8" xfId="55"/>
    <cellStyle name="20% - Accent4 9" xfId="56"/>
    <cellStyle name="20% - Accent5 10" xfId="57"/>
    <cellStyle name="20% - Accent5 11" xfId="58"/>
    <cellStyle name="20% - Accent5 12" xfId="59"/>
    <cellStyle name="20% - Accent5 13" xfId="60"/>
    <cellStyle name="20% - Accent5 14" xfId="61"/>
    <cellStyle name="20% - Accent5 15" xfId="62"/>
    <cellStyle name="20% - Accent5 16" xfId="673"/>
    <cellStyle name="20% - Accent5 2" xfId="63"/>
    <cellStyle name="20% - Accent5 2 2" xfId="732"/>
    <cellStyle name="20% - Accent5 3" xfId="64"/>
    <cellStyle name="20% - Accent5 4" xfId="65"/>
    <cellStyle name="20% - Accent5 5" xfId="66"/>
    <cellStyle name="20% - Accent5 6" xfId="67"/>
    <cellStyle name="20% - Accent5 7" xfId="68"/>
    <cellStyle name="20% - Accent5 8" xfId="69"/>
    <cellStyle name="20% - Accent5 9" xfId="70"/>
    <cellStyle name="20% - Accent6 10" xfId="71"/>
    <cellStyle name="20% - Accent6 11" xfId="72"/>
    <cellStyle name="20% - Accent6 12" xfId="73"/>
    <cellStyle name="20% - Accent6 13" xfId="74"/>
    <cellStyle name="20% - Accent6 14" xfId="75"/>
    <cellStyle name="20% - Accent6 15" xfId="76"/>
    <cellStyle name="20% - Accent6 16" xfId="674"/>
    <cellStyle name="20% - Accent6 2" xfId="77"/>
    <cellStyle name="20% - Accent6 2 2" xfId="736"/>
    <cellStyle name="20% - Accent6 3" xfId="78"/>
    <cellStyle name="20% - Accent6 4" xfId="79"/>
    <cellStyle name="20% - Accent6 5" xfId="80"/>
    <cellStyle name="20% - Accent6 6" xfId="81"/>
    <cellStyle name="20% - Accent6 7" xfId="82"/>
    <cellStyle name="20% - Accent6 8" xfId="83"/>
    <cellStyle name="20% - Accent6 9" xfId="84"/>
    <cellStyle name="40% - Accent1 10" xfId="85"/>
    <cellStyle name="40% - Accent1 11" xfId="86"/>
    <cellStyle name="40% - Accent1 12" xfId="87"/>
    <cellStyle name="40% - Accent1 13" xfId="88"/>
    <cellStyle name="40% - Accent1 14" xfId="89"/>
    <cellStyle name="40% - Accent1 15" xfId="90"/>
    <cellStyle name="40% - Accent1 16" xfId="675"/>
    <cellStyle name="40% - Accent1 2" xfId="91"/>
    <cellStyle name="40% - Accent1 2 2" xfId="717"/>
    <cellStyle name="40% - Accent1 3" xfId="92"/>
    <cellStyle name="40% - Accent1 4" xfId="93"/>
    <cellStyle name="40% - Accent1 5" xfId="94"/>
    <cellStyle name="40% - Accent1 6" xfId="95"/>
    <cellStyle name="40% - Accent1 7" xfId="96"/>
    <cellStyle name="40% - Accent1 8" xfId="97"/>
    <cellStyle name="40% - Accent1 9" xfId="98"/>
    <cellStyle name="40% - Accent2 10" xfId="99"/>
    <cellStyle name="40% - Accent2 11" xfId="100"/>
    <cellStyle name="40% - Accent2 12" xfId="101"/>
    <cellStyle name="40% - Accent2 13" xfId="102"/>
    <cellStyle name="40% - Accent2 14" xfId="103"/>
    <cellStyle name="40% - Accent2 15" xfId="104"/>
    <cellStyle name="40% - Accent2 16" xfId="676"/>
    <cellStyle name="40% - Accent2 2" xfId="105"/>
    <cellStyle name="40% - Accent2 2 2" xfId="721"/>
    <cellStyle name="40% - Accent2 3" xfId="106"/>
    <cellStyle name="40% - Accent2 4" xfId="107"/>
    <cellStyle name="40% - Accent2 5" xfId="108"/>
    <cellStyle name="40% - Accent2 6" xfId="109"/>
    <cellStyle name="40% - Accent2 7" xfId="110"/>
    <cellStyle name="40% - Accent2 8" xfId="111"/>
    <cellStyle name="40% - Accent2 9" xfId="112"/>
    <cellStyle name="40% - Accent3 10" xfId="113"/>
    <cellStyle name="40% - Accent3 11" xfId="114"/>
    <cellStyle name="40% - Accent3 12" xfId="115"/>
    <cellStyle name="40% - Accent3 13" xfId="116"/>
    <cellStyle name="40% - Accent3 14" xfId="117"/>
    <cellStyle name="40% - Accent3 15" xfId="118"/>
    <cellStyle name="40% - Accent3 16" xfId="677"/>
    <cellStyle name="40% - Accent3 2" xfId="119"/>
    <cellStyle name="40% - Accent3 2 2" xfId="725"/>
    <cellStyle name="40% - Accent3 3" xfId="120"/>
    <cellStyle name="40% - Accent3 4" xfId="121"/>
    <cellStyle name="40% - Accent3 5" xfId="122"/>
    <cellStyle name="40% - Accent3 6" xfId="123"/>
    <cellStyle name="40% - Accent3 7" xfId="124"/>
    <cellStyle name="40% - Accent3 8" xfId="125"/>
    <cellStyle name="40% - Accent3 9" xfId="126"/>
    <cellStyle name="40% - Accent4 10" xfId="127"/>
    <cellStyle name="40% - Accent4 11" xfId="128"/>
    <cellStyle name="40% - Accent4 12" xfId="129"/>
    <cellStyle name="40% - Accent4 13" xfId="130"/>
    <cellStyle name="40% - Accent4 14" xfId="131"/>
    <cellStyle name="40% - Accent4 15" xfId="132"/>
    <cellStyle name="40% - Accent4 16" xfId="678"/>
    <cellStyle name="40% - Accent4 2" xfId="133"/>
    <cellStyle name="40% - Accent4 2 2" xfId="729"/>
    <cellStyle name="40% - Accent4 3" xfId="134"/>
    <cellStyle name="40% - Accent4 4" xfId="135"/>
    <cellStyle name="40% - Accent4 5" xfId="136"/>
    <cellStyle name="40% - Accent4 6" xfId="137"/>
    <cellStyle name="40% - Accent4 7" xfId="138"/>
    <cellStyle name="40% - Accent4 8" xfId="139"/>
    <cellStyle name="40% - Accent4 9" xfId="140"/>
    <cellStyle name="40% - Accent5 10" xfId="141"/>
    <cellStyle name="40% - Accent5 11" xfId="142"/>
    <cellStyle name="40% - Accent5 12" xfId="143"/>
    <cellStyle name="40% - Accent5 13" xfId="144"/>
    <cellStyle name="40% - Accent5 14" xfId="145"/>
    <cellStyle name="40% - Accent5 15" xfId="146"/>
    <cellStyle name="40% - Accent5 16" xfId="679"/>
    <cellStyle name="40% - Accent5 2" xfId="147"/>
    <cellStyle name="40% - Accent5 2 2" xfId="733"/>
    <cellStyle name="40% - Accent5 3" xfId="148"/>
    <cellStyle name="40% - Accent5 4" xfId="149"/>
    <cellStyle name="40% - Accent5 5" xfId="150"/>
    <cellStyle name="40% - Accent5 6" xfId="151"/>
    <cellStyle name="40% - Accent5 7" xfId="152"/>
    <cellStyle name="40% - Accent5 8" xfId="153"/>
    <cellStyle name="40% - Accent5 9" xfId="154"/>
    <cellStyle name="40% - Accent6 10" xfId="155"/>
    <cellStyle name="40% - Accent6 11" xfId="156"/>
    <cellStyle name="40% - Accent6 12" xfId="157"/>
    <cellStyle name="40% - Accent6 13" xfId="158"/>
    <cellStyle name="40% - Accent6 14" xfId="159"/>
    <cellStyle name="40% - Accent6 15" xfId="160"/>
    <cellStyle name="40% - Accent6 16" xfId="680"/>
    <cellStyle name="40% - Accent6 2" xfId="161"/>
    <cellStyle name="40% - Accent6 2 2" xfId="737"/>
    <cellStyle name="40% - Accent6 3" xfId="162"/>
    <cellStyle name="40% - Accent6 4" xfId="163"/>
    <cellStyle name="40% - Accent6 5" xfId="164"/>
    <cellStyle name="40% - Accent6 6" xfId="165"/>
    <cellStyle name="40% - Accent6 7" xfId="166"/>
    <cellStyle name="40% - Accent6 8" xfId="167"/>
    <cellStyle name="40% - Accent6 9" xfId="168"/>
    <cellStyle name="60% - Accent1 10" xfId="169"/>
    <cellStyle name="60% - Accent1 11" xfId="170"/>
    <cellStyle name="60% - Accent1 12" xfId="171"/>
    <cellStyle name="60% - Accent1 13" xfId="172"/>
    <cellStyle name="60% - Accent1 14" xfId="173"/>
    <cellStyle name="60% - Accent1 15" xfId="174"/>
    <cellStyle name="60% - Accent1 16" xfId="681"/>
    <cellStyle name="60% - Accent1 2" xfId="175"/>
    <cellStyle name="60% - Accent1 2 2" xfId="718"/>
    <cellStyle name="60% - Accent1 3" xfId="176"/>
    <cellStyle name="60% - Accent1 4" xfId="177"/>
    <cellStyle name="60% - Accent1 5" xfId="178"/>
    <cellStyle name="60% - Accent1 6" xfId="179"/>
    <cellStyle name="60% - Accent1 7" xfId="180"/>
    <cellStyle name="60% - Accent1 8" xfId="181"/>
    <cellStyle name="60% - Accent1 9" xfId="182"/>
    <cellStyle name="60% - Accent2 10" xfId="183"/>
    <cellStyle name="60% - Accent2 11" xfId="184"/>
    <cellStyle name="60% - Accent2 12" xfId="185"/>
    <cellStyle name="60% - Accent2 13" xfId="186"/>
    <cellStyle name="60% - Accent2 14" xfId="187"/>
    <cellStyle name="60% - Accent2 15" xfId="188"/>
    <cellStyle name="60% - Accent2 16" xfId="682"/>
    <cellStyle name="60% - Accent2 2" xfId="189"/>
    <cellStyle name="60% - Accent2 2 2" xfId="722"/>
    <cellStyle name="60% - Accent2 3" xfId="190"/>
    <cellStyle name="60% - Accent2 4" xfId="191"/>
    <cellStyle name="60% - Accent2 5" xfId="192"/>
    <cellStyle name="60% - Accent2 6" xfId="193"/>
    <cellStyle name="60% - Accent2 7" xfId="194"/>
    <cellStyle name="60% - Accent2 8" xfId="195"/>
    <cellStyle name="60% - Accent2 9" xfId="196"/>
    <cellStyle name="60% - Accent3 10" xfId="197"/>
    <cellStyle name="60% - Accent3 11" xfId="198"/>
    <cellStyle name="60% - Accent3 12" xfId="199"/>
    <cellStyle name="60% - Accent3 13" xfId="200"/>
    <cellStyle name="60% - Accent3 14" xfId="201"/>
    <cellStyle name="60% - Accent3 15" xfId="202"/>
    <cellStyle name="60% - Accent3 16" xfId="683"/>
    <cellStyle name="60% - Accent3 2" xfId="203"/>
    <cellStyle name="60% - Accent3 2 2" xfId="726"/>
    <cellStyle name="60% - Accent3 3" xfId="204"/>
    <cellStyle name="60% - Accent3 4" xfId="205"/>
    <cellStyle name="60% - Accent3 5" xfId="206"/>
    <cellStyle name="60% - Accent3 6" xfId="207"/>
    <cellStyle name="60% - Accent3 7" xfId="208"/>
    <cellStyle name="60% - Accent3 8" xfId="209"/>
    <cellStyle name="60% - Accent3 9" xfId="210"/>
    <cellStyle name="60% - Accent4 10" xfId="211"/>
    <cellStyle name="60% - Accent4 11" xfId="212"/>
    <cellStyle name="60% - Accent4 12" xfId="213"/>
    <cellStyle name="60% - Accent4 13" xfId="214"/>
    <cellStyle name="60% - Accent4 14" xfId="215"/>
    <cellStyle name="60% - Accent4 15" xfId="216"/>
    <cellStyle name="60% - Accent4 16" xfId="684"/>
    <cellStyle name="60% - Accent4 2" xfId="217"/>
    <cellStyle name="60% - Accent4 2 2" xfId="730"/>
    <cellStyle name="60% - Accent4 3" xfId="218"/>
    <cellStyle name="60% - Accent4 4" xfId="219"/>
    <cellStyle name="60% - Accent4 5" xfId="220"/>
    <cellStyle name="60% - Accent4 6" xfId="221"/>
    <cellStyle name="60% - Accent4 7" xfId="222"/>
    <cellStyle name="60% - Accent4 8" xfId="223"/>
    <cellStyle name="60% - Accent4 9" xfId="224"/>
    <cellStyle name="60% - Accent5 10" xfId="225"/>
    <cellStyle name="60% - Accent5 11" xfId="226"/>
    <cellStyle name="60% - Accent5 12" xfId="227"/>
    <cellStyle name="60% - Accent5 13" xfId="228"/>
    <cellStyle name="60% - Accent5 14" xfId="229"/>
    <cellStyle name="60% - Accent5 15" xfId="230"/>
    <cellStyle name="60% - Accent5 16" xfId="685"/>
    <cellStyle name="60% - Accent5 2" xfId="231"/>
    <cellStyle name="60% - Accent5 2 2" xfId="734"/>
    <cellStyle name="60% - Accent5 3" xfId="232"/>
    <cellStyle name="60% - Accent5 4" xfId="233"/>
    <cellStyle name="60% - Accent5 5" xfId="234"/>
    <cellStyle name="60% - Accent5 6" xfId="235"/>
    <cellStyle name="60% - Accent5 7" xfId="236"/>
    <cellStyle name="60% - Accent5 8" xfId="237"/>
    <cellStyle name="60% - Accent5 9" xfId="238"/>
    <cellStyle name="60% - Accent6 10" xfId="239"/>
    <cellStyle name="60% - Accent6 11" xfId="240"/>
    <cellStyle name="60% - Accent6 12" xfId="241"/>
    <cellStyle name="60% - Accent6 13" xfId="242"/>
    <cellStyle name="60% - Accent6 14" xfId="243"/>
    <cellStyle name="60% - Accent6 15" xfId="244"/>
    <cellStyle name="60% - Accent6 16" xfId="686"/>
    <cellStyle name="60% - Accent6 2" xfId="245"/>
    <cellStyle name="60% - Accent6 2 2" xfId="738"/>
    <cellStyle name="60% - Accent6 3" xfId="246"/>
    <cellStyle name="60% - Accent6 4" xfId="247"/>
    <cellStyle name="60% - Accent6 5" xfId="248"/>
    <cellStyle name="60% - Accent6 6" xfId="249"/>
    <cellStyle name="60% - Accent6 7" xfId="250"/>
    <cellStyle name="60% - Accent6 8" xfId="251"/>
    <cellStyle name="60% - Accent6 9" xfId="252"/>
    <cellStyle name="Accent1 10" xfId="253"/>
    <cellStyle name="Accent1 11" xfId="254"/>
    <cellStyle name="Accent1 12" xfId="255"/>
    <cellStyle name="Accent1 13" xfId="256"/>
    <cellStyle name="Accent1 14" xfId="257"/>
    <cellStyle name="Accent1 15" xfId="258"/>
    <cellStyle name="Accent1 16" xfId="687"/>
    <cellStyle name="Accent1 2" xfId="259"/>
    <cellStyle name="Accent1 2 2" xfId="715"/>
    <cellStyle name="Accent1 3" xfId="260"/>
    <cellStyle name="Accent1 4" xfId="261"/>
    <cellStyle name="Accent1 5" xfId="262"/>
    <cellStyle name="Accent1 6" xfId="263"/>
    <cellStyle name="Accent1 7" xfId="264"/>
    <cellStyle name="Accent1 8" xfId="265"/>
    <cellStyle name="Accent1 9" xfId="266"/>
    <cellStyle name="Accent2 10" xfId="267"/>
    <cellStyle name="Accent2 11" xfId="268"/>
    <cellStyle name="Accent2 12" xfId="269"/>
    <cellStyle name="Accent2 13" xfId="270"/>
    <cellStyle name="Accent2 14" xfId="271"/>
    <cellStyle name="Accent2 15" xfId="272"/>
    <cellStyle name="Accent2 16" xfId="688"/>
    <cellStyle name="Accent2 2" xfId="273"/>
    <cellStyle name="Accent2 2 2" xfId="719"/>
    <cellStyle name="Accent2 3" xfId="274"/>
    <cellStyle name="Accent2 4" xfId="275"/>
    <cellStyle name="Accent2 5" xfId="276"/>
    <cellStyle name="Accent2 6" xfId="277"/>
    <cellStyle name="Accent2 7" xfId="278"/>
    <cellStyle name="Accent2 8" xfId="279"/>
    <cellStyle name="Accent2 9" xfId="280"/>
    <cellStyle name="Accent3 10" xfId="281"/>
    <cellStyle name="Accent3 11" xfId="282"/>
    <cellStyle name="Accent3 12" xfId="283"/>
    <cellStyle name="Accent3 13" xfId="284"/>
    <cellStyle name="Accent3 14" xfId="285"/>
    <cellStyle name="Accent3 15" xfId="286"/>
    <cellStyle name="Accent3 16" xfId="689"/>
    <cellStyle name="Accent3 2" xfId="287"/>
    <cellStyle name="Accent3 2 2" xfId="723"/>
    <cellStyle name="Accent3 3" xfId="288"/>
    <cellStyle name="Accent3 4" xfId="289"/>
    <cellStyle name="Accent3 5" xfId="290"/>
    <cellStyle name="Accent3 6" xfId="291"/>
    <cellStyle name="Accent3 7" xfId="292"/>
    <cellStyle name="Accent3 8" xfId="293"/>
    <cellStyle name="Accent3 9" xfId="294"/>
    <cellStyle name="Accent4 10" xfId="295"/>
    <cellStyle name="Accent4 11" xfId="296"/>
    <cellStyle name="Accent4 12" xfId="297"/>
    <cellStyle name="Accent4 13" xfId="298"/>
    <cellStyle name="Accent4 14" xfId="299"/>
    <cellStyle name="Accent4 15" xfId="300"/>
    <cellStyle name="Accent4 16" xfId="795"/>
    <cellStyle name="Accent4 2" xfId="301"/>
    <cellStyle name="Accent4 2 2" xfId="727"/>
    <cellStyle name="Accent4 3" xfId="302"/>
    <cellStyle name="Accent4 4" xfId="303"/>
    <cellStyle name="Accent4 5" xfId="304"/>
    <cellStyle name="Accent4 6" xfId="305"/>
    <cellStyle name="Accent4 7" xfId="306"/>
    <cellStyle name="Accent4 8" xfId="307"/>
    <cellStyle name="Accent4 9" xfId="308"/>
    <cellStyle name="Accent5 10" xfId="309"/>
    <cellStyle name="Accent5 11" xfId="310"/>
    <cellStyle name="Accent5 12" xfId="311"/>
    <cellStyle name="Accent5 13" xfId="312"/>
    <cellStyle name="Accent5 14" xfId="313"/>
    <cellStyle name="Accent5 15" xfId="314"/>
    <cellStyle name="Accent5 16" xfId="790"/>
    <cellStyle name="Accent5 2" xfId="315"/>
    <cellStyle name="Accent5 2 2" xfId="731"/>
    <cellStyle name="Accent5 3" xfId="316"/>
    <cellStyle name="Accent5 4" xfId="317"/>
    <cellStyle name="Accent5 5" xfId="318"/>
    <cellStyle name="Accent5 6" xfId="319"/>
    <cellStyle name="Accent5 7" xfId="320"/>
    <cellStyle name="Accent5 8" xfId="321"/>
    <cellStyle name="Accent5 9" xfId="322"/>
    <cellStyle name="Accent6 10" xfId="323"/>
    <cellStyle name="Accent6 11" xfId="324"/>
    <cellStyle name="Accent6 12" xfId="325"/>
    <cellStyle name="Accent6 13" xfId="326"/>
    <cellStyle name="Accent6 14" xfId="327"/>
    <cellStyle name="Accent6 15" xfId="328"/>
    <cellStyle name="Accent6 16" xfId="794"/>
    <cellStyle name="Accent6 2" xfId="329"/>
    <cellStyle name="Accent6 2 2" xfId="735"/>
    <cellStyle name="Accent6 3" xfId="330"/>
    <cellStyle name="Accent6 4" xfId="331"/>
    <cellStyle name="Accent6 5" xfId="332"/>
    <cellStyle name="Accent6 6" xfId="333"/>
    <cellStyle name="Accent6 7" xfId="334"/>
    <cellStyle name="Accent6 8" xfId="335"/>
    <cellStyle name="Accent6 9" xfId="336"/>
    <cellStyle name="Bad 10" xfId="337"/>
    <cellStyle name="Bad 11" xfId="338"/>
    <cellStyle name="Bad 12" xfId="339"/>
    <cellStyle name="Bad 13" xfId="340"/>
    <cellStyle name="Bad 14" xfId="341"/>
    <cellStyle name="Bad 15" xfId="342"/>
    <cellStyle name="Bad 16" xfId="779"/>
    <cellStyle name="Bad 2" xfId="343"/>
    <cellStyle name="Bad 2 2" xfId="704"/>
    <cellStyle name="Bad 3" xfId="344"/>
    <cellStyle name="Bad 4" xfId="345"/>
    <cellStyle name="Bad 5" xfId="346"/>
    <cellStyle name="Bad 6" xfId="347"/>
    <cellStyle name="Bad 7" xfId="348"/>
    <cellStyle name="Bad 8" xfId="349"/>
    <cellStyle name="Bad 9" xfId="350"/>
    <cellStyle name="Calculation 10" xfId="351"/>
    <cellStyle name="Calculation 11" xfId="352"/>
    <cellStyle name="Calculation 12" xfId="353"/>
    <cellStyle name="Calculation 13" xfId="354"/>
    <cellStyle name="Calculation 14" xfId="355"/>
    <cellStyle name="Calculation 15" xfId="356"/>
    <cellStyle name="Calculation 16" xfId="690"/>
    <cellStyle name="Calculation 2" xfId="357"/>
    <cellStyle name="Calculation 2 2" xfId="708"/>
    <cellStyle name="Calculation 3" xfId="358"/>
    <cellStyle name="Calculation 4" xfId="359"/>
    <cellStyle name="Calculation 5" xfId="360"/>
    <cellStyle name="Calculation 6" xfId="361"/>
    <cellStyle name="Calculation 7" xfId="362"/>
    <cellStyle name="Calculation 8" xfId="363"/>
    <cellStyle name="Calculation 9" xfId="364"/>
    <cellStyle name="Check Cell 10" xfId="365"/>
    <cellStyle name="Check Cell 11" xfId="366"/>
    <cellStyle name="Check Cell 12" xfId="367"/>
    <cellStyle name="Check Cell 13" xfId="368"/>
    <cellStyle name="Check Cell 14" xfId="369"/>
    <cellStyle name="Check Cell 15" xfId="370"/>
    <cellStyle name="Check Cell 16" xfId="775"/>
    <cellStyle name="Check Cell 2" xfId="371"/>
    <cellStyle name="Check Cell 2 2" xfId="710"/>
    <cellStyle name="Check Cell 3" xfId="372"/>
    <cellStyle name="Check Cell 4" xfId="373"/>
    <cellStyle name="Check Cell 5" xfId="374"/>
    <cellStyle name="Check Cell 6" xfId="375"/>
    <cellStyle name="Check Cell 7" xfId="376"/>
    <cellStyle name="Check Cell 8" xfId="377"/>
    <cellStyle name="Check Cell 9" xfId="378"/>
    <cellStyle name="Comma" xfId="379" builtinId="3"/>
    <cellStyle name="Comma 2" xfId="595"/>
    <cellStyle name="Comma 2 2" xfId="596"/>
    <cellStyle name="Comma 2 2 2" xfId="594"/>
    <cellStyle name="Comma 2 3" xfId="634"/>
    <cellStyle name="Comma 2 4" xfId="740"/>
    <cellStyle name="Comma 3" xfId="380"/>
    <cellStyle name="Comma 3 2" xfId="597"/>
    <cellStyle name="Comma 3 2 2" xfId="768"/>
    <cellStyle name="Comma 3 3" xfId="742"/>
    <cellStyle name="Comma 3 4" xfId="937"/>
    <cellStyle name="Comma 4" xfId="598"/>
    <cellStyle name="Comma 4 2" xfId="618"/>
    <cellStyle name="Comma 4 2 2" xfId="655"/>
    <cellStyle name="Comma 4 2 2 2" xfId="834"/>
    <cellStyle name="Comma 4 2 2 2 2" xfId="1165"/>
    <cellStyle name="Comma 4 2 2 2 2 2" xfId="1398"/>
    <cellStyle name="Comma 4 2 2 2 3" xfId="1282"/>
    <cellStyle name="Comma 4 2 2 2 4" xfId="1046"/>
    <cellStyle name="Comma 4 2 2 3" xfId="904"/>
    <cellStyle name="Comma 4 2 2 3 2" xfId="1342"/>
    <cellStyle name="Comma 4 2 2 3 3" xfId="1109"/>
    <cellStyle name="Comma 4 2 2 4" xfId="1226"/>
    <cellStyle name="Comma 4 2 2 5" xfId="989"/>
    <cellStyle name="Comma 4 2 3" xfId="801"/>
    <cellStyle name="Comma 4 2 3 2" xfId="1135"/>
    <cellStyle name="Comma 4 2 3 2 2" xfId="1368"/>
    <cellStyle name="Comma 4 2 3 3" xfId="1252"/>
    <cellStyle name="Comma 4 2 3 4" xfId="1016"/>
    <cellStyle name="Comma 4 2 4" xfId="874"/>
    <cellStyle name="Comma 4 2 4 2" xfId="1316"/>
    <cellStyle name="Comma 4 2 4 3" xfId="1083"/>
    <cellStyle name="Comma 4 2 5" xfId="1200"/>
    <cellStyle name="Comma 4 2 6" xfId="963"/>
    <cellStyle name="Comma 4 3" xfId="626"/>
    <cellStyle name="Comma 4 3 2" xfId="663"/>
    <cellStyle name="Comma 4 3 2 2" xfId="842"/>
    <cellStyle name="Comma 4 3 2 2 2" xfId="1173"/>
    <cellStyle name="Comma 4 3 2 2 2 2" xfId="1406"/>
    <cellStyle name="Comma 4 3 2 2 3" xfId="1290"/>
    <cellStyle name="Comma 4 3 2 2 4" xfId="1054"/>
    <cellStyle name="Comma 4 3 2 3" xfId="912"/>
    <cellStyle name="Comma 4 3 2 3 2" xfId="1350"/>
    <cellStyle name="Comma 4 3 2 3 3" xfId="1117"/>
    <cellStyle name="Comma 4 3 2 4" xfId="1234"/>
    <cellStyle name="Comma 4 3 2 5" xfId="997"/>
    <cellStyle name="Comma 4 3 3" xfId="809"/>
    <cellStyle name="Comma 4 3 3 2" xfId="1143"/>
    <cellStyle name="Comma 4 3 3 2 2" xfId="1376"/>
    <cellStyle name="Comma 4 3 3 3" xfId="1260"/>
    <cellStyle name="Comma 4 3 3 4" xfId="1024"/>
    <cellStyle name="Comma 4 3 4" xfId="882"/>
    <cellStyle name="Comma 4 3 4 2" xfId="1324"/>
    <cellStyle name="Comma 4 3 4 3" xfId="1091"/>
    <cellStyle name="Comma 4 3 5" xfId="1208"/>
    <cellStyle name="Comma 4 3 6" xfId="971"/>
    <cellStyle name="Comma 4 4" xfId="647"/>
    <cellStyle name="Comma 4 4 2" xfId="826"/>
    <cellStyle name="Comma 4 4 2 2" xfId="1157"/>
    <cellStyle name="Comma 4 4 2 2 2" xfId="1390"/>
    <cellStyle name="Comma 4 4 2 3" xfId="1274"/>
    <cellStyle name="Comma 4 4 2 4" xfId="1038"/>
    <cellStyle name="Comma 4 4 3" xfId="896"/>
    <cellStyle name="Comma 4 4 3 2" xfId="1334"/>
    <cellStyle name="Comma 4 4 3 3" xfId="1101"/>
    <cellStyle name="Comma 4 4 4" xfId="1218"/>
    <cellStyle name="Comma 4 4 5" xfId="981"/>
    <cellStyle name="Comma 4 5" xfId="787"/>
    <cellStyle name="Comma 4 5 2" xfId="1127"/>
    <cellStyle name="Comma 4 5 2 2" xfId="1360"/>
    <cellStyle name="Comma 4 5 3" xfId="1244"/>
    <cellStyle name="Comma 4 5 4" xfId="1008"/>
    <cellStyle name="Comma 4 6" xfId="866"/>
    <cellStyle name="Comma 4 6 2" xfId="1308"/>
    <cellStyle name="Comma 4 6 3" xfId="1075"/>
    <cellStyle name="Comma 4 7" xfId="1192"/>
    <cellStyle name="Comma 4 8" xfId="955"/>
    <cellStyle name="Comma 5" xfId="641"/>
    <cellStyle name="Comma 6" xfId="638"/>
    <cellStyle name="Comma 6 2" xfId="819"/>
    <cellStyle name="Comma 6 2 2" xfId="1179"/>
    <cellStyle name="Comma 6 2 2 2" xfId="1412"/>
    <cellStyle name="Comma 6 2 3" xfId="1296"/>
    <cellStyle name="Comma 6 2 4" xfId="1060"/>
    <cellStyle name="Comma 6 3" xfId="890"/>
    <cellStyle name="Comma 6 3 2" xfId="1384"/>
    <cellStyle name="Comma 6 3 3" xfId="1151"/>
    <cellStyle name="Comma 6 4" xfId="1268"/>
    <cellStyle name="Comma 6 5" xfId="1032"/>
    <cellStyle name="Comma 7" xfId="796"/>
    <cellStyle name="Comma 7 2" xfId="1063"/>
    <cellStyle name="Comma 8" xfId="1067"/>
    <cellStyle name="Comma 8 2" xfId="1297"/>
    <cellStyle name="Comma 9" xfId="1181"/>
    <cellStyle name="Comma0" xfId="754"/>
    <cellStyle name="Currency 2" xfId="381"/>
    <cellStyle name="Currency 2 2" xfId="599"/>
    <cellStyle name="Currency 2 3" xfId="589"/>
    <cellStyle name="Currency 2 4" xfId="789"/>
    <cellStyle name="Currency 2 5" xfId="936"/>
    <cellStyle name="Currency 3" xfId="382"/>
    <cellStyle name="Currency 3 2" xfId="600"/>
    <cellStyle name="Currency 3 3" xfId="590"/>
    <cellStyle name="Currency 3 4" xfId="770"/>
    <cellStyle name="Currency 4" xfId="948"/>
    <cellStyle name="Currency 5" xfId="383"/>
    <cellStyle name="Currency0" xfId="755"/>
    <cellStyle name="Date" xfId="756"/>
    <cellStyle name="Explanatory Text 10" xfId="384"/>
    <cellStyle name="Explanatory Text 11" xfId="385"/>
    <cellStyle name="Explanatory Text 12" xfId="386"/>
    <cellStyle name="Explanatory Text 13" xfId="387"/>
    <cellStyle name="Explanatory Text 14" xfId="388"/>
    <cellStyle name="Explanatory Text 15" xfId="389"/>
    <cellStyle name="Explanatory Text 16" xfId="782"/>
    <cellStyle name="Explanatory Text 2" xfId="390"/>
    <cellStyle name="Explanatory Text 2 2" xfId="713"/>
    <cellStyle name="Explanatory Text 3" xfId="391"/>
    <cellStyle name="Explanatory Text 4" xfId="392"/>
    <cellStyle name="Explanatory Text 5" xfId="393"/>
    <cellStyle name="Explanatory Text 6" xfId="394"/>
    <cellStyle name="Explanatory Text 7" xfId="395"/>
    <cellStyle name="Explanatory Text 8" xfId="396"/>
    <cellStyle name="Explanatory Text 9" xfId="397"/>
    <cellStyle name="Fixed" xfId="757"/>
    <cellStyle name="Good 10" xfId="398"/>
    <cellStyle name="Good 11" xfId="399"/>
    <cellStyle name="Good 12" xfId="400"/>
    <cellStyle name="Good 13" xfId="401"/>
    <cellStyle name="Good 14" xfId="402"/>
    <cellStyle name="Good 15" xfId="403"/>
    <cellStyle name="Good 16" xfId="778"/>
    <cellStyle name="Good 2" xfId="404"/>
    <cellStyle name="Good 2 2" xfId="703"/>
    <cellStyle name="Good 3" xfId="405"/>
    <cellStyle name="Good 4" xfId="406"/>
    <cellStyle name="Good 5" xfId="407"/>
    <cellStyle name="Good 6" xfId="408"/>
    <cellStyle name="Good 7" xfId="409"/>
    <cellStyle name="Good 8" xfId="410"/>
    <cellStyle name="Good 9" xfId="411"/>
    <cellStyle name="Grey" xfId="758"/>
    <cellStyle name="Heading 1 10" xfId="412"/>
    <cellStyle name="Heading 1 11" xfId="413"/>
    <cellStyle name="Heading 1 12" xfId="414"/>
    <cellStyle name="Heading 1 13" xfId="415"/>
    <cellStyle name="Heading 1 14" xfId="416"/>
    <cellStyle name="Heading 1 15" xfId="417"/>
    <cellStyle name="Heading 1 16" xfId="783"/>
    <cellStyle name="Heading 1 2" xfId="418"/>
    <cellStyle name="Heading 1 2 2" xfId="699"/>
    <cellStyle name="Heading 1 3" xfId="419"/>
    <cellStyle name="Heading 1 4" xfId="420"/>
    <cellStyle name="Heading 1 5" xfId="421"/>
    <cellStyle name="Heading 1 6" xfId="422"/>
    <cellStyle name="Heading 1 7" xfId="423"/>
    <cellStyle name="Heading 1 8" xfId="424"/>
    <cellStyle name="Heading 1 9" xfId="425"/>
    <cellStyle name="Heading 2 10" xfId="426"/>
    <cellStyle name="Heading 2 11" xfId="427"/>
    <cellStyle name="Heading 2 12" xfId="428"/>
    <cellStyle name="Heading 2 13" xfId="429"/>
    <cellStyle name="Heading 2 14" xfId="430"/>
    <cellStyle name="Heading 2 15" xfId="431"/>
    <cellStyle name="Heading 2 16" xfId="781"/>
    <cellStyle name="Heading 2 2" xfId="432"/>
    <cellStyle name="Heading 2 2 2" xfId="698"/>
    <cellStyle name="Heading 2 3" xfId="433"/>
    <cellStyle name="Heading 2 4" xfId="434"/>
    <cellStyle name="Heading 2 5" xfId="435"/>
    <cellStyle name="Heading 2 6" xfId="436"/>
    <cellStyle name="Heading 2 7" xfId="437"/>
    <cellStyle name="Heading 2 8" xfId="438"/>
    <cellStyle name="Heading 2 9" xfId="439"/>
    <cellStyle name="Heading 3 10" xfId="440"/>
    <cellStyle name="Heading 3 11" xfId="441"/>
    <cellStyle name="Heading 3 12" xfId="442"/>
    <cellStyle name="Heading 3 13" xfId="443"/>
    <cellStyle name="Heading 3 14" xfId="444"/>
    <cellStyle name="Heading 3 15" xfId="445"/>
    <cellStyle name="Heading 3 16" xfId="780"/>
    <cellStyle name="Heading 3 2" xfId="446"/>
    <cellStyle name="Heading 3 2 2" xfId="701"/>
    <cellStyle name="Heading 3 3" xfId="447"/>
    <cellStyle name="Heading 3 4" xfId="448"/>
    <cellStyle name="Heading 3 5" xfId="449"/>
    <cellStyle name="Heading 3 6" xfId="450"/>
    <cellStyle name="Heading 3 7" xfId="451"/>
    <cellStyle name="Heading 3 8" xfId="452"/>
    <cellStyle name="Heading 3 9" xfId="453"/>
    <cellStyle name="Heading 4 10" xfId="454"/>
    <cellStyle name="Heading 4 11" xfId="455"/>
    <cellStyle name="Heading 4 12" xfId="456"/>
    <cellStyle name="Heading 4 13" xfId="457"/>
    <cellStyle name="Heading 4 14" xfId="458"/>
    <cellStyle name="Heading 4 15" xfId="459"/>
    <cellStyle name="Heading 4 16" xfId="823"/>
    <cellStyle name="Heading 4 2" xfId="460"/>
    <cellStyle name="Heading 4 2 2" xfId="702"/>
    <cellStyle name="Heading 4 3" xfId="461"/>
    <cellStyle name="Heading 4 4" xfId="462"/>
    <cellStyle name="Heading 4 5" xfId="463"/>
    <cellStyle name="Heading 4 6" xfId="464"/>
    <cellStyle name="Heading 4 7" xfId="465"/>
    <cellStyle name="Heading 4 8" xfId="466"/>
    <cellStyle name="Heading 4 9" xfId="467"/>
    <cellStyle name="Hyperlink 2" xfId="784"/>
    <cellStyle name="Hyperlink 2 2" xfId="1003"/>
    <cellStyle name="Hyperlink 3" xfId="691"/>
    <cellStyle name="Input [yellow]" xfId="759"/>
    <cellStyle name="Input 10" xfId="468"/>
    <cellStyle name="Input 11" xfId="469"/>
    <cellStyle name="Input 12" xfId="470"/>
    <cellStyle name="Input 13" xfId="471"/>
    <cellStyle name="Input 14" xfId="472"/>
    <cellStyle name="Input 15" xfId="473"/>
    <cellStyle name="Input 16" xfId="776"/>
    <cellStyle name="Input 17" xfId="852"/>
    <cellStyle name="Input 18" xfId="851"/>
    <cellStyle name="Input 19" xfId="850"/>
    <cellStyle name="Input 2" xfId="474"/>
    <cellStyle name="Input 2 2" xfId="706"/>
    <cellStyle name="Input 20" xfId="858"/>
    <cellStyle name="Input 3" xfId="475"/>
    <cellStyle name="Input 4" xfId="476"/>
    <cellStyle name="Input 5" xfId="477"/>
    <cellStyle name="Input 6" xfId="478"/>
    <cellStyle name="Input 7" xfId="479"/>
    <cellStyle name="Input 8" xfId="480"/>
    <cellStyle name="Input 9" xfId="481"/>
    <cellStyle name="Linked Cell 10" xfId="482"/>
    <cellStyle name="Linked Cell 11" xfId="483"/>
    <cellStyle name="Linked Cell 12" xfId="484"/>
    <cellStyle name="Linked Cell 13" xfId="485"/>
    <cellStyle name="Linked Cell 14" xfId="486"/>
    <cellStyle name="Linked Cell 15" xfId="487"/>
    <cellStyle name="Linked Cell 16" xfId="817"/>
    <cellStyle name="Linked Cell 2" xfId="488"/>
    <cellStyle name="Linked Cell 2 2" xfId="709"/>
    <cellStyle name="Linked Cell 3" xfId="489"/>
    <cellStyle name="Linked Cell 4" xfId="490"/>
    <cellStyle name="Linked Cell 5" xfId="491"/>
    <cellStyle name="Linked Cell 6" xfId="492"/>
    <cellStyle name="Linked Cell 7" xfId="493"/>
    <cellStyle name="Linked Cell 8" xfId="494"/>
    <cellStyle name="Linked Cell 9" xfId="495"/>
    <cellStyle name="M" xfId="760"/>
    <cellStyle name="M.00" xfId="773"/>
    <cellStyle name="M_9. Rev2Cost_GDPIPI" xfId="761"/>
    <cellStyle name="M_lists" xfId="762"/>
    <cellStyle name="M_lists_4. Current Monthly Fixed Charge" xfId="763"/>
    <cellStyle name="M_Sheet4" xfId="764"/>
    <cellStyle name="Neutral 10" xfId="496"/>
    <cellStyle name="Neutral 11" xfId="497"/>
    <cellStyle name="Neutral 12" xfId="498"/>
    <cellStyle name="Neutral 13" xfId="499"/>
    <cellStyle name="Neutral 14" xfId="500"/>
    <cellStyle name="Neutral 15" xfId="501"/>
    <cellStyle name="Neutral 16" xfId="692"/>
    <cellStyle name="Neutral 2" xfId="502"/>
    <cellStyle name="Neutral 2 2" xfId="705"/>
    <cellStyle name="Neutral 3" xfId="503"/>
    <cellStyle name="Neutral 4" xfId="504"/>
    <cellStyle name="Neutral 5" xfId="505"/>
    <cellStyle name="Neutral 6" xfId="506"/>
    <cellStyle name="Neutral 7" xfId="507"/>
    <cellStyle name="Neutral 8" xfId="508"/>
    <cellStyle name="Neutral 9" xfId="509"/>
    <cellStyle name="Normal" xfId="0" builtinId="0"/>
    <cellStyle name="Normal - Style1" xfId="765"/>
    <cellStyle name="Normal 10" xfId="510"/>
    <cellStyle name="Normal 11" xfId="511"/>
    <cellStyle name="Normal 12" xfId="512"/>
    <cellStyle name="Normal 13" xfId="513"/>
    <cellStyle name="Normal 14" xfId="514"/>
    <cellStyle name="Normal 15" xfId="515"/>
    <cellStyle name="Normal 16" xfId="516"/>
    <cellStyle name="Normal 16 10" xfId="1183"/>
    <cellStyle name="Normal 16 11" xfId="939"/>
    <cellStyle name="Normal 16 2" xfId="602"/>
    <cellStyle name="Normal 16 2 2" xfId="619"/>
    <cellStyle name="Normal 16 2 2 2" xfId="656"/>
    <cellStyle name="Normal 16 2 2 2 2" xfId="835"/>
    <cellStyle name="Normal 16 2 2 2 2 2" xfId="1166"/>
    <cellStyle name="Normal 16 2 2 2 2 2 2" xfId="1399"/>
    <cellStyle name="Normal 16 2 2 2 2 3" xfId="1283"/>
    <cellStyle name="Normal 16 2 2 2 2 4" xfId="1047"/>
    <cellStyle name="Normal 16 2 2 2 3" xfId="905"/>
    <cellStyle name="Normal 16 2 2 2 3 2" xfId="1343"/>
    <cellStyle name="Normal 16 2 2 2 3 3" xfId="1110"/>
    <cellStyle name="Normal 16 2 2 2 4" xfId="1227"/>
    <cellStyle name="Normal 16 2 2 2 5" xfId="990"/>
    <cellStyle name="Normal 16 2 2 3" xfId="802"/>
    <cellStyle name="Normal 16 2 2 3 2" xfId="1136"/>
    <cellStyle name="Normal 16 2 2 3 2 2" xfId="1369"/>
    <cellStyle name="Normal 16 2 2 3 3" xfId="1253"/>
    <cellStyle name="Normal 16 2 2 3 4" xfId="1017"/>
    <cellStyle name="Normal 16 2 2 4" xfId="875"/>
    <cellStyle name="Normal 16 2 2 4 2" xfId="1317"/>
    <cellStyle name="Normal 16 2 2 4 3" xfId="1084"/>
    <cellStyle name="Normal 16 2 2 5" xfId="1201"/>
    <cellStyle name="Normal 16 2 2 6" xfId="964"/>
    <cellStyle name="Normal 16 2 3" xfId="627"/>
    <cellStyle name="Normal 16 2 3 2" xfId="664"/>
    <cellStyle name="Normal 16 2 3 2 2" xfId="843"/>
    <cellStyle name="Normal 16 2 3 2 2 2" xfId="1174"/>
    <cellStyle name="Normal 16 2 3 2 2 2 2" xfId="1407"/>
    <cellStyle name="Normal 16 2 3 2 2 3" xfId="1291"/>
    <cellStyle name="Normal 16 2 3 2 2 4" xfId="1055"/>
    <cellStyle name="Normal 16 2 3 2 3" xfId="913"/>
    <cellStyle name="Normal 16 2 3 2 3 2" xfId="1351"/>
    <cellStyle name="Normal 16 2 3 2 3 3" xfId="1118"/>
    <cellStyle name="Normal 16 2 3 2 4" xfId="1235"/>
    <cellStyle name="Normal 16 2 3 2 5" xfId="998"/>
    <cellStyle name="Normal 16 2 3 3" xfId="810"/>
    <cellStyle name="Normal 16 2 3 3 2" xfId="1144"/>
    <cellStyle name="Normal 16 2 3 3 2 2" xfId="1377"/>
    <cellStyle name="Normal 16 2 3 3 3" xfId="1261"/>
    <cellStyle name="Normal 16 2 3 3 4" xfId="1025"/>
    <cellStyle name="Normal 16 2 3 4" xfId="883"/>
    <cellStyle name="Normal 16 2 3 4 2" xfId="1325"/>
    <cellStyle name="Normal 16 2 3 4 3" xfId="1092"/>
    <cellStyle name="Normal 16 2 3 5" xfId="1209"/>
    <cellStyle name="Normal 16 2 3 6" xfId="972"/>
    <cellStyle name="Normal 16 2 4" xfId="648"/>
    <cellStyle name="Normal 16 2 4 2" xfId="827"/>
    <cellStyle name="Normal 16 2 4 2 2" xfId="1158"/>
    <cellStyle name="Normal 16 2 4 2 2 2" xfId="1391"/>
    <cellStyle name="Normal 16 2 4 2 3" xfId="1275"/>
    <cellStyle name="Normal 16 2 4 2 4" xfId="1039"/>
    <cellStyle name="Normal 16 2 4 3" xfId="897"/>
    <cellStyle name="Normal 16 2 4 3 2" xfId="1309"/>
    <cellStyle name="Normal 16 2 4 3 3" xfId="1076"/>
    <cellStyle name="Normal 16 2 4 4" xfId="1193"/>
    <cellStyle name="Normal 16 2 4 5" xfId="956"/>
    <cellStyle name="Normal 16 2 5" xfId="791"/>
    <cellStyle name="Normal 16 2 5 2" xfId="1102"/>
    <cellStyle name="Normal 16 2 5 2 2" xfId="1335"/>
    <cellStyle name="Normal 16 2 5 3" xfId="1219"/>
    <cellStyle name="Normal 16 2 5 4" xfId="982"/>
    <cellStyle name="Normal 16 2 6" xfId="867"/>
    <cellStyle name="Normal 16 2 6 2" xfId="1128"/>
    <cellStyle name="Normal 16 2 6 2 2" xfId="1361"/>
    <cellStyle name="Normal 16 2 6 3" xfId="1245"/>
    <cellStyle name="Normal 16 2 6 4" xfId="1009"/>
    <cellStyle name="Normal 16 2 7" xfId="1069"/>
    <cellStyle name="Normal 16 2 7 2" xfId="1302"/>
    <cellStyle name="Normal 16 2 8" xfId="1186"/>
    <cellStyle name="Normal 16 2 9" xfId="949"/>
    <cellStyle name="Normal 16 3" xfId="591"/>
    <cellStyle name="Normal 16 3 2" xfId="645"/>
    <cellStyle name="Normal 16 3 2 2" xfId="824"/>
    <cellStyle name="Normal 16 3 2 2 2" xfId="1155"/>
    <cellStyle name="Normal 16 3 2 2 2 2" xfId="1388"/>
    <cellStyle name="Normal 16 3 2 2 3" xfId="1272"/>
    <cellStyle name="Normal 16 3 2 2 4" xfId="1036"/>
    <cellStyle name="Normal 16 3 2 3" xfId="894"/>
    <cellStyle name="Normal 16 3 2 3 2" xfId="1332"/>
    <cellStyle name="Normal 16 3 2 3 3" xfId="1099"/>
    <cellStyle name="Normal 16 3 2 4" xfId="1216"/>
    <cellStyle name="Normal 16 3 2 5" xfId="979"/>
    <cellStyle name="Normal 16 3 3" xfId="785"/>
    <cellStyle name="Normal 16 3 3 2" xfId="1125"/>
    <cellStyle name="Normal 16 3 3 2 2" xfId="1358"/>
    <cellStyle name="Normal 16 3 3 3" xfId="1242"/>
    <cellStyle name="Normal 16 3 3 4" xfId="1006"/>
    <cellStyle name="Normal 16 3 4" xfId="864"/>
    <cellStyle name="Normal 16 3 4 2" xfId="1306"/>
    <cellStyle name="Normal 16 3 4 3" xfId="1073"/>
    <cellStyle name="Normal 16 3 5" xfId="1190"/>
    <cellStyle name="Normal 16 3 6" xfId="953"/>
    <cellStyle name="Normal 16 4" xfId="616"/>
    <cellStyle name="Normal 16 4 2" xfId="653"/>
    <cellStyle name="Normal 16 4 2 2" xfId="832"/>
    <cellStyle name="Normal 16 4 2 2 2" xfId="1163"/>
    <cellStyle name="Normal 16 4 2 2 2 2" xfId="1396"/>
    <cellStyle name="Normal 16 4 2 2 3" xfId="1280"/>
    <cellStyle name="Normal 16 4 2 2 4" xfId="1044"/>
    <cellStyle name="Normal 16 4 2 3" xfId="902"/>
    <cellStyle name="Normal 16 4 2 3 2" xfId="1340"/>
    <cellStyle name="Normal 16 4 2 3 3" xfId="1107"/>
    <cellStyle name="Normal 16 4 2 4" xfId="1224"/>
    <cellStyle name="Normal 16 4 2 5" xfId="987"/>
    <cellStyle name="Normal 16 4 3" xfId="799"/>
    <cellStyle name="Normal 16 4 3 2" xfId="1133"/>
    <cellStyle name="Normal 16 4 3 2 2" xfId="1366"/>
    <cellStyle name="Normal 16 4 3 3" xfId="1250"/>
    <cellStyle name="Normal 16 4 3 4" xfId="1014"/>
    <cellStyle name="Normal 16 4 4" xfId="872"/>
    <cellStyle name="Normal 16 4 4 2" xfId="1314"/>
    <cellStyle name="Normal 16 4 4 3" xfId="1081"/>
    <cellStyle name="Normal 16 4 5" xfId="1198"/>
    <cellStyle name="Normal 16 4 6" xfId="961"/>
    <cellStyle name="Normal 16 5" xfId="624"/>
    <cellStyle name="Normal 16 5 2" xfId="661"/>
    <cellStyle name="Normal 16 5 2 2" xfId="840"/>
    <cellStyle name="Normal 16 5 2 2 2" xfId="1171"/>
    <cellStyle name="Normal 16 5 2 2 2 2" xfId="1404"/>
    <cellStyle name="Normal 16 5 2 2 3" xfId="1288"/>
    <cellStyle name="Normal 16 5 2 2 4" xfId="1052"/>
    <cellStyle name="Normal 16 5 2 3" xfId="910"/>
    <cellStyle name="Normal 16 5 2 3 2" xfId="1348"/>
    <cellStyle name="Normal 16 5 2 3 3" xfId="1115"/>
    <cellStyle name="Normal 16 5 2 4" xfId="1232"/>
    <cellStyle name="Normal 16 5 2 5" xfId="995"/>
    <cellStyle name="Normal 16 5 3" xfId="807"/>
    <cellStyle name="Normal 16 5 3 2" xfId="1141"/>
    <cellStyle name="Normal 16 5 3 2 2" xfId="1374"/>
    <cellStyle name="Normal 16 5 3 3" xfId="1258"/>
    <cellStyle name="Normal 16 5 3 4" xfId="1022"/>
    <cellStyle name="Normal 16 5 4" xfId="880"/>
    <cellStyle name="Normal 16 5 4 2" xfId="1322"/>
    <cellStyle name="Normal 16 5 4 3" xfId="1089"/>
    <cellStyle name="Normal 16 5 5" xfId="1206"/>
    <cellStyle name="Normal 16 5 6" xfId="969"/>
    <cellStyle name="Normal 16 6" xfId="642"/>
    <cellStyle name="Normal 16 6 2" xfId="821"/>
    <cellStyle name="Normal 16 6 2 2" xfId="1153"/>
    <cellStyle name="Normal 16 6 2 2 2" xfId="1386"/>
    <cellStyle name="Normal 16 6 2 3" xfId="1270"/>
    <cellStyle name="Normal 16 6 2 4" xfId="1034"/>
    <cellStyle name="Normal 16 6 3" xfId="892"/>
    <cellStyle name="Normal 16 6 3 2" xfId="1304"/>
    <cellStyle name="Normal 16 6 3 3" xfId="1071"/>
    <cellStyle name="Normal 16 6 4" xfId="1188"/>
    <cellStyle name="Normal 16 6 5" xfId="951"/>
    <cellStyle name="Normal 16 7" xfId="771"/>
    <cellStyle name="Normal 16 7 2" xfId="1097"/>
    <cellStyle name="Normal 16 7 2 2" xfId="1330"/>
    <cellStyle name="Normal 16 7 3" xfId="1214"/>
    <cellStyle name="Normal 16 7 4" xfId="977"/>
    <cellStyle name="Normal 16 8" xfId="861"/>
    <cellStyle name="Normal 16 8 2" xfId="1123"/>
    <cellStyle name="Normal 16 8 2 2" xfId="1356"/>
    <cellStyle name="Normal 16 8 3" xfId="1240"/>
    <cellStyle name="Normal 16 8 4" xfId="1004"/>
    <cellStyle name="Normal 16 9" xfId="1064"/>
    <cellStyle name="Normal 16 9 2" xfId="1299"/>
    <cellStyle name="Normal 17" xfId="517"/>
    <cellStyle name="Normal 17 10" xfId="1184"/>
    <cellStyle name="Normal 17 11" xfId="940"/>
    <cellStyle name="Normal 17 2" xfId="603"/>
    <cellStyle name="Normal 17 2 2" xfId="620"/>
    <cellStyle name="Normal 17 2 2 2" xfId="657"/>
    <cellStyle name="Normal 17 2 2 2 2" xfId="836"/>
    <cellStyle name="Normal 17 2 2 2 2 2" xfId="1167"/>
    <cellStyle name="Normal 17 2 2 2 2 2 2" xfId="1400"/>
    <cellStyle name="Normal 17 2 2 2 2 3" xfId="1284"/>
    <cellStyle name="Normal 17 2 2 2 2 4" xfId="1048"/>
    <cellStyle name="Normal 17 2 2 2 3" xfId="906"/>
    <cellStyle name="Normal 17 2 2 2 3 2" xfId="1344"/>
    <cellStyle name="Normal 17 2 2 2 3 3" xfId="1111"/>
    <cellStyle name="Normal 17 2 2 2 4" xfId="1228"/>
    <cellStyle name="Normal 17 2 2 2 5" xfId="991"/>
    <cellStyle name="Normal 17 2 2 3" xfId="803"/>
    <cellStyle name="Normal 17 2 2 3 2" xfId="1137"/>
    <cellStyle name="Normal 17 2 2 3 2 2" xfId="1370"/>
    <cellStyle name="Normal 17 2 2 3 3" xfId="1254"/>
    <cellStyle name="Normal 17 2 2 3 4" xfId="1018"/>
    <cellStyle name="Normal 17 2 2 4" xfId="876"/>
    <cellStyle name="Normal 17 2 2 4 2" xfId="1318"/>
    <cellStyle name="Normal 17 2 2 4 3" xfId="1085"/>
    <cellStyle name="Normal 17 2 2 5" xfId="1202"/>
    <cellStyle name="Normal 17 2 2 6" xfId="965"/>
    <cellStyle name="Normal 17 2 3" xfId="628"/>
    <cellStyle name="Normal 17 2 3 2" xfId="665"/>
    <cellStyle name="Normal 17 2 3 2 2" xfId="844"/>
    <cellStyle name="Normal 17 2 3 2 2 2" xfId="1175"/>
    <cellStyle name="Normal 17 2 3 2 2 2 2" xfId="1408"/>
    <cellStyle name="Normal 17 2 3 2 2 3" xfId="1292"/>
    <cellStyle name="Normal 17 2 3 2 2 4" xfId="1056"/>
    <cellStyle name="Normal 17 2 3 2 3" xfId="914"/>
    <cellStyle name="Normal 17 2 3 2 3 2" xfId="1352"/>
    <cellStyle name="Normal 17 2 3 2 3 3" xfId="1119"/>
    <cellStyle name="Normal 17 2 3 2 4" xfId="1236"/>
    <cellStyle name="Normal 17 2 3 2 5" xfId="999"/>
    <cellStyle name="Normal 17 2 3 3" xfId="811"/>
    <cellStyle name="Normal 17 2 3 3 2" xfId="1145"/>
    <cellStyle name="Normal 17 2 3 3 2 2" xfId="1378"/>
    <cellStyle name="Normal 17 2 3 3 3" xfId="1262"/>
    <cellStyle name="Normal 17 2 3 3 4" xfId="1026"/>
    <cellStyle name="Normal 17 2 3 4" xfId="884"/>
    <cellStyle name="Normal 17 2 3 4 2" xfId="1326"/>
    <cellStyle name="Normal 17 2 3 4 3" xfId="1093"/>
    <cellStyle name="Normal 17 2 3 5" xfId="1210"/>
    <cellStyle name="Normal 17 2 3 6" xfId="973"/>
    <cellStyle name="Normal 17 2 4" xfId="649"/>
    <cellStyle name="Normal 17 2 4 2" xfId="828"/>
    <cellStyle name="Normal 17 2 4 2 2" xfId="1159"/>
    <cellStyle name="Normal 17 2 4 2 2 2" xfId="1392"/>
    <cellStyle name="Normal 17 2 4 2 3" xfId="1276"/>
    <cellStyle name="Normal 17 2 4 2 4" xfId="1040"/>
    <cellStyle name="Normal 17 2 4 3" xfId="898"/>
    <cellStyle name="Normal 17 2 4 3 2" xfId="1310"/>
    <cellStyle name="Normal 17 2 4 3 3" xfId="1077"/>
    <cellStyle name="Normal 17 2 4 4" xfId="1194"/>
    <cellStyle name="Normal 17 2 4 5" xfId="957"/>
    <cellStyle name="Normal 17 2 5" xfId="792"/>
    <cellStyle name="Normal 17 2 5 2" xfId="1103"/>
    <cellStyle name="Normal 17 2 5 2 2" xfId="1336"/>
    <cellStyle name="Normal 17 2 5 3" xfId="1220"/>
    <cellStyle name="Normal 17 2 5 4" xfId="983"/>
    <cellStyle name="Normal 17 2 6" xfId="868"/>
    <cellStyle name="Normal 17 2 6 2" xfId="1129"/>
    <cellStyle name="Normal 17 2 6 2 2" xfId="1362"/>
    <cellStyle name="Normal 17 2 6 3" xfId="1246"/>
    <cellStyle name="Normal 17 2 6 4" xfId="1010"/>
    <cellStyle name="Normal 17 2 7" xfId="1070"/>
    <cellStyle name="Normal 17 2 7 2" xfId="1303"/>
    <cellStyle name="Normal 17 2 8" xfId="1187"/>
    <cellStyle name="Normal 17 2 9" xfId="950"/>
    <cellStyle name="Normal 17 3" xfId="592"/>
    <cellStyle name="Normal 17 3 2" xfId="646"/>
    <cellStyle name="Normal 17 3 2 2" xfId="825"/>
    <cellStyle name="Normal 17 3 2 2 2" xfId="1156"/>
    <cellStyle name="Normal 17 3 2 2 2 2" xfId="1389"/>
    <cellStyle name="Normal 17 3 2 2 3" xfId="1273"/>
    <cellStyle name="Normal 17 3 2 2 4" xfId="1037"/>
    <cellStyle name="Normal 17 3 2 3" xfId="895"/>
    <cellStyle name="Normal 17 3 2 3 2" xfId="1333"/>
    <cellStyle name="Normal 17 3 2 3 3" xfId="1100"/>
    <cellStyle name="Normal 17 3 2 4" xfId="1217"/>
    <cellStyle name="Normal 17 3 2 5" xfId="980"/>
    <cellStyle name="Normal 17 3 3" xfId="786"/>
    <cellStyle name="Normal 17 3 3 2" xfId="1126"/>
    <cellStyle name="Normal 17 3 3 2 2" xfId="1359"/>
    <cellStyle name="Normal 17 3 3 3" xfId="1243"/>
    <cellStyle name="Normal 17 3 3 4" xfId="1007"/>
    <cellStyle name="Normal 17 3 4" xfId="865"/>
    <cellStyle name="Normal 17 3 4 2" xfId="1307"/>
    <cellStyle name="Normal 17 3 4 3" xfId="1074"/>
    <cellStyle name="Normal 17 3 5" xfId="1191"/>
    <cellStyle name="Normal 17 3 6" xfId="954"/>
    <cellStyle name="Normal 17 4" xfId="617"/>
    <cellStyle name="Normal 17 4 2" xfId="654"/>
    <cellStyle name="Normal 17 4 2 2" xfId="833"/>
    <cellStyle name="Normal 17 4 2 2 2" xfId="1164"/>
    <cellStyle name="Normal 17 4 2 2 2 2" xfId="1397"/>
    <cellStyle name="Normal 17 4 2 2 3" xfId="1281"/>
    <cellStyle name="Normal 17 4 2 2 4" xfId="1045"/>
    <cellStyle name="Normal 17 4 2 3" xfId="903"/>
    <cellStyle name="Normal 17 4 2 3 2" xfId="1341"/>
    <cellStyle name="Normal 17 4 2 3 3" xfId="1108"/>
    <cellStyle name="Normal 17 4 2 4" xfId="1225"/>
    <cellStyle name="Normal 17 4 2 5" xfId="988"/>
    <cellStyle name="Normal 17 4 3" xfId="800"/>
    <cellStyle name="Normal 17 4 3 2" xfId="1134"/>
    <cellStyle name="Normal 17 4 3 2 2" xfId="1367"/>
    <cellStyle name="Normal 17 4 3 3" xfId="1251"/>
    <cellStyle name="Normal 17 4 3 4" xfId="1015"/>
    <cellStyle name="Normal 17 4 4" xfId="873"/>
    <cellStyle name="Normal 17 4 4 2" xfId="1315"/>
    <cellStyle name="Normal 17 4 4 3" xfId="1082"/>
    <cellStyle name="Normal 17 4 5" xfId="1199"/>
    <cellStyle name="Normal 17 4 6" xfId="962"/>
    <cellStyle name="Normal 17 5" xfId="625"/>
    <cellStyle name="Normal 17 5 2" xfId="662"/>
    <cellStyle name="Normal 17 5 2 2" xfId="841"/>
    <cellStyle name="Normal 17 5 2 2 2" xfId="1172"/>
    <cellStyle name="Normal 17 5 2 2 2 2" xfId="1405"/>
    <cellStyle name="Normal 17 5 2 2 3" xfId="1289"/>
    <cellStyle name="Normal 17 5 2 2 4" xfId="1053"/>
    <cellStyle name="Normal 17 5 2 3" xfId="911"/>
    <cellStyle name="Normal 17 5 2 3 2" xfId="1349"/>
    <cellStyle name="Normal 17 5 2 3 3" xfId="1116"/>
    <cellStyle name="Normal 17 5 2 4" xfId="1233"/>
    <cellStyle name="Normal 17 5 2 5" xfId="996"/>
    <cellStyle name="Normal 17 5 3" xfId="808"/>
    <cellStyle name="Normal 17 5 3 2" xfId="1142"/>
    <cellStyle name="Normal 17 5 3 2 2" xfId="1375"/>
    <cellStyle name="Normal 17 5 3 3" xfId="1259"/>
    <cellStyle name="Normal 17 5 3 4" xfId="1023"/>
    <cellStyle name="Normal 17 5 4" xfId="881"/>
    <cellStyle name="Normal 17 5 4 2" xfId="1323"/>
    <cellStyle name="Normal 17 5 4 3" xfId="1090"/>
    <cellStyle name="Normal 17 5 5" xfId="1207"/>
    <cellStyle name="Normal 17 5 6" xfId="970"/>
    <cellStyle name="Normal 17 6" xfId="643"/>
    <cellStyle name="Normal 17 6 2" xfId="822"/>
    <cellStyle name="Normal 17 6 2 2" xfId="1154"/>
    <cellStyle name="Normal 17 6 2 2 2" xfId="1387"/>
    <cellStyle name="Normal 17 6 2 3" xfId="1271"/>
    <cellStyle name="Normal 17 6 2 4" xfId="1035"/>
    <cellStyle name="Normal 17 6 3" xfId="893"/>
    <cellStyle name="Normal 17 6 3 2" xfId="1305"/>
    <cellStyle name="Normal 17 6 3 3" xfId="1072"/>
    <cellStyle name="Normal 17 6 4" xfId="1189"/>
    <cellStyle name="Normal 17 6 5" xfId="952"/>
    <cellStyle name="Normal 17 7" xfId="772"/>
    <cellStyle name="Normal 17 7 2" xfId="1098"/>
    <cellStyle name="Normal 17 7 2 2" xfId="1331"/>
    <cellStyle name="Normal 17 7 3" xfId="1215"/>
    <cellStyle name="Normal 17 7 4" xfId="978"/>
    <cellStyle name="Normal 17 8" xfId="862"/>
    <cellStyle name="Normal 17 8 2" xfId="1124"/>
    <cellStyle name="Normal 17 8 2 2" xfId="1357"/>
    <cellStyle name="Normal 17 8 3" xfId="1241"/>
    <cellStyle name="Normal 17 8 4" xfId="1005"/>
    <cellStyle name="Normal 17 9" xfId="1065"/>
    <cellStyle name="Normal 17 9 2" xfId="1300"/>
    <cellStyle name="Normal 18" xfId="518"/>
    <cellStyle name="Normal 19" xfId="519"/>
    <cellStyle name="Normal 19 2" xfId="604"/>
    <cellStyle name="Normal 19 3" xfId="593"/>
    <cellStyle name="Normal 2" xfId="520"/>
    <cellStyle name="Normal 2 2" xfId="605"/>
    <cellStyle name="Normal 2 2 2" xfId="621"/>
    <cellStyle name="Normal 2 2 2 2" xfId="658"/>
    <cellStyle name="Normal 2 2 2 2 2" xfId="837"/>
    <cellStyle name="Normal 2 2 2 2 2 2" xfId="1168"/>
    <cellStyle name="Normal 2 2 2 2 2 2 2" xfId="1401"/>
    <cellStyle name="Normal 2 2 2 2 2 3" xfId="1285"/>
    <cellStyle name="Normal 2 2 2 2 2 4" xfId="1049"/>
    <cellStyle name="Normal 2 2 2 2 3" xfId="907"/>
    <cellStyle name="Normal 2 2 2 2 3 2" xfId="1345"/>
    <cellStyle name="Normal 2 2 2 2 3 3" xfId="1112"/>
    <cellStyle name="Normal 2 2 2 2 4" xfId="1229"/>
    <cellStyle name="Normal 2 2 2 2 5" xfId="992"/>
    <cellStyle name="Normal 2 2 2 3" xfId="804"/>
    <cellStyle name="Normal 2 2 2 3 2" xfId="1138"/>
    <cellStyle name="Normal 2 2 2 3 2 2" xfId="1371"/>
    <cellStyle name="Normal 2 2 2 3 3" xfId="1255"/>
    <cellStyle name="Normal 2 2 2 3 4" xfId="1019"/>
    <cellStyle name="Normal 2 2 2 4" xfId="877"/>
    <cellStyle name="Normal 2 2 2 4 2" xfId="1319"/>
    <cellStyle name="Normal 2 2 2 4 3" xfId="1086"/>
    <cellStyle name="Normal 2 2 2 5" xfId="1203"/>
    <cellStyle name="Normal 2 2 2 6" xfId="966"/>
    <cellStyle name="Normal 2 2 3" xfId="629"/>
    <cellStyle name="Normal 2 2 3 2" xfId="666"/>
    <cellStyle name="Normal 2 2 3 2 2" xfId="845"/>
    <cellStyle name="Normal 2 2 3 2 2 2" xfId="1176"/>
    <cellStyle name="Normal 2 2 3 2 2 2 2" xfId="1409"/>
    <cellStyle name="Normal 2 2 3 2 2 3" xfId="1293"/>
    <cellStyle name="Normal 2 2 3 2 2 4" xfId="1057"/>
    <cellStyle name="Normal 2 2 3 2 3" xfId="915"/>
    <cellStyle name="Normal 2 2 3 2 3 2" xfId="1353"/>
    <cellStyle name="Normal 2 2 3 2 3 3" xfId="1120"/>
    <cellStyle name="Normal 2 2 3 2 4" xfId="1237"/>
    <cellStyle name="Normal 2 2 3 2 5" xfId="1000"/>
    <cellStyle name="Normal 2 2 3 3" xfId="812"/>
    <cellStyle name="Normal 2 2 3 3 2" xfId="1146"/>
    <cellStyle name="Normal 2 2 3 3 2 2" xfId="1379"/>
    <cellStyle name="Normal 2 2 3 3 3" xfId="1263"/>
    <cellStyle name="Normal 2 2 3 3 4" xfId="1027"/>
    <cellStyle name="Normal 2 2 3 4" xfId="885"/>
    <cellStyle name="Normal 2 2 3 4 2" xfId="1327"/>
    <cellStyle name="Normal 2 2 3 4 3" xfId="1094"/>
    <cellStyle name="Normal 2 2 3 5" xfId="1211"/>
    <cellStyle name="Normal 2 2 3 6" xfId="974"/>
    <cellStyle name="Normal 2 2 4" xfId="650"/>
    <cellStyle name="Normal 2 2 4 2" xfId="829"/>
    <cellStyle name="Normal 2 2 4 2 2" xfId="1160"/>
    <cellStyle name="Normal 2 2 4 2 2 2" xfId="1393"/>
    <cellStyle name="Normal 2 2 4 2 3" xfId="1277"/>
    <cellStyle name="Normal 2 2 4 2 4" xfId="1041"/>
    <cellStyle name="Normal 2 2 4 3" xfId="899"/>
    <cellStyle name="Normal 2 2 4 3 2" xfId="1311"/>
    <cellStyle name="Normal 2 2 4 3 3" xfId="1078"/>
    <cellStyle name="Normal 2 2 4 4" xfId="1195"/>
    <cellStyle name="Normal 2 2 4 5" xfId="958"/>
    <cellStyle name="Normal 2 2 5" xfId="793"/>
    <cellStyle name="Normal 2 2 5 2" xfId="1104"/>
    <cellStyle name="Normal 2 2 5 2 2" xfId="1337"/>
    <cellStyle name="Normal 2 2 5 3" xfId="1221"/>
    <cellStyle name="Normal 2 2 5 4" xfId="984"/>
    <cellStyle name="Normal 2 2 6" xfId="869"/>
    <cellStyle name="Normal 2 2 6 2" xfId="1130"/>
    <cellStyle name="Normal 2 2 6 2 2" xfId="1363"/>
    <cellStyle name="Normal 2 2 6 3" xfId="1247"/>
    <cellStyle name="Normal 2 2 6 4" xfId="1011"/>
    <cellStyle name="Normal 2 2 7" xfId="1068"/>
    <cellStyle name="Normal 2 2 7 2" xfId="1301"/>
    <cellStyle name="Normal 2 2 8" xfId="1185"/>
    <cellStyle name="Normal 2 2 9" xfId="947"/>
    <cellStyle name="Normal 2 3" xfId="636"/>
    <cellStyle name="Normal 2 4" xfId="696"/>
    <cellStyle name="Normal 20" xfId="521"/>
    <cellStyle name="Normal 21" xfId="606"/>
    <cellStyle name="Normal 22" xfId="632"/>
    <cellStyle name="Normal 22 2" xfId="640"/>
    <cellStyle name="Normal 22 3" xfId="815"/>
    <cellStyle name="Normal 22 3 2" xfId="1382"/>
    <cellStyle name="Normal 22 3 3" xfId="1149"/>
    <cellStyle name="Normal 22 4" xfId="888"/>
    <cellStyle name="Normal 22 4 2" xfId="1266"/>
    <cellStyle name="Normal 22 5" xfId="1030"/>
    <cellStyle name="Normal 23" xfId="637"/>
    <cellStyle name="Normal 23 2" xfId="818"/>
    <cellStyle name="Normal 23 2 2" xfId="1383"/>
    <cellStyle name="Normal 23 2 3" xfId="1150"/>
    <cellStyle name="Normal 23 3" xfId="889"/>
    <cellStyle name="Normal 23 3 2" xfId="1267"/>
    <cellStyle name="Normal 23 4" xfId="1031"/>
    <cellStyle name="Normal 24" xfId="848"/>
    <cellStyle name="Normal 24 2" xfId="1062"/>
    <cellStyle name="Normal 25" xfId="859"/>
    <cellStyle name="Normal 25 2" xfId="1298"/>
    <cellStyle name="Normal 25 3" xfId="1061"/>
    <cellStyle name="Normal 26" xfId="849"/>
    <cellStyle name="Normal 26 2" xfId="1180"/>
    <cellStyle name="Normal 27" xfId="855"/>
    <cellStyle name="Normal 28" xfId="860"/>
    <cellStyle name="Normal 29" xfId="930"/>
    <cellStyle name="Normal 3" xfId="522"/>
    <cellStyle name="Normal 3 2" xfId="607"/>
    <cellStyle name="Normal 3 3" xfId="608"/>
    <cellStyle name="Normal 3 3 2" xfId="601"/>
    <cellStyle name="Normal 3 4" xfId="633"/>
    <cellStyle name="Normal 3 4 2" xfId="816"/>
    <cellStyle name="Normal 3 5" xfId="700"/>
    <cellStyle name="Normal 3 6" xfId="923"/>
    <cellStyle name="Normal 30" xfId="926"/>
    <cellStyle name="Normal 31" xfId="1413"/>
    <cellStyle name="Normal 32" xfId="924"/>
    <cellStyle name="Normal 33" xfId="928"/>
    <cellStyle name="Normal 34" xfId="938"/>
    <cellStyle name="Normal 35" xfId="1422"/>
    <cellStyle name="Normal 36" xfId="1424"/>
    <cellStyle name="Normal 37" xfId="1426"/>
    <cellStyle name="Normal 38" xfId="1428"/>
    <cellStyle name="Normal 39" xfId="1430"/>
    <cellStyle name="Normal 4" xfId="523"/>
    <cellStyle name="Normal 4 2" xfId="609"/>
    <cellStyle name="Normal 4 3" xfId="739"/>
    <cellStyle name="Normal 40" xfId="1432"/>
    <cellStyle name="Normal 41" xfId="1434"/>
    <cellStyle name="Normal 42" xfId="1436"/>
    <cellStyle name="Normal 43" xfId="1438"/>
    <cellStyle name="Normal 44" xfId="1440"/>
    <cellStyle name="Normal 45" xfId="1442"/>
    <cellStyle name="Normal 46" xfId="1444"/>
    <cellStyle name="Normal 5" xfId="524"/>
    <cellStyle name="Normal 5 2" xfId="767"/>
    <cellStyle name="Normal 5 3" xfId="741"/>
    <cellStyle name="Normal 6" xfId="525"/>
    <cellStyle name="Normal 6 2" xfId="744"/>
    <cellStyle name="Normal 7" xfId="526"/>
    <cellStyle name="Normal 8" xfId="527"/>
    <cellStyle name="Normal 9" xfId="528"/>
    <cellStyle name="Note 10" xfId="529"/>
    <cellStyle name="Note 11" xfId="530"/>
    <cellStyle name="Note 12" xfId="531"/>
    <cellStyle name="Note 13" xfId="532"/>
    <cellStyle name="Note 14" xfId="533"/>
    <cellStyle name="Note 15" xfId="534"/>
    <cellStyle name="Note 16" xfId="777"/>
    <cellStyle name="Note 2" xfId="535"/>
    <cellStyle name="Note 2 2" xfId="712"/>
    <cellStyle name="Note 3" xfId="536"/>
    <cellStyle name="Note 4" xfId="537"/>
    <cellStyle name="Note 5" xfId="538"/>
    <cellStyle name="Note 6" xfId="539"/>
    <cellStyle name="Note 7" xfId="540"/>
    <cellStyle name="Note 8" xfId="541"/>
    <cellStyle name="Note 9" xfId="542"/>
    <cellStyle name="Output 10" xfId="543"/>
    <cellStyle name="Output 11" xfId="544"/>
    <cellStyle name="Output 12" xfId="545"/>
    <cellStyle name="Output 13" xfId="546"/>
    <cellStyle name="Output 14" xfId="547"/>
    <cellStyle name="Output 15" xfId="548"/>
    <cellStyle name="Output 16" xfId="774"/>
    <cellStyle name="Output 2" xfId="549"/>
    <cellStyle name="Output 2 2" xfId="707"/>
    <cellStyle name="Output 3" xfId="550"/>
    <cellStyle name="Output 4" xfId="551"/>
    <cellStyle name="Output 5" xfId="552"/>
    <cellStyle name="Output 6" xfId="553"/>
    <cellStyle name="Output 7" xfId="554"/>
    <cellStyle name="Output 8" xfId="555"/>
    <cellStyle name="Output 9" xfId="556"/>
    <cellStyle name="Percent" xfId="557" builtinId="5"/>
    <cellStyle name="Percent [2]" xfId="766"/>
    <cellStyle name="Percent 10" xfId="856"/>
    <cellStyle name="Percent 11" xfId="863"/>
    <cellStyle name="Percent 12" xfId="941"/>
    <cellStyle name="Percent 13" xfId="925"/>
    <cellStyle name="Percent 14" xfId="929"/>
    <cellStyle name="Percent 15" xfId="918"/>
    <cellStyle name="Percent 16" xfId="1414"/>
    <cellStyle name="Percent 17" xfId="934"/>
    <cellStyle name="Percent 18" xfId="943"/>
    <cellStyle name="Percent 19" xfId="920"/>
    <cellStyle name="Percent 2" xfId="558"/>
    <cellStyle name="Percent 2 2" xfId="610"/>
    <cellStyle name="Percent 2 2 2" xfId="622"/>
    <cellStyle name="Percent 2 2 2 2" xfId="659"/>
    <cellStyle name="Percent 2 2 2 2 2" xfId="838"/>
    <cellStyle name="Percent 2 2 2 2 2 2" xfId="1169"/>
    <cellStyle name="Percent 2 2 2 2 2 2 2" xfId="1402"/>
    <cellStyle name="Percent 2 2 2 2 2 3" xfId="1286"/>
    <cellStyle name="Percent 2 2 2 2 2 4" xfId="1050"/>
    <cellStyle name="Percent 2 2 2 2 3" xfId="908"/>
    <cellStyle name="Percent 2 2 2 2 3 2" xfId="1346"/>
    <cellStyle name="Percent 2 2 2 2 3 3" xfId="1113"/>
    <cellStyle name="Percent 2 2 2 2 4" xfId="1230"/>
    <cellStyle name="Percent 2 2 2 2 5" xfId="993"/>
    <cellStyle name="Percent 2 2 2 3" xfId="805"/>
    <cellStyle name="Percent 2 2 2 3 2" xfId="1139"/>
    <cellStyle name="Percent 2 2 2 3 2 2" xfId="1372"/>
    <cellStyle name="Percent 2 2 2 3 3" xfId="1256"/>
    <cellStyle name="Percent 2 2 2 3 4" xfId="1020"/>
    <cellStyle name="Percent 2 2 2 4" xfId="878"/>
    <cellStyle name="Percent 2 2 2 4 2" xfId="1320"/>
    <cellStyle name="Percent 2 2 2 4 3" xfId="1087"/>
    <cellStyle name="Percent 2 2 2 5" xfId="1204"/>
    <cellStyle name="Percent 2 2 2 6" xfId="967"/>
    <cellStyle name="Percent 2 2 3" xfId="630"/>
    <cellStyle name="Percent 2 2 3 2" xfId="667"/>
    <cellStyle name="Percent 2 2 3 2 2" xfId="846"/>
    <cellStyle name="Percent 2 2 3 2 2 2" xfId="1177"/>
    <cellStyle name="Percent 2 2 3 2 2 2 2" xfId="1410"/>
    <cellStyle name="Percent 2 2 3 2 2 3" xfId="1294"/>
    <cellStyle name="Percent 2 2 3 2 2 4" xfId="1058"/>
    <cellStyle name="Percent 2 2 3 2 3" xfId="916"/>
    <cellStyle name="Percent 2 2 3 2 3 2" xfId="1354"/>
    <cellStyle name="Percent 2 2 3 2 3 3" xfId="1121"/>
    <cellStyle name="Percent 2 2 3 2 4" xfId="1238"/>
    <cellStyle name="Percent 2 2 3 2 5" xfId="1001"/>
    <cellStyle name="Percent 2 2 3 3" xfId="813"/>
    <cellStyle name="Percent 2 2 3 3 2" xfId="1147"/>
    <cellStyle name="Percent 2 2 3 3 2 2" xfId="1380"/>
    <cellStyle name="Percent 2 2 3 3 3" xfId="1264"/>
    <cellStyle name="Percent 2 2 3 3 4" xfId="1028"/>
    <cellStyle name="Percent 2 2 3 4" xfId="886"/>
    <cellStyle name="Percent 2 2 3 4 2" xfId="1328"/>
    <cellStyle name="Percent 2 2 3 4 3" xfId="1095"/>
    <cellStyle name="Percent 2 2 3 5" xfId="1212"/>
    <cellStyle name="Percent 2 2 3 6" xfId="975"/>
    <cellStyle name="Percent 2 2 4" xfId="651"/>
    <cellStyle name="Percent 2 2 4 2" xfId="830"/>
    <cellStyle name="Percent 2 2 4 2 2" xfId="1161"/>
    <cellStyle name="Percent 2 2 4 2 2 2" xfId="1394"/>
    <cellStyle name="Percent 2 2 4 2 3" xfId="1278"/>
    <cellStyle name="Percent 2 2 4 2 4" xfId="1042"/>
    <cellStyle name="Percent 2 2 4 3" xfId="900"/>
    <cellStyle name="Percent 2 2 4 3 2" xfId="1338"/>
    <cellStyle name="Percent 2 2 4 3 3" xfId="1105"/>
    <cellStyle name="Percent 2 2 4 4" xfId="1222"/>
    <cellStyle name="Percent 2 2 4 5" xfId="985"/>
    <cellStyle name="Percent 2 2 5" xfId="797"/>
    <cellStyle name="Percent 2 2 5 2" xfId="1131"/>
    <cellStyle name="Percent 2 2 5 2 2" xfId="1364"/>
    <cellStyle name="Percent 2 2 5 3" xfId="1248"/>
    <cellStyle name="Percent 2 2 5 4" xfId="1012"/>
    <cellStyle name="Percent 2 2 6" xfId="870"/>
    <cellStyle name="Percent 2 2 6 2" xfId="1312"/>
    <cellStyle name="Percent 2 2 6 3" xfId="1079"/>
    <cellStyle name="Percent 2 2 7" xfId="1196"/>
    <cellStyle name="Percent 2 2 8" xfId="959"/>
    <cellStyle name="Percent 2 3" xfId="615"/>
    <cellStyle name="Percent 2 3 2" xfId="623"/>
    <cellStyle name="Percent 2 3 2 2" xfId="660"/>
    <cellStyle name="Percent 2 3 2 2 2" xfId="839"/>
    <cellStyle name="Percent 2 3 2 2 2 2" xfId="1170"/>
    <cellStyle name="Percent 2 3 2 2 2 2 2" xfId="1403"/>
    <cellStyle name="Percent 2 3 2 2 2 3" xfId="1287"/>
    <cellStyle name="Percent 2 3 2 2 2 4" xfId="1051"/>
    <cellStyle name="Percent 2 3 2 2 3" xfId="909"/>
    <cellStyle name="Percent 2 3 2 2 3 2" xfId="1347"/>
    <cellStyle name="Percent 2 3 2 2 3 3" xfId="1114"/>
    <cellStyle name="Percent 2 3 2 2 4" xfId="1231"/>
    <cellStyle name="Percent 2 3 2 2 5" xfId="994"/>
    <cellStyle name="Percent 2 3 2 3" xfId="806"/>
    <cellStyle name="Percent 2 3 2 3 2" xfId="1140"/>
    <cellStyle name="Percent 2 3 2 3 2 2" xfId="1373"/>
    <cellStyle name="Percent 2 3 2 3 3" xfId="1257"/>
    <cellStyle name="Percent 2 3 2 3 4" xfId="1021"/>
    <cellStyle name="Percent 2 3 2 4" xfId="879"/>
    <cellStyle name="Percent 2 3 2 4 2" xfId="1321"/>
    <cellStyle name="Percent 2 3 2 4 3" xfId="1088"/>
    <cellStyle name="Percent 2 3 2 5" xfId="1205"/>
    <cellStyle name="Percent 2 3 2 6" xfId="968"/>
    <cellStyle name="Percent 2 3 3" xfId="631"/>
    <cellStyle name="Percent 2 3 3 2" xfId="668"/>
    <cellStyle name="Percent 2 3 3 2 2" xfId="847"/>
    <cellStyle name="Percent 2 3 3 2 2 2" xfId="1178"/>
    <cellStyle name="Percent 2 3 3 2 2 2 2" xfId="1411"/>
    <cellStyle name="Percent 2 3 3 2 2 3" xfId="1295"/>
    <cellStyle name="Percent 2 3 3 2 2 4" xfId="1059"/>
    <cellStyle name="Percent 2 3 3 2 3" xfId="917"/>
    <cellStyle name="Percent 2 3 3 2 3 2" xfId="1355"/>
    <cellStyle name="Percent 2 3 3 2 3 3" xfId="1122"/>
    <cellStyle name="Percent 2 3 3 2 4" xfId="1239"/>
    <cellStyle name="Percent 2 3 3 2 5" xfId="1002"/>
    <cellStyle name="Percent 2 3 3 3" xfId="814"/>
    <cellStyle name="Percent 2 3 3 3 2" xfId="1148"/>
    <cellStyle name="Percent 2 3 3 3 2 2" xfId="1381"/>
    <cellStyle name="Percent 2 3 3 3 3" xfId="1265"/>
    <cellStyle name="Percent 2 3 3 3 4" xfId="1029"/>
    <cellStyle name="Percent 2 3 3 4" xfId="887"/>
    <cellStyle name="Percent 2 3 3 4 2" xfId="1329"/>
    <cellStyle name="Percent 2 3 3 4 3" xfId="1096"/>
    <cellStyle name="Percent 2 3 3 5" xfId="1213"/>
    <cellStyle name="Percent 2 3 3 6" xfId="976"/>
    <cellStyle name="Percent 2 3 4" xfId="652"/>
    <cellStyle name="Percent 2 3 4 2" xfId="831"/>
    <cellStyle name="Percent 2 3 4 2 2" xfId="1162"/>
    <cellStyle name="Percent 2 3 4 2 2 2" xfId="1395"/>
    <cellStyle name="Percent 2 3 4 2 3" xfId="1279"/>
    <cellStyle name="Percent 2 3 4 2 4" xfId="1043"/>
    <cellStyle name="Percent 2 3 4 3" xfId="901"/>
    <cellStyle name="Percent 2 3 4 3 2" xfId="1339"/>
    <cellStyle name="Percent 2 3 4 3 3" xfId="1106"/>
    <cellStyle name="Percent 2 3 4 4" xfId="1223"/>
    <cellStyle name="Percent 2 3 4 5" xfId="986"/>
    <cellStyle name="Percent 2 3 5" xfId="798"/>
    <cellStyle name="Percent 2 3 5 2" xfId="1132"/>
    <cellStyle name="Percent 2 3 5 2 2" xfId="1365"/>
    <cellStyle name="Percent 2 3 5 3" xfId="1249"/>
    <cellStyle name="Percent 2 3 5 4" xfId="1013"/>
    <cellStyle name="Percent 2 3 6" xfId="871"/>
    <cellStyle name="Percent 2 3 6 2" xfId="1313"/>
    <cellStyle name="Percent 2 3 6 3" xfId="1080"/>
    <cellStyle name="Percent 2 3 7" xfId="1197"/>
    <cellStyle name="Percent 2 3 8" xfId="960"/>
    <cellStyle name="Percent 2 4" xfId="1415"/>
    <cellStyle name="Percent 20" xfId="919"/>
    <cellStyle name="Percent 21" xfId="921"/>
    <cellStyle name="Percent 22" xfId="932"/>
    <cellStyle name="Percent 23" xfId="1416"/>
    <cellStyle name="Percent 24" xfId="935"/>
    <cellStyle name="Percent 25" xfId="1418"/>
    <cellStyle name="Percent 26" xfId="945"/>
    <cellStyle name="Percent 27" xfId="922"/>
    <cellStyle name="Percent 28" xfId="931"/>
    <cellStyle name="Percent 29" xfId="1420"/>
    <cellStyle name="Percent 3" xfId="559"/>
    <cellStyle name="Percent 3 2" xfId="611"/>
    <cellStyle name="Percent 3 2 2" xfId="769"/>
    <cellStyle name="Percent 3 3" xfId="635"/>
    <cellStyle name="Percent 3 4" xfId="743"/>
    <cellStyle name="Percent 30" xfId="942"/>
    <cellStyle name="Percent 31" xfId="944"/>
    <cellStyle name="Percent 32" xfId="933"/>
    <cellStyle name="Percent 33" xfId="1419"/>
    <cellStyle name="Percent 34" xfId="927"/>
    <cellStyle name="Percent 35" xfId="1417"/>
    <cellStyle name="Percent 36" xfId="1421"/>
    <cellStyle name="Percent 37" xfId="1423"/>
    <cellStyle name="Percent 38" xfId="1425"/>
    <cellStyle name="Percent 39" xfId="1427"/>
    <cellStyle name="Percent 4" xfId="612"/>
    <cellStyle name="Percent 4 2" xfId="788"/>
    <cellStyle name="Percent 40" xfId="1429"/>
    <cellStyle name="Percent 41" xfId="1431"/>
    <cellStyle name="Percent 42" xfId="1433"/>
    <cellStyle name="Percent 43" xfId="1435"/>
    <cellStyle name="Percent 44" xfId="1437"/>
    <cellStyle name="Percent 45" xfId="1439"/>
    <cellStyle name="Percent 46" xfId="1441"/>
    <cellStyle name="Percent 47" xfId="1443"/>
    <cellStyle name="Percent 48" xfId="1445"/>
    <cellStyle name="Percent 5" xfId="644"/>
    <cellStyle name="Percent 6" xfId="639"/>
    <cellStyle name="Percent 6 2" xfId="820"/>
    <cellStyle name="Percent 6 2 2" xfId="1385"/>
    <cellStyle name="Percent 6 2 3" xfId="1152"/>
    <cellStyle name="Percent 6 3" xfId="891"/>
    <cellStyle name="Percent 6 3 2" xfId="1269"/>
    <cellStyle name="Percent 6 4" xfId="1033"/>
    <cellStyle name="Percent 7" xfId="853"/>
    <cellStyle name="Percent 7 2" xfId="1066"/>
    <cellStyle name="Percent 8" xfId="854"/>
    <cellStyle name="Percent 8 2" xfId="1182"/>
    <cellStyle name="Percent 9" xfId="857"/>
    <cellStyle name="Style 23" xfId="613"/>
    <cellStyle name="Style 23 2" xfId="614"/>
    <cellStyle name="Title" xfId="560" builtinId="15" customBuiltin="1"/>
    <cellStyle name="Title 2" xfId="697"/>
    <cellStyle name="Title 2 2" xfId="946"/>
    <cellStyle name="Title 3" xfId="693"/>
    <cellStyle name="Total 10" xfId="561"/>
    <cellStyle name="Total 11" xfId="562"/>
    <cellStyle name="Total 12" xfId="563"/>
    <cellStyle name="Total 13" xfId="564"/>
    <cellStyle name="Total 14" xfId="565"/>
    <cellStyle name="Total 15" xfId="566"/>
    <cellStyle name="Total 16" xfId="694"/>
    <cellStyle name="Total 2" xfId="567"/>
    <cellStyle name="Total 2 2" xfId="714"/>
    <cellStyle name="Total 3" xfId="568"/>
    <cellStyle name="Total 4" xfId="569"/>
    <cellStyle name="Total 5" xfId="570"/>
    <cellStyle name="Total 6" xfId="571"/>
    <cellStyle name="Total 7" xfId="572"/>
    <cellStyle name="Total 8" xfId="573"/>
    <cellStyle name="Total 9" xfId="574"/>
    <cellStyle name="Warning Text 10" xfId="575"/>
    <cellStyle name="Warning Text 11" xfId="576"/>
    <cellStyle name="Warning Text 12" xfId="577"/>
    <cellStyle name="Warning Text 13" xfId="578"/>
    <cellStyle name="Warning Text 14" xfId="579"/>
    <cellStyle name="Warning Text 15" xfId="580"/>
    <cellStyle name="Warning Text 16" xfId="695"/>
    <cellStyle name="Warning Text 2" xfId="581"/>
    <cellStyle name="Warning Text 2 2" xfId="711"/>
    <cellStyle name="Warning Text 3" xfId="582"/>
    <cellStyle name="Warning Text 4" xfId="583"/>
    <cellStyle name="Warning Text 5" xfId="584"/>
    <cellStyle name="Warning Text 6" xfId="585"/>
    <cellStyle name="Warning Text 7" xfId="586"/>
    <cellStyle name="Warning Text 8" xfId="587"/>
    <cellStyle name="Warning Text 9" xfId="588"/>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53356015307445E-2"/>
          <c:y val="3.5542275424528813E-2"/>
          <c:w val="0.72609264993784484"/>
          <c:h val="0.76901503668994686"/>
        </c:manualLayout>
      </c:layout>
      <c:barChart>
        <c:barDir val="col"/>
        <c:grouping val="clustered"/>
        <c:varyColors val="0"/>
        <c:ser>
          <c:idx val="2"/>
          <c:order val="0"/>
          <c:tx>
            <c:strRef>
              <c:f>'6. WS Regression Analysis'!$V$58</c:f>
              <c:strCache>
                <c:ptCount val="1"/>
                <c:pt idx="0">
                  <c:v>kWh Purchased</c:v>
                </c:pt>
              </c:strCache>
            </c:strRef>
          </c:tx>
          <c:invertIfNegative val="0"/>
          <c:cat>
            <c:numRef>
              <c:f>'6. WS Regression Analysis'!$U$59:$U$68</c:f>
              <c:numCache>
                <c:formatCode>@</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'6. WS Regression Analysis'!$V$59:$V$68</c:f>
              <c:numCache>
                <c:formatCode>_(* #,##0.00_);_(* \(#,##0.00\);_(* "-"??_);_(@_)</c:formatCode>
                <c:ptCount val="10"/>
                <c:pt idx="0">
                  <c:v>209871328.75141218</c:v>
                </c:pt>
                <c:pt idx="1">
                  <c:v>203367791.46020103</c:v>
                </c:pt>
                <c:pt idx="2">
                  <c:v>205302856.46000004</c:v>
                </c:pt>
                <c:pt idx="3">
                  <c:v>194146899.85907778</c:v>
                </c:pt>
                <c:pt idx="4">
                  <c:v>201115656.45999998</c:v>
                </c:pt>
                <c:pt idx="5">
                  <c:v>197081317.46300003</c:v>
                </c:pt>
                <c:pt idx="6">
                  <c:v>199623009.43799999</c:v>
                </c:pt>
                <c:pt idx="7">
                  <c:v>194771161.25000003</c:v>
                </c:pt>
                <c:pt idx="8">
                  <c:v>198259056.0149</c:v>
                </c:pt>
                <c:pt idx="9">
                  <c:v>191637148.35999998</c:v>
                </c:pt>
              </c:numCache>
            </c:numRef>
          </c:val>
        </c:ser>
        <c:ser>
          <c:idx val="0"/>
          <c:order val="1"/>
          <c:tx>
            <c:strRef>
              <c:f>'6. WS Regression Analysis'!$W$58</c:f>
              <c:strCache>
                <c:ptCount val="1"/>
                <c:pt idx="0">
                  <c:v>Adjusted</c:v>
                </c:pt>
              </c:strCache>
            </c:strRef>
          </c:tx>
          <c:invertIfNegative val="0"/>
          <c:cat>
            <c:numRef>
              <c:f>'6. WS Regression Analysis'!$U$59:$U$68</c:f>
              <c:numCache>
                <c:formatCode>@</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'6. WS Regression Analysis'!$W$59:$W$68</c:f>
              <c:numCache>
                <c:formatCode>_(* #,##0.00_);_(* \(#,##0.00\);_(* "-"??_);_(@_)</c:formatCode>
                <c:ptCount val="10"/>
                <c:pt idx="0">
                  <c:v>203844303.0754298</c:v>
                </c:pt>
                <c:pt idx="1">
                  <c:v>197556431.56635299</c:v>
                </c:pt>
                <c:pt idx="2">
                  <c:v>200186936.8660098</c:v>
                </c:pt>
                <c:pt idx="3">
                  <c:v>199277158.67089084</c:v>
                </c:pt>
                <c:pt idx="4">
                  <c:v>198683586.06453371</c:v>
                </c:pt>
                <c:pt idx="5">
                  <c:v>199197021.01412955</c:v>
                </c:pt>
                <c:pt idx="6">
                  <c:v>197051606.59096599</c:v>
                </c:pt>
                <c:pt idx="7">
                  <c:v>200061553.77745542</c:v>
                </c:pt>
                <c:pt idx="8">
                  <c:v>199210663.16643396</c:v>
                </c:pt>
                <c:pt idx="9">
                  <c:v>200106964.7243894</c:v>
                </c:pt>
              </c:numCache>
            </c:numRef>
          </c:val>
        </c:ser>
        <c:dLbls>
          <c:showLegendKey val="0"/>
          <c:showVal val="0"/>
          <c:showCatName val="0"/>
          <c:showSerName val="0"/>
          <c:showPercent val="0"/>
          <c:showBubbleSize val="0"/>
        </c:dLbls>
        <c:gapWidth val="150"/>
        <c:axId val="1088747120"/>
        <c:axId val="1088746728"/>
      </c:barChart>
      <c:dateAx>
        <c:axId val="1088747120"/>
        <c:scaling>
          <c:orientation val="minMax"/>
        </c:scaling>
        <c:delete val="0"/>
        <c:axPos val="b"/>
        <c:title>
          <c:tx>
            <c:rich>
              <a:bodyPr/>
              <a:lstStyle/>
              <a:p>
                <a:pPr>
                  <a:defRPr/>
                </a:pPr>
                <a:r>
                  <a:rPr lang="en-US"/>
                  <a:t>Year</a:t>
                </a:r>
              </a:p>
            </c:rich>
          </c:tx>
          <c:layout/>
          <c:overlay val="0"/>
        </c:title>
        <c:numFmt formatCode="@" sourceLinked="1"/>
        <c:majorTickMark val="out"/>
        <c:minorTickMark val="none"/>
        <c:tickLblPos val="nextTo"/>
        <c:crossAx val="1088746728"/>
        <c:crosses val="autoZero"/>
        <c:auto val="0"/>
        <c:lblOffset val="100"/>
        <c:baseTimeUnit val="days"/>
      </c:dateAx>
      <c:valAx>
        <c:axId val="1088746728"/>
        <c:scaling>
          <c:orientation val="minMax"/>
          <c:min val="0"/>
        </c:scaling>
        <c:delete val="0"/>
        <c:axPos val="l"/>
        <c:majorGridlines/>
        <c:title>
          <c:tx>
            <c:rich>
              <a:bodyPr rot="0" vert="horz"/>
              <a:lstStyle/>
              <a:p>
                <a:pPr>
                  <a:defRPr/>
                </a:pPr>
                <a:r>
                  <a:rPr lang="en-US"/>
                  <a:t>kWh</a:t>
                </a:r>
              </a:p>
            </c:rich>
          </c:tx>
          <c:layout>
            <c:manualLayout>
              <c:xMode val="edge"/>
              <c:yMode val="edge"/>
              <c:x val="1.2783576388157308E-2"/>
              <c:y val="0.21644031263651128"/>
            </c:manualLayout>
          </c:layout>
          <c:overlay val="0"/>
        </c:title>
        <c:numFmt formatCode="#,##0" sourceLinked="0"/>
        <c:majorTickMark val="out"/>
        <c:minorTickMark val="none"/>
        <c:tickLblPos val="nextTo"/>
        <c:crossAx val="1088747120"/>
        <c:crossesAt val="1"/>
        <c:crossBetween val="between"/>
        <c:dispUnits>
          <c:builtInUnit val="millions"/>
          <c:dispUnitsLbl>
            <c:layout/>
          </c:dispUnitsLbl>
        </c:dispUnits>
      </c:valAx>
      <c:spPr>
        <a:noFill/>
        <a:ln w="25400">
          <a:noFill/>
        </a:ln>
      </c:spPr>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83</xdr:row>
      <xdr:rowOff>66675</xdr:rowOff>
    </xdr:from>
    <xdr:to>
      <xdr:col>9</xdr:col>
      <xdr:colOff>247650</xdr:colOff>
      <xdr:row>83</xdr:row>
      <xdr:rowOff>371475</xdr:rowOff>
    </xdr:to>
    <xdr:sp macro="" textlink="">
      <xdr:nvSpPr>
        <xdr:cNvPr id="2" name="Right Brace 1"/>
        <xdr:cNvSpPr/>
      </xdr:nvSpPr>
      <xdr:spPr>
        <a:xfrm>
          <a:off x="13535025" y="22555200"/>
          <a:ext cx="114300" cy="3048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562606</xdr:colOff>
      <xdr:row>7</xdr:row>
      <xdr:rowOff>28575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13</xdr:row>
      <xdr:rowOff>9525</xdr:rowOff>
    </xdr:from>
    <xdr:to>
      <xdr:col>4</xdr:col>
      <xdr:colOff>209550</xdr:colOff>
      <xdr:row>16</xdr:row>
      <xdr:rowOff>123825</xdr:rowOff>
    </xdr:to>
    <xdr:sp macro="" textlink="">
      <xdr:nvSpPr>
        <xdr:cNvPr id="2" name="Right Brace 1"/>
        <xdr:cNvSpPr/>
      </xdr:nvSpPr>
      <xdr:spPr>
        <a:xfrm>
          <a:off x="7696200" y="1676400"/>
          <a:ext cx="9525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4</xdr:col>
      <xdr:colOff>76201</xdr:colOff>
      <xdr:row>16</xdr:row>
      <xdr:rowOff>161926</xdr:rowOff>
    </xdr:from>
    <xdr:to>
      <xdr:col>4</xdr:col>
      <xdr:colOff>190501</xdr:colOff>
      <xdr:row>19</xdr:row>
      <xdr:rowOff>152401</xdr:rowOff>
    </xdr:to>
    <xdr:sp macro="" textlink="">
      <xdr:nvSpPr>
        <xdr:cNvPr id="3" name="Right Brace 2"/>
        <xdr:cNvSpPr/>
      </xdr:nvSpPr>
      <xdr:spPr>
        <a:xfrm>
          <a:off x="7658101" y="2333626"/>
          <a:ext cx="11430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409575</xdr:colOff>
      <xdr:row>12</xdr:row>
      <xdr:rowOff>47625</xdr:rowOff>
    </xdr:from>
    <xdr:to>
      <xdr:col>0</xdr:col>
      <xdr:colOff>552450</xdr:colOff>
      <xdr:row>12</xdr:row>
      <xdr:rowOff>180975</xdr:rowOff>
    </xdr:to>
    <xdr:sp macro="" textlink="">
      <xdr:nvSpPr>
        <xdr:cNvPr id="2" name="Isosceles Triangle 1"/>
        <xdr:cNvSpPr/>
      </xdr:nvSpPr>
      <xdr:spPr>
        <a:xfrm>
          <a:off x="409575" y="2162175"/>
          <a:ext cx="142875" cy="1333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390525</xdr:colOff>
      <xdr:row>14</xdr:row>
      <xdr:rowOff>132848</xdr:rowOff>
    </xdr:from>
    <xdr:to>
      <xdr:col>0</xdr:col>
      <xdr:colOff>542925</xdr:colOff>
      <xdr:row>15</xdr:row>
      <xdr:rowOff>85223</xdr:rowOff>
    </xdr:to>
    <xdr:sp macro="" textlink="">
      <xdr:nvSpPr>
        <xdr:cNvPr id="3" name="Oval 2"/>
        <xdr:cNvSpPr/>
      </xdr:nvSpPr>
      <xdr:spPr>
        <a:xfrm>
          <a:off x="390525" y="2618873"/>
          <a:ext cx="152400" cy="133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413586</xdr:colOff>
      <xdr:row>13</xdr:row>
      <xdr:rowOff>101767</xdr:rowOff>
    </xdr:from>
    <xdr:to>
      <xdr:col>0</xdr:col>
      <xdr:colOff>543928</xdr:colOff>
      <xdr:row>14</xdr:row>
      <xdr:rowOff>46121</xdr:rowOff>
    </xdr:to>
    <xdr:sp macro="" textlink="">
      <xdr:nvSpPr>
        <xdr:cNvPr id="4" name="Rectangle 3"/>
        <xdr:cNvSpPr/>
      </xdr:nvSpPr>
      <xdr:spPr>
        <a:xfrm>
          <a:off x="413586" y="2406817"/>
          <a:ext cx="130342" cy="1253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320385</xdr:colOff>
      <xdr:row>23</xdr:row>
      <xdr:rowOff>7056</xdr:rowOff>
    </xdr:from>
    <xdr:to>
      <xdr:col>3</xdr:col>
      <xdr:colOff>458610</xdr:colOff>
      <xdr:row>23</xdr:row>
      <xdr:rowOff>151308</xdr:rowOff>
    </xdr:to>
    <xdr:sp macro="" textlink="">
      <xdr:nvSpPr>
        <xdr:cNvPr id="5" name="Rectangle 4"/>
        <xdr:cNvSpPr/>
      </xdr:nvSpPr>
      <xdr:spPr>
        <a:xfrm>
          <a:off x="1816163" y="2310695"/>
          <a:ext cx="138225" cy="1442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5</xdr:col>
      <xdr:colOff>346363</xdr:colOff>
      <xdr:row>23</xdr:row>
      <xdr:rowOff>6735</xdr:rowOff>
    </xdr:from>
    <xdr:to>
      <xdr:col>5</xdr:col>
      <xdr:colOff>486832</xdr:colOff>
      <xdr:row>23</xdr:row>
      <xdr:rowOff>151694</xdr:rowOff>
    </xdr:to>
    <xdr:sp macro="" textlink="">
      <xdr:nvSpPr>
        <xdr:cNvPr id="6" name="Rectangle 5"/>
        <xdr:cNvSpPr/>
      </xdr:nvSpPr>
      <xdr:spPr>
        <a:xfrm>
          <a:off x="3464919" y="2310374"/>
          <a:ext cx="140469" cy="1449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329045</xdr:colOff>
      <xdr:row>23</xdr:row>
      <xdr:rowOff>8659</xdr:rowOff>
    </xdr:from>
    <xdr:to>
      <xdr:col>11</xdr:col>
      <xdr:colOff>472723</xdr:colOff>
      <xdr:row>23</xdr:row>
      <xdr:rowOff>151694</xdr:rowOff>
    </xdr:to>
    <xdr:sp macro="" textlink="">
      <xdr:nvSpPr>
        <xdr:cNvPr id="7" name="Rectangle 6"/>
        <xdr:cNvSpPr/>
      </xdr:nvSpPr>
      <xdr:spPr>
        <a:xfrm>
          <a:off x="5070378" y="2312298"/>
          <a:ext cx="143678" cy="1430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329045</xdr:colOff>
      <xdr:row>23</xdr:row>
      <xdr:rowOff>8659</xdr:rowOff>
    </xdr:from>
    <xdr:to>
      <xdr:col>12</xdr:col>
      <xdr:colOff>481262</xdr:colOff>
      <xdr:row>23</xdr:row>
      <xdr:rowOff>155408</xdr:rowOff>
    </xdr:to>
    <xdr:sp macro="" textlink="">
      <xdr:nvSpPr>
        <xdr:cNvPr id="8" name="Rectangle 7"/>
        <xdr:cNvSpPr/>
      </xdr:nvSpPr>
      <xdr:spPr>
        <a:xfrm>
          <a:off x="5883624" y="2304685"/>
          <a:ext cx="152217" cy="14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341231</xdr:colOff>
      <xdr:row>23</xdr:row>
      <xdr:rowOff>7056</xdr:rowOff>
    </xdr:from>
    <xdr:to>
      <xdr:col>17</xdr:col>
      <xdr:colOff>493888</xdr:colOff>
      <xdr:row>23</xdr:row>
      <xdr:rowOff>151694</xdr:rowOff>
    </xdr:to>
    <xdr:sp macro="" textlink="">
      <xdr:nvSpPr>
        <xdr:cNvPr id="9" name="Rectangle 8"/>
        <xdr:cNvSpPr/>
      </xdr:nvSpPr>
      <xdr:spPr>
        <a:xfrm>
          <a:off x="7516731" y="2310695"/>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351495</xdr:colOff>
      <xdr:row>23</xdr:row>
      <xdr:rowOff>11866</xdr:rowOff>
    </xdr:from>
    <xdr:to>
      <xdr:col>18</xdr:col>
      <xdr:colOff>490361</xdr:colOff>
      <xdr:row>23</xdr:row>
      <xdr:rowOff>151694</xdr:rowOff>
    </xdr:to>
    <xdr:sp macro="" textlink="">
      <xdr:nvSpPr>
        <xdr:cNvPr id="10" name="Rectangle 9"/>
        <xdr:cNvSpPr/>
      </xdr:nvSpPr>
      <xdr:spPr>
        <a:xfrm>
          <a:off x="8338384" y="2315505"/>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14</xdr:col>
      <xdr:colOff>341231</xdr:colOff>
      <xdr:row>23</xdr:row>
      <xdr:rowOff>7056</xdr:rowOff>
    </xdr:from>
    <xdr:to>
      <xdr:col>14</xdr:col>
      <xdr:colOff>493888</xdr:colOff>
      <xdr:row>23</xdr:row>
      <xdr:rowOff>151694</xdr:rowOff>
    </xdr:to>
    <xdr:sp macro="" textlink="">
      <xdr:nvSpPr>
        <xdr:cNvPr id="12" name="Rectangle 11"/>
        <xdr:cNvSpPr/>
      </xdr:nvSpPr>
      <xdr:spPr>
        <a:xfrm>
          <a:off x="9932906" y="2312106"/>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15</xdr:col>
      <xdr:colOff>351495</xdr:colOff>
      <xdr:row>23</xdr:row>
      <xdr:rowOff>11866</xdr:rowOff>
    </xdr:from>
    <xdr:to>
      <xdr:col>15</xdr:col>
      <xdr:colOff>490361</xdr:colOff>
      <xdr:row>23</xdr:row>
      <xdr:rowOff>151694</xdr:rowOff>
    </xdr:to>
    <xdr:sp macro="" textlink="">
      <xdr:nvSpPr>
        <xdr:cNvPr id="13" name="Rectangle 12"/>
        <xdr:cNvSpPr/>
      </xdr:nvSpPr>
      <xdr:spPr>
        <a:xfrm>
          <a:off x="10752795" y="2316916"/>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346363</xdr:colOff>
      <xdr:row>23</xdr:row>
      <xdr:rowOff>6735</xdr:rowOff>
    </xdr:from>
    <xdr:to>
      <xdr:col>20</xdr:col>
      <xdr:colOff>483304</xdr:colOff>
      <xdr:row>23</xdr:row>
      <xdr:rowOff>148167</xdr:rowOff>
    </xdr:to>
    <xdr:sp macro="" textlink="">
      <xdr:nvSpPr>
        <xdr:cNvPr id="16" name="Rectangle 15"/>
        <xdr:cNvSpPr/>
      </xdr:nvSpPr>
      <xdr:spPr>
        <a:xfrm>
          <a:off x="133956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23</xdr:col>
      <xdr:colOff>346363</xdr:colOff>
      <xdr:row>23</xdr:row>
      <xdr:rowOff>6735</xdr:rowOff>
    </xdr:from>
    <xdr:to>
      <xdr:col>23</xdr:col>
      <xdr:colOff>483304</xdr:colOff>
      <xdr:row>23</xdr:row>
      <xdr:rowOff>148167</xdr:rowOff>
    </xdr:to>
    <xdr:sp macro="" textlink="">
      <xdr:nvSpPr>
        <xdr:cNvPr id="17" name="Rectangle 16"/>
        <xdr:cNvSpPr/>
      </xdr:nvSpPr>
      <xdr:spPr>
        <a:xfrm>
          <a:off x="15100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25</xdr:col>
      <xdr:colOff>346363</xdr:colOff>
      <xdr:row>23</xdr:row>
      <xdr:rowOff>6735</xdr:rowOff>
    </xdr:from>
    <xdr:to>
      <xdr:col>25</xdr:col>
      <xdr:colOff>483304</xdr:colOff>
      <xdr:row>23</xdr:row>
      <xdr:rowOff>148167</xdr:rowOff>
    </xdr:to>
    <xdr:sp macro="" textlink="">
      <xdr:nvSpPr>
        <xdr:cNvPr id="18" name="Rectangle 17"/>
        <xdr:cNvSpPr/>
      </xdr:nvSpPr>
      <xdr:spPr>
        <a:xfrm>
          <a:off x="167484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7</xdr:col>
      <xdr:colOff>346363</xdr:colOff>
      <xdr:row>23</xdr:row>
      <xdr:rowOff>6735</xdr:rowOff>
    </xdr:from>
    <xdr:to>
      <xdr:col>7</xdr:col>
      <xdr:colOff>483304</xdr:colOff>
      <xdr:row>23</xdr:row>
      <xdr:rowOff>148167</xdr:rowOff>
    </xdr:to>
    <xdr:sp macro="" textlink="">
      <xdr:nvSpPr>
        <xdr:cNvPr id="22" name="Rectangle 21"/>
        <xdr:cNvSpPr/>
      </xdr:nvSpPr>
      <xdr:spPr>
        <a:xfrm>
          <a:off x="1675793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9</xdr:col>
      <xdr:colOff>346363</xdr:colOff>
      <xdr:row>23</xdr:row>
      <xdr:rowOff>6735</xdr:rowOff>
    </xdr:from>
    <xdr:to>
      <xdr:col>9</xdr:col>
      <xdr:colOff>483304</xdr:colOff>
      <xdr:row>23</xdr:row>
      <xdr:rowOff>148167</xdr:rowOff>
    </xdr:to>
    <xdr:sp macro="" textlink="">
      <xdr:nvSpPr>
        <xdr:cNvPr id="23" name="Rectangle 22"/>
        <xdr:cNvSpPr/>
      </xdr:nvSpPr>
      <xdr:spPr>
        <a:xfrm>
          <a:off x="5956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21</xdr:col>
      <xdr:colOff>346363</xdr:colOff>
      <xdr:row>23</xdr:row>
      <xdr:rowOff>6735</xdr:rowOff>
    </xdr:from>
    <xdr:to>
      <xdr:col>21</xdr:col>
      <xdr:colOff>483304</xdr:colOff>
      <xdr:row>23</xdr:row>
      <xdr:rowOff>148167</xdr:rowOff>
    </xdr:to>
    <xdr:sp macro="" textlink="">
      <xdr:nvSpPr>
        <xdr:cNvPr id="21" name="Rectangle 20"/>
        <xdr:cNvSpPr/>
      </xdr:nvSpPr>
      <xdr:spPr>
        <a:xfrm>
          <a:off x="16691263" y="259753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0" name="Picture 19"/>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104775</xdr:colOff>
      <xdr:row>31</xdr:row>
      <xdr:rowOff>133349</xdr:rowOff>
    </xdr:from>
    <xdr:to>
      <xdr:col>16</xdr:col>
      <xdr:colOff>190500</xdr:colOff>
      <xdr:row>32</xdr:row>
      <xdr:rowOff>133349</xdr:rowOff>
    </xdr:to>
    <xdr:sp macro="" textlink="">
      <xdr:nvSpPr>
        <xdr:cNvPr id="10" name="Down Arrow 9"/>
        <xdr:cNvSpPr/>
      </xdr:nvSpPr>
      <xdr:spPr>
        <a:xfrm>
          <a:off x="12830175" y="5838824"/>
          <a:ext cx="85725" cy="1619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406213</xdr:colOff>
      <xdr:row>17</xdr:row>
      <xdr:rowOff>87406</xdr:rowOff>
    </xdr:from>
    <xdr:to>
      <xdr:col>2</xdr:col>
      <xdr:colOff>587188</xdr:colOff>
      <xdr:row>17</xdr:row>
      <xdr:rowOff>258856</xdr:rowOff>
    </xdr:to>
    <xdr:sp macro="" textlink="">
      <xdr:nvSpPr>
        <xdr:cNvPr id="3" name="Isosceles Triangle 2"/>
        <xdr:cNvSpPr/>
      </xdr:nvSpPr>
      <xdr:spPr>
        <a:xfrm>
          <a:off x="1907801" y="849406"/>
          <a:ext cx="180975"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428625</xdr:colOff>
      <xdr:row>17</xdr:row>
      <xdr:rowOff>104775</xdr:rowOff>
    </xdr:from>
    <xdr:to>
      <xdr:col>17</xdr:col>
      <xdr:colOff>676275</xdr:colOff>
      <xdr:row>17</xdr:row>
      <xdr:rowOff>333375</xdr:rowOff>
    </xdr:to>
    <xdr:sp macro="" textlink="">
      <xdr:nvSpPr>
        <xdr:cNvPr id="2" name="5-Point Star 1"/>
        <xdr:cNvSpPr/>
      </xdr:nvSpPr>
      <xdr:spPr>
        <a:xfrm>
          <a:off x="13420725" y="72390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9</xdr:col>
      <xdr:colOff>95250</xdr:colOff>
      <xdr:row>18</xdr:row>
      <xdr:rowOff>302559</xdr:rowOff>
    </xdr:from>
    <xdr:to>
      <xdr:col>9</xdr:col>
      <xdr:colOff>910477</xdr:colOff>
      <xdr:row>18</xdr:row>
      <xdr:rowOff>348278</xdr:rowOff>
    </xdr:to>
    <xdr:sp macro="" textlink="">
      <xdr:nvSpPr>
        <xdr:cNvPr id="6" name="Right Arrow 5"/>
        <xdr:cNvSpPr/>
      </xdr:nvSpPr>
      <xdr:spPr>
        <a:xfrm>
          <a:off x="9058275" y="4245909"/>
          <a:ext cx="815227"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19</xdr:col>
      <xdr:colOff>571500</xdr:colOff>
      <xdr:row>79</xdr:row>
      <xdr:rowOff>85725</xdr:rowOff>
    </xdr:from>
    <xdr:to>
      <xdr:col>25</xdr:col>
      <xdr:colOff>502444</xdr:colOff>
      <xdr:row>103</xdr:row>
      <xdr:rowOff>49213</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0</xdr:rowOff>
    </xdr:from>
    <xdr:to>
      <xdr:col>1</xdr:col>
      <xdr:colOff>534031</xdr:colOff>
      <xdr:row>7</xdr:row>
      <xdr:rowOff>28575</xdr:rowOff>
    </xdr:to>
    <xdr:pic>
      <xdr:nvPicPr>
        <xdr:cNvPr id="7" name="Picture 6"/>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173394</xdr:colOff>
      <xdr:row>30</xdr:row>
      <xdr:rowOff>34636</xdr:rowOff>
    </xdr:from>
    <xdr:to>
      <xdr:col>0</xdr:col>
      <xdr:colOff>536863</xdr:colOff>
      <xdr:row>33</xdr:row>
      <xdr:rowOff>164521</xdr:rowOff>
    </xdr:to>
    <xdr:sp macro="" textlink="">
      <xdr:nvSpPr>
        <xdr:cNvPr id="2" name="Right Brace 1"/>
        <xdr:cNvSpPr/>
      </xdr:nvSpPr>
      <xdr:spPr>
        <a:xfrm rot="10800000">
          <a:off x="173394" y="5602431"/>
          <a:ext cx="363469" cy="7966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4</xdr:col>
      <xdr:colOff>180108</xdr:colOff>
      <xdr:row>33</xdr:row>
      <xdr:rowOff>0</xdr:rowOff>
    </xdr:from>
    <xdr:to>
      <xdr:col>4</xdr:col>
      <xdr:colOff>435552</xdr:colOff>
      <xdr:row>36</xdr:row>
      <xdr:rowOff>141143</xdr:rowOff>
    </xdr:to>
    <xdr:sp macro="" textlink="">
      <xdr:nvSpPr>
        <xdr:cNvPr id="3" name="Down Arrow 2"/>
        <xdr:cNvSpPr/>
      </xdr:nvSpPr>
      <xdr:spPr>
        <a:xfrm>
          <a:off x="3590058" y="69723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79663</xdr:colOff>
      <xdr:row>33</xdr:row>
      <xdr:rowOff>38100</xdr:rowOff>
    </xdr:from>
    <xdr:to>
      <xdr:col>12</xdr:col>
      <xdr:colOff>344632</xdr:colOff>
      <xdr:row>36</xdr:row>
      <xdr:rowOff>161059</xdr:rowOff>
    </xdr:to>
    <xdr:sp macro="" textlink="">
      <xdr:nvSpPr>
        <xdr:cNvPr id="4" name="Down Arrow 3"/>
        <xdr:cNvSpPr/>
      </xdr:nvSpPr>
      <xdr:spPr>
        <a:xfrm>
          <a:off x="9680863" y="7010400"/>
          <a:ext cx="264969" cy="6087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166253</xdr:colOff>
      <xdr:row>33</xdr:row>
      <xdr:rowOff>47624</xdr:rowOff>
    </xdr:from>
    <xdr:to>
      <xdr:col>20</xdr:col>
      <xdr:colOff>431222</xdr:colOff>
      <xdr:row>37</xdr:row>
      <xdr:rowOff>19915</xdr:rowOff>
    </xdr:to>
    <xdr:sp macro="" textlink="">
      <xdr:nvSpPr>
        <xdr:cNvPr id="5" name="Down Arrow 4"/>
        <xdr:cNvSpPr/>
      </xdr:nvSpPr>
      <xdr:spPr>
        <a:xfrm>
          <a:off x="15949178" y="70199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xdr:col>
      <xdr:colOff>247650</xdr:colOff>
      <xdr:row>19</xdr:row>
      <xdr:rowOff>76200</xdr:rowOff>
    </xdr:from>
    <xdr:to>
      <xdr:col>4</xdr:col>
      <xdr:colOff>495300</xdr:colOff>
      <xdr:row>19</xdr:row>
      <xdr:rowOff>238125</xdr:rowOff>
    </xdr:to>
    <xdr:sp macro="" textlink="">
      <xdr:nvSpPr>
        <xdr:cNvPr id="6" name="5-Point Star 5"/>
        <xdr:cNvSpPr/>
      </xdr:nvSpPr>
      <xdr:spPr>
        <a:xfrm>
          <a:off x="365760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209550</xdr:colOff>
      <xdr:row>19</xdr:row>
      <xdr:rowOff>104775</xdr:rowOff>
    </xdr:from>
    <xdr:to>
      <xdr:col>12</xdr:col>
      <xdr:colOff>457200</xdr:colOff>
      <xdr:row>19</xdr:row>
      <xdr:rowOff>257175</xdr:rowOff>
    </xdr:to>
    <xdr:sp macro="" textlink="">
      <xdr:nvSpPr>
        <xdr:cNvPr id="7" name="5-Point Star 6"/>
        <xdr:cNvSpPr/>
      </xdr:nvSpPr>
      <xdr:spPr>
        <a:xfrm>
          <a:off x="9810750" y="4171950"/>
          <a:ext cx="247650" cy="1524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20</xdr:col>
      <xdr:colOff>228600</xdr:colOff>
      <xdr:row>19</xdr:row>
      <xdr:rowOff>114300</xdr:rowOff>
    </xdr:from>
    <xdr:to>
      <xdr:col>20</xdr:col>
      <xdr:colOff>476250</xdr:colOff>
      <xdr:row>19</xdr:row>
      <xdr:rowOff>276225</xdr:rowOff>
    </xdr:to>
    <xdr:sp macro="" textlink="">
      <xdr:nvSpPr>
        <xdr:cNvPr id="8" name="5-Point Star 7"/>
        <xdr:cNvSpPr/>
      </xdr:nvSpPr>
      <xdr:spPr>
        <a:xfrm>
          <a:off x="16011525" y="41814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323850</xdr:colOff>
      <xdr:row>19</xdr:row>
      <xdr:rowOff>104774</xdr:rowOff>
    </xdr:from>
    <xdr:to>
      <xdr:col>2</xdr:col>
      <xdr:colOff>523875</xdr:colOff>
      <xdr:row>19</xdr:row>
      <xdr:rowOff>247649</xdr:rowOff>
    </xdr:to>
    <xdr:sp macro="" textlink="">
      <xdr:nvSpPr>
        <xdr:cNvPr id="10" name="Rectangle 9"/>
        <xdr:cNvSpPr/>
      </xdr:nvSpPr>
      <xdr:spPr>
        <a:xfrm>
          <a:off x="1962150" y="4171949"/>
          <a:ext cx="200025" cy="142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10</xdr:col>
      <xdr:colOff>323850</xdr:colOff>
      <xdr:row>19</xdr:row>
      <xdr:rowOff>133350</xdr:rowOff>
    </xdr:from>
    <xdr:to>
      <xdr:col>10</xdr:col>
      <xdr:colOff>523875</xdr:colOff>
      <xdr:row>19</xdr:row>
      <xdr:rowOff>266700</xdr:rowOff>
    </xdr:to>
    <xdr:sp macro="" textlink="">
      <xdr:nvSpPr>
        <xdr:cNvPr id="11" name="Rectangle 10"/>
        <xdr:cNvSpPr/>
      </xdr:nvSpPr>
      <xdr:spPr>
        <a:xfrm>
          <a:off x="8210550" y="4200525"/>
          <a:ext cx="200025" cy="133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314325</xdr:colOff>
      <xdr:row>19</xdr:row>
      <xdr:rowOff>133350</xdr:rowOff>
    </xdr:from>
    <xdr:to>
      <xdr:col>18</xdr:col>
      <xdr:colOff>514350</xdr:colOff>
      <xdr:row>19</xdr:row>
      <xdr:rowOff>257175</xdr:rowOff>
    </xdr:to>
    <xdr:sp macro="" textlink="">
      <xdr:nvSpPr>
        <xdr:cNvPr id="12" name="Rectangle 11"/>
        <xdr:cNvSpPr/>
      </xdr:nvSpPr>
      <xdr:spPr>
        <a:xfrm>
          <a:off x="14382750" y="42005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19</xdr:col>
      <xdr:colOff>295275</xdr:colOff>
      <xdr:row>19</xdr:row>
      <xdr:rowOff>133349</xdr:rowOff>
    </xdr:from>
    <xdr:to>
      <xdr:col>19</xdr:col>
      <xdr:colOff>495300</xdr:colOff>
      <xdr:row>19</xdr:row>
      <xdr:rowOff>257174</xdr:rowOff>
    </xdr:to>
    <xdr:sp macro="" textlink="">
      <xdr:nvSpPr>
        <xdr:cNvPr id="13" name="Isosceles Triangle 12"/>
        <xdr:cNvSpPr/>
      </xdr:nvSpPr>
      <xdr:spPr>
        <a:xfrm>
          <a:off x="15220950" y="420052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276225</xdr:colOff>
      <xdr:row>19</xdr:row>
      <xdr:rowOff>114300</xdr:rowOff>
    </xdr:from>
    <xdr:to>
      <xdr:col>11</xdr:col>
      <xdr:colOff>514350</xdr:colOff>
      <xdr:row>19</xdr:row>
      <xdr:rowOff>276225</xdr:rowOff>
    </xdr:to>
    <xdr:sp macro="" textlink="">
      <xdr:nvSpPr>
        <xdr:cNvPr id="14" name="Isosceles Triangle 13"/>
        <xdr:cNvSpPr/>
      </xdr:nvSpPr>
      <xdr:spPr>
        <a:xfrm>
          <a:off x="9020175" y="4181475"/>
          <a:ext cx="238125" cy="1619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295275</xdr:colOff>
      <xdr:row>19</xdr:row>
      <xdr:rowOff>85725</xdr:rowOff>
    </xdr:from>
    <xdr:to>
      <xdr:col>3</xdr:col>
      <xdr:colOff>523875</xdr:colOff>
      <xdr:row>19</xdr:row>
      <xdr:rowOff>257175</xdr:rowOff>
    </xdr:to>
    <xdr:sp macro="" textlink="">
      <xdr:nvSpPr>
        <xdr:cNvPr id="15" name="Isosceles Triangle 14"/>
        <xdr:cNvSpPr/>
      </xdr:nvSpPr>
      <xdr:spPr>
        <a:xfrm>
          <a:off x="2847975" y="4152900"/>
          <a:ext cx="228600"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147203</xdr:colOff>
      <xdr:row>33</xdr:row>
      <xdr:rowOff>38099</xdr:rowOff>
    </xdr:from>
    <xdr:to>
      <xdr:col>28</xdr:col>
      <xdr:colOff>412172</xdr:colOff>
      <xdr:row>37</xdr:row>
      <xdr:rowOff>10390</xdr:rowOff>
    </xdr:to>
    <xdr:sp macro="" textlink="">
      <xdr:nvSpPr>
        <xdr:cNvPr id="16" name="Down Arrow 15"/>
        <xdr:cNvSpPr/>
      </xdr:nvSpPr>
      <xdr:spPr>
        <a:xfrm>
          <a:off x="22102328" y="7010399"/>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247650</xdr:colOff>
      <xdr:row>19</xdr:row>
      <xdr:rowOff>85725</xdr:rowOff>
    </xdr:from>
    <xdr:to>
      <xdr:col>28</xdr:col>
      <xdr:colOff>495300</xdr:colOff>
      <xdr:row>19</xdr:row>
      <xdr:rowOff>247650</xdr:rowOff>
    </xdr:to>
    <xdr:sp macro="" textlink="">
      <xdr:nvSpPr>
        <xdr:cNvPr id="17" name="5-Point Star 16"/>
        <xdr:cNvSpPr/>
      </xdr:nvSpPr>
      <xdr:spPr>
        <a:xfrm>
          <a:off x="22202775" y="4152900"/>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26</xdr:col>
      <xdr:colOff>304800</xdr:colOff>
      <xdr:row>19</xdr:row>
      <xdr:rowOff>114300</xdr:rowOff>
    </xdr:from>
    <xdr:to>
      <xdr:col>26</xdr:col>
      <xdr:colOff>504825</xdr:colOff>
      <xdr:row>19</xdr:row>
      <xdr:rowOff>238125</xdr:rowOff>
    </xdr:to>
    <xdr:sp macro="" textlink="">
      <xdr:nvSpPr>
        <xdr:cNvPr id="18" name="Rectangle 17"/>
        <xdr:cNvSpPr/>
      </xdr:nvSpPr>
      <xdr:spPr>
        <a:xfrm>
          <a:off x="20545425" y="418147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27</xdr:col>
      <xdr:colOff>295275</xdr:colOff>
      <xdr:row>19</xdr:row>
      <xdr:rowOff>114299</xdr:rowOff>
    </xdr:from>
    <xdr:to>
      <xdr:col>27</xdr:col>
      <xdr:colOff>495300</xdr:colOff>
      <xdr:row>19</xdr:row>
      <xdr:rowOff>238124</xdr:rowOff>
    </xdr:to>
    <xdr:sp macro="" textlink="">
      <xdr:nvSpPr>
        <xdr:cNvPr id="19" name="Isosceles Triangle 18"/>
        <xdr:cNvSpPr/>
      </xdr:nvSpPr>
      <xdr:spPr>
        <a:xfrm>
          <a:off x="21393150" y="418147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147203</xdr:colOff>
      <xdr:row>33</xdr:row>
      <xdr:rowOff>28574</xdr:rowOff>
    </xdr:from>
    <xdr:to>
      <xdr:col>36</xdr:col>
      <xdr:colOff>412172</xdr:colOff>
      <xdr:row>37</xdr:row>
      <xdr:rowOff>865</xdr:rowOff>
    </xdr:to>
    <xdr:sp macro="" textlink="">
      <xdr:nvSpPr>
        <xdr:cNvPr id="23" name="Down Arrow 22"/>
        <xdr:cNvSpPr/>
      </xdr:nvSpPr>
      <xdr:spPr>
        <a:xfrm>
          <a:off x="28265003" y="700087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247650</xdr:colOff>
      <xdr:row>19</xdr:row>
      <xdr:rowOff>76200</xdr:rowOff>
    </xdr:from>
    <xdr:to>
      <xdr:col>36</xdr:col>
      <xdr:colOff>495300</xdr:colOff>
      <xdr:row>19</xdr:row>
      <xdr:rowOff>238125</xdr:rowOff>
    </xdr:to>
    <xdr:sp macro="" textlink="">
      <xdr:nvSpPr>
        <xdr:cNvPr id="24" name="5-Point Star 23"/>
        <xdr:cNvSpPr/>
      </xdr:nvSpPr>
      <xdr:spPr>
        <a:xfrm>
          <a:off x="2836545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34</xdr:col>
      <xdr:colOff>276225</xdr:colOff>
      <xdr:row>19</xdr:row>
      <xdr:rowOff>95250</xdr:rowOff>
    </xdr:from>
    <xdr:to>
      <xdr:col>34</xdr:col>
      <xdr:colOff>476250</xdr:colOff>
      <xdr:row>19</xdr:row>
      <xdr:rowOff>219075</xdr:rowOff>
    </xdr:to>
    <xdr:sp macro="" textlink="">
      <xdr:nvSpPr>
        <xdr:cNvPr id="25" name="Rectangle 24"/>
        <xdr:cNvSpPr/>
      </xdr:nvSpPr>
      <xdr:spPr>
        <a:xfrm>
          <a:off x="26679525" y="41624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35</xdr:col>
      <xdr:colOff>257175</xdr:colOff>
      <xdr:row>19</xdr:row>
      <xdr:rowOff>85724</xdr:rowOff>
    </xdr:from>
    <xdr:to>
      <xdr:col>35</xdr:col>
      <xdr:colOff>457200</xdr:colOff>
      <xdr:row>19</xdr:row>
      <xdr:rowOff>209549</xdr:rowOff>
    </xdr:to>
    <xdr:sp macro="" textlink="">
      <xdr:nvSpPr>
        <xdr:cNvPr id="26" name="Isosceles Triangle 25"/>
        <xdr:cNvSpPr/>
      </xdr:nvSpPr>
      <xdr:spPr>
        <a:xfrm>
          <a:off x="27517725" y="4152899"/>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8" name="Picture 27"/>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484908</xdr:colOff>
      <xdr:row>41</xdr:row>
      <xdr:rowOff>66675</xdr:rowOff>
    </xdr:from>
    <xdr:to>
      <xdr:col>5</xdr:col>
      <xdr:colOff>740352</xdr:colOff>
      <xdr:row>45</xdr:row>
      <xdr:rowOff>45893</xdr:rowOff>
    </xdr:to>
    <xdr:sp macro="" textlink="">
      <xdr:nvSpPr>
        <xdr:cNvPr id="8" name="Down Arrow 7"/>
        <xdr:cNvSpPr/>
      </xdr:nvSpPr>
      <xdr:spPr>
        <a:xfrm>
          <a:off x="4733058" y="75152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837333</xdr:colOff>
      <xdr:row>41</xdr:row>
      <xdr:rowOff>57150</xdr:rowOff>
    </xdr:from>
    <xdr:to>
      <xdr:col>17</xdr:col>
      <xdr:colOff>226002</xdr:colOff>
      <xdr:row>45</xdr:row>
      <xdr:rowOff>36368</xdr:rowOff>
    </xdr:to>
    <xdr:sp macro="" textlink="">
      <xdr:nvSpPr>
        <xdr:cNvPr id="9" name="Down Arrow 8"/>
        <xdr:cNvSpPr/>
      </xdr:nvSpPr>
      <xdr:spPr>
        <a:xfrm>
          <a:off x="137818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26</xdr:col>
      <xdr:colOff>770658</xdr:colOff>
      <xdr:row>41</xdr:row>
      <xdr:rowOff>76200</xdr:rowOff>
    </xdr:from>
    <xdr:to>
      <xdr:col>27</xdr:col>
      <xdr:colOff>159327</xdr:colOff>
      <xdr:row>45</xdr:row>
      <xdr:rowOff>55418</xdr:rowOff>
    </xdr:to>
    <xdr:sp macro="" textlink="">
      <xdr:nvSpPr>
        <xdr:cNvPr id="10" name="Down Arrow 9"/>
        <xdr:cNvSpPr/>
      </xdr:nvSpPr>
      <xdr:spPr>
        <a:xfrm>
          <a:off x="2176375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37</xdr:col>
      <xdr:colOff>65808</xdr:colOff>
      <xdr:row>41</xdr:row>
      <xdr:rowOff>57150</xdr:rowOff>
    </xdr:from>
    <xdr:to>
      <xdr:col>37</xdr:col>
      <xdr:colOff>321252</xdr:colOff>
      <xdr:row>45</xdr:row>
      <xdr:rowOff>36368</xdr:rowOff>
    </xdr:to>
    <xdr:sp macro="" textlink="">
      <xdr:nvSpPr>
        <xdr:cNvPr id="11" name="Down Arrow 10"/>
        <xdr:cNvSpPr/>
      </xdr:nvSpPr>
      <xdr:spPr>
        <a:xfrm>
          <a:off x="297076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46</xdr:col>
      <xdr:colOff>799233</xdr:colOff>
      <xdr:row>41</xdr:row>
      <xdr:rowOff>76200</xdr:rowOff>
    </xdr:from>
    <xdr:to>
      <xdr:col>47</xdr:col>
      <xdr:colOff>187902</xdr:colOff>
      <xdr:row>45</xdr:row>
      <xdr:rowOff>55418</xdr:rowOff>
    </xdr:to>
    <xdr:sp macro="" textlink="">
      <xdr:nvSpPr>
        <xdr:cNvPr id="12" name="Down Arrow 11"/>
        <xdr:cNvSpPr/>
      </xdr:nvSpPr>
      <xdr:spPr>
        <a:xfrm>
          <a:off x="3786100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15" name="Picture 14"/>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2.%20TESI%20CODES%20&amp;%20POLICIES\Minimum%20Filing%20Requirements\2015%20Minimum%20Filing%20Requirements\2015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B34"/>
  <sheetViews>
    <sheetView showGridLines="0" workbookViewId="0">
      <selection activeCell="F26" sqref="F26"/>
    </sheetView>
  </sheetViews>
  <sheetFormatPr defaultRowHeight="12.75" x14ac:dyDescent="0.2"/>
  <cols>
    <col min="1" max="1" width="13.6640625" style="1" customWidth="1"/>
    <col min="2" max="16384" width="9.33203125" style="1"/>
  </cols>
  <sheetData>
    <row r="1" spans="1:28" s="536" customFormat="1" x14ac:dyDescent="0.2">
      <c r="A1" s="758" t="s">
        <v>272</v>
      </c>
      <c r="B1" s="758"/>
    </row>
    <row r="2" spans="1:28" s="536" customFormat="1" x14ac:dyDescent="0.2"/>
    <row r="3" spans="1:28" s="536" customFormat="1" x14ac:dyDescent="0.2"/>
    <row r="4" spans="1:28" s="536" customFormat="1" x14ac:dyDescent="0.2"/>
    <row r="5" spans="1:28" s="536" customFormat="1" x14ac:dyDescent="0.2"/>
    <row r="6" spans="1:28" s="536" customFormat="1" x14ac:dyDescent="0.2"/>
    <row r="7" spans="1:28" s="536" customFormat="1" x14ac:dyDescent="0.2"/>
    <row r="8" spans="1:28" s="536" customFormat="1" x14ac:dyDescent="0.2"/>
    <row r="9" spans="1:28" s="536" customFormat="1" x14ac:dyDescent="0.2"/>
    <row r="10" spans="1:28" customFormat="1" ht="12.75" customHeight="1" x14ac:dyDescent="0.2">
      <c r="B10" s="809"/>
      <c r="C10" s="809"/>
      <c r="D10" s="809"/>
      <c r="E10" s="809"/>
      <c r="F10" s="809"/>
      <c r="G10" s="809"/>
      <c r="H10" s="809"/>
      <c r="I10" s="809"/>
      <c r="J10" s="137"/>
      <c r="K10" s="137"/>
      <c r="L10" s="137"/>
      <c r="M10" s="137"/>
    </row>
    <row r="11" spans="1:28" customFormat="1" ht="23.25" x14ac:dyDescent="0.2">
      <c r="B11" s="810" t="s">
        <v>102</v>
      </c>
      <c r="C11" s="810"/>
      <c r="D11" s="810"/>
      <c r="E11" s="810"/>
      <c r="F11" s="810"/>
      <c r="G11" s="810"/>
      <c r="H11" s="810"/>
      <c r="I11" s="810"/>
      <c r="J11" s="137"/>
      <c r="K11" s="137"/>
      <c r="L11" s="137"/>
      <c r="M11" s="137"/>
    </row>
    <row r="12" spans="1:28" x14ac:dyDescent="0.2">
      <c r="M12"/>
    </row>
    <row r="13" spans="1:28" ht="15" x14ac:dyDescent="0.2">
      <c r="B13" s="155" t="s">
        <v>88</v>
      </c>
      <c r="F13" s="811" t="s">
        <v>277</v>
      </c>
      <c r="G13" s="811"/>
      <c r="H13" s="811"/>
      <c r="I13" s="811"/>
      <c r="J13" s="811"/>
      <c r="K13" s="140"/>
      <c r="L13" s="140"/>
      <c r="AB13" s="134"/>
    </row>
    <row r="14" spans="1:28" x14ac:dyDescent="0.2">
      <c r="B14" s="156"/>
      <c r="F14" s="138"/>
      <c r="G14" s="139"/>
      <c r="H14" s="138"/>
      <c r="I14" s="138"/>
      <c r="J14" s="138"/>
      <c r="K14" s="141"/>
      <c r="L14" s="141"/>
      <c r="AB14" s="134"/>
    </row>
    <row r="15" spans="1:28" ht="15" x14ac:dyDescent="0.2">
      <c r="B15" s="155" t="s">
        <v>89</v>
      </c>
      <c r="F15" s="807"/>
      <c r="G15" s="807"/>
      <c r="H15" s="807"/>
      <c r="I15" s="807"/>
      <c r="J15" s="807"/>
      <c r="K15" s="141"/>
      <c r="L15" s="141"/>
      <c r="AB15" s="134"/>
    </row>
    <row r="16" spans="1:28" x14ac:dyDescent="0.2">
      <c r="B16" s="157"/>
      <c r="F16" s="135"/>
      <c r="G16" s="135"/>
      <c r="H16" s="135"/>
      <c r="I16" s="135"/>
      <c r="J16" s="135"/>
      <c r="K16" s="135"/>
      <c r="L16" s="135"/>
      <c r="AB16" s="134"/>
    </row>
    <row r="17" spans="2:28" ht="15" x14ac:dyDescent="0.2">
      <c r="B17" s="155" t="s">
        <v>90</v>
      </c>
      <c r="F17" s="807" t="s">
        <v>278</v>
      </c>
      <c r="G17" s="807"/>
      <c r="H17" s="807"/>
      <c r="I17" s="807"/>
      <c r="J17" s="807"/>
      <c r="K17" s="135"/>
      <c r="L17" s="135"/>
      <c r="AB17" s="134"/>
    </row>
    <row r="18" spans="2:28" x14ac:dyDescent="0.2">
      <c r="B18" s="157"/>
      <c r="F18" s="135"/>
      <c r="G18" s="135"/>
      <c r="H18" s="135"/>
      <c r="I18" s="135"/>
      <c r="J18" s="135"/>
      <c r="K18" s="135"/>
      <c r="L18" s="135"/>
      <c r="AB18" s="134"/>
    </row>
    <row r="19" spans="2:28" ht="15" x14ac:dyDescent="0.2">
      <c r="B19" s="155" t="s">
        <v>91</v>
      </c>
      <c r="F19" s="807" t="s">
        <v>409</v>
      </c>
      <c r="G19" s="807"/>
      <c r="H19" s="807"/>
      <c r="I19" s="807"/>
      <c r="J19" s="807"/>
      <c r="K19" s="808"/>
      <c r="L19" s="808"/>
      <c r="AB19" s="134"/>
    </row>
    <row r="20" spans="2:28" x14ac:dyDescent="0.2">
      <c r="B20" s="156"/>
      <c r="F20" s="142"/>
      <c r="G20" s="143"/>
      <c r="H20" s="142"/>
      <c r="I20" s="142"/>
      <c r="J20" s="142"/>
      <c r="K20" s="135"/>
      <c r="L20" s="135"/>
      <c r="AB20" s="134"/>
    </row>
    <row r="21" spans="2:28" ht="15" x14ac:dyDescent="0.2">
      <c r="B21" s="155" t="s">
        <v>92</v>
      </c>
      <c r="F21" s="807"/>
      <c r="G21" s="807"/>
      <c r="H21" s="807"/>
      <c r="I21" s="807"/>
      <c r="J21" s="807"/>
      <c r="K21" s="135"/>
      <c r="L21" s="135"/>
      <c r="AB21" s="134"/>
    </row>
    <row r="22" spans="2:28" x14ac:dyDescent="0.2">
      <c r="B22" s="156"/>
      <c r="F22" s="142"/>
      <c r="G22" s="143"/>
      <c r="H22" s="142"/>
      <c r="I22" s="142"/>
      <c r="J22" s="142"/>
      <c r="K22" s="135"/>
      <c r="L22" s="135"/>
      <c r="AB22" s="134"/>
    </row>
    <row r="23" spans="2:28" ht="15" x14ac:dyDescent="0.2">
      <c r="B23" s="155" t="s">
        <v>93</v>
      </c>
      <c r="F23" s="806"/>
      <c r="G23" s="807"/>
      <c r="H23" s="807"/>
      <c r="I23" s="807"/>
      <c r="J23" s="807"/>
      <c r="K23" s="135"/>
      <c r="L23" s="135"/>
      <c r="AB23" s="134"/>
    </row>
    <row r="24" spans="2:28" x14ac:dyDescent="0.2">
      <c r="B24" s="156"/>
      <c r="F24" s="142"/>
      <c r="G24" s="143"/>
      <c r="H24" s="142"/>
      <c r="I24" s="142"/>
      <c r="J24" s="142"/>
      <c r="K24" s="135"/>
      <c r="L24" s="135"/>
      <c r="AB24" s="134"/>
    </row>
    <row r="25" spans="2:28" ht="15" x14ac:dyDescent="0.2">
      <c r="B25" s="155" t="s">
        <v>94</v>
      </c>
      <c r="F25" s="159" t="s">
        <v>85</v>
      </c>
      <c r="G25" s="160"/>
      <c r="H25" s="160"/>
      <c r="I25" s="142"/>
      <c r="J25" s="142"/>
      <c r="K25" s="135"/>
      <c r="L25" s="135"/>
      <c r="AB25" s="134"/>
    </row>
    <row r="26" spans="2:28" x14ac:dyDescent="0.2">
      <c r="B26" s="61"/>
      <c r="F26" s="58"/>
      <c r="G26" s="161"/>
      <c r="H26" s="161"/>
      <c r="AB26" s="134"/>
    </row>
    <row r="27" spans="2:28" ht="15" x14ac:dyDescent="0.2">
      <c r="B27" s="155" t="s">
        <v>95</v>
      </c>
      <c r="F27" s="159" t="s">
        <v>410</v>
      </c>
      <c r="G27" s="160"/>
      <c r="H27" s="160"/>
      <c r="AB27" s="134"/>
    </row>
    <row r="28" spans="2:28" x14ac:dyDescent="0.2">
      <c r="B28" s="158"/>
      <c r="F28" s="58"/>
      <c r="G28" s="161"/>
      <c r="H28" s="161"/>
      <c r="AB28" s="134"/>
    </row>
    <row r="29" spans="2:28" ht="15" x14ac:dyDescent="0.2">
      <c r="B29" s="155" t="s">
        <v>96</v>
      </c>
      <c r="F29" s="159" t="s">
        <v>266</v>
      </c>
      <c r="G29" s="160"/>
      <c r="H29" s="160"/>
      <c r="AB29" s="134"/>
    </row>
    <row r="30" spans="2:28" x14ac:dyDescent="0.2">
      <c r="AB30" s="134"/>
    </row>
    <row r="32" spans="2:28" x14ac:dyDescent="0.2">
      <c r="B32" s="177" t="s">
        <v>275</v>
      </c>
      <c r="D32" s="62"/>
    </row>
    <row r="33" spans="2:4" x14ac:dyDescent="0.2">
      <c r="B33" s="1" t="s">
        <v>273</v>
      </c>
      <c r="D33" s="759"/>
    </row>
    <row r="34" spans="2:4" x14ac:dyDescent="0.2">
      <c r="B34" s="1" t="s">
        <v>274</v>
      </c>
      <c r="D34" s="763"/>
    </row>
  </sheetData>
  <mergeCells count="9">
    <mergeCell ref="F23:J23"/>
    <mergeCell ref="K19:L19"/>
    <mergeCell ref="F21:J21"/>
    <mergeCell ref="B10:I10"/>
    <mergeCell ref="B11:I11"/>
    <mergeCell ref="F15:J15"/>
    <mergeCell ref="F17:J17"/>
    <mergeCell ref="F19:J19"/>
    <mergeCell ref="F13:J13"/>
  </mergeCells>
  <pageMargins left="0.7" right="0.7" top="0.75" bottom="0.75" header="0.3" footer="0.3"/>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showGridLines="0" zoomScaleNormal="100" workbookViewId="0">
      <selection activeCell="E56" sqref="E56"/>
    </sheetView>
  </sheetViews>
  <sheetFormatPr defaultColWidth="10.5" defaultRowHeight="12.75" x14ac:dyDescent="0.2"/>
  <cols>
    <col min="1" max="1" width="13.6640625" style="1" customWidth="1"/>
    <col min="2" max="2" width="50.1640625" style="1" customWidth="1"/>
    <col min="3" max="3" width="50.1640625" style="1" hidden="1" customWidth="1"/>
    <col min="4" max="4" width="12.5" style="1" bestFit="1" customWidth="1"/>
    <col min="5" max="5" width="18" style="1" bestFit="1" customWidth="1"/>
    <col min="6" max="16" width="16.33203125" style="1" bestFit="1" customWidth="1"/>
    <col min="17" max="18" width="10.5" style="1"/>
    <col min="19" max="20" width="1.83203125" style="1" bestFit="1" customWidth="1"/>
    <col min="21" max="16384" width="10.5" style="1"/>
  </cols>
  <sheetData>
    <row r="1" spans="1:16" s="536" customFormat="1" x14ac:dyDescent="0.2">
      <c r="A1" s="758" t="s">
        <v>272</v>
      </c>
    </row>
    <row r="2" spans="1:16" s="536" customFormat="1" x14ac:dyDescent="0.2"/>
    <row r="3" spans="1:16" s="536" customFormat="1" x14ac:dyDescent="0.2"/>
    <row r="4" spans="1:16" s="536" customFormat="1" x14ac:dyDescent="0.2"/>
    <row r="5" spans="1:16" s="536" customFormat="1" x14ac:dyDescent="0.2"/>
    <row r="6" spans="1:16" s="536" customFormat="1" x14ac:dyDescent="0.2"/>
    <row r="7" spans="1:16" s="536" customFormat="1" x14ac:dyDescent="0.2"/>
    <row r="8" spans="1:16" s="536" customFormat="1" x14ac:dyDescent="0.2"/>
    <row r="9" spans="1:16" s="536" customFormat="1" x14ac:dyDescent="0.2"/>
    <row r="11" spans="1:16" ht="23.25" x14ac:dyDescent="0.2">
      <c r="B11" s="133" t="s">
        <v>103</v>
      </c>
      <c r="C11" s="133"/>
    </row>
    <row r="12" spans="1:16" ht="13.5" customHeight="1" x14ac:dyDescent="0.2">
      <c r="B12" s="63" t="s">
        <v>64</v>
      </c>
      <c r="C12" s="133"/>
    </row>
    <row r="13" spans="1:16" ht="13.5" customHeight="1" x14ac:dyDescent="0.2">
      <c r="B13" s="100" t="s">
        <v>262</v>
      </c>
      <c r="C13" s="133"/>
    </row>
    <row r="14" spans="1:16" ht="13.5" customHeight="1" thickBot="1" x14ac:dyDescent="0.25"/>
    <row r="15" spans="1:16" ht="13.5" thickBot="1" x14ac:dyDescent="0.25">
      <c r="B15" s="473"/>
      <c r="C15" s="474"/>
      <c r="D15" s="420" t="s">
        <v>33</v>
      </c>
      <c r="E15" s="418">
        <f>'4. Customer Growth'!B17</f>
        <v>2005</v>
      </c>
      <c r="F15" s="418">
        <f>'4. Customer Growth'!B18</f>
        <v>2006</v>
      </c>
      <c r="G15" s="418">
        <f>'4. Customer Growth'!B19</f>
        <v>2007</v>
      </c>
      <c r="H15" s="418">
        <f>'4. Customer Growth'!B20</f>
        <v>2008</v>
      </c>
      <c r="I15" s="418">
        <f>'4. Customer Growth'!B21</f>
        <v>2009</v>
      </c>
      <c r="J15" s="418">
        <f>'4. Customer Growth'!B22</f>
        <v>2010</v>
      </c>
      <c r="K15" s="418">
        <f>'4. Customer Growth'!B23</f>
        <v>2011</v>
      </c>
      <c r="L15" s="418">
        <f>'4. Customer Growth'!B24</f>
        <v>2012</v>
      </c>
      <c r="M15" s="418">
        <f>'4. Customer Growth'!B25</f>
        <v>2013</v>
      </c>
      <c r="N15" s="418">
        <f>'4. Customer Growth'!B26</f>
        <v>2014</v>
      </c>
      <c r="O15" s="418" t="str">
        <f>'4. Customer Growth'!B30</f>
        <v>2015</v>
      </c>
      <c r="P15" s="419" t="str">
        <f>'4. Customer Growth'!B31</f>
        <v>2016</v>
      </c>
    </row>
    <row r="16" spans="1:16" x14ac:dyDescent="0.2">
      <c r="B16" s="760" t="s">
        <v>195</v>
      </c>
      <c r="C16" s="777" t="str">
        <f>IF($B16=$F$65,+$B$65,+IF($B16=$F$66,+$B$66,+IF($B16=$F$67,+$B$67,+IF($B16=$F$67,$B$67,+IF($B16=$F$68,+$B$68,+IF($B16=$F$69,+$B$69,+IF($B16=$F$70,+$B$70,+IF($B16=$F$71,+$B$71,+IF($B16=$F$72,+$B$72,+IF($B16=$F$73,+$B$73,+IF($B16=$F$74,+$B$74)))))))))))</f>
        <v>Residential</v>
      </c>
      <c r="D16" s="401" t="s">
        <v>131</v>
      </c>
      <c r="E16" s="509">
        <f>IF($C16='4. Customer Growth'!$C$15,+'4. Customer Growth'!$C$17,+IF($C16='4. Customer Growth'!$E$15,+'4. Customer Growth'!$E$17,+IF($C16='4. Customer Growth'!$G$15,+'4. Customer Growth'!$G$17,+IF($C16='4. Customer Growth'!$I$15,+'4. Customer Growth'!$I$17,+IF($C16='4. Customer Growth'!$K$15,+'4. Customer Growth'!$K$17,+IF($C16='4. Customer Growth'!$M$15,+'4. Customer Growth'!$M$17,IF($C16='4. Customer Growth'!$O$15,+'4. Customer Growth'!$O$17)))))))</f>
        <v>8625</v>
      </c>
      <c r="F16" s="509">
        <f>IF($C16='4. Customer Growth'!$C$15,+'4. Customer Growth'!$C$18,+IF($C16='4. Customer Growth'!$E$15,+'4. Customer Growth'!$E$18,+IF($C16='4. Customer Growth'!$G$15,+'4. Customer Growth'!$G$18,+IF($C16='4. Customer Growth'!$I$15,+'4. Customer Growth'!$I$18,+IF($C16='4. Customer Growth'!$K$15,+'4. Customer Growth'!$K$18,+IF($C16='4. Customer Growth'!$M$15,+'4. Customer Growth'!$M$18,IF($C16='4. Customer Growth'!$O$15,+'4. Customer Growth'!$O$18)))))))</f>
        <v>8696</v>
      </c>
      <c r="G16" s="509">
        <f>IF($C16='4. Customer Growth'!$C$15,+'4. Customer Growth'!$C$19,+IF($C16='4. Customer Growth'!$E$15,+'4. Customer Growth'!$E$19,+IF($C16='4. Customer Growth'!$G$15,+'4. Customer Growth'!$G$19,+IF($C16='4. Customer Growth'!$I$15,+'4. Customer Growth'!$I$19,+IF($C16='4. Customer Growth'!$K$15,+'4. Customer Growth'!$K$19,+IF($C16='4. Customer Growth'!$M$15,+'4. Customer Growth'!$M$19,IF($C16='4. Customer Growth'!$O$15,+'4. Customer Growth'!$O$19)))))))</f>
        <v>8809</v>
      </c>
      <c r="H16" s="509">
        <f>IF($C16='4. Customer Growth'!$C$15,+'4. Customer Growth'!$C$20,+IF($C16='4. Customer Growth'!$E$15,+'4. Customer Growth'!$E$20,+IF($C16='4. Customer Growth'!$G$15,+'4. Customer Growth'!$G$20,+IF($C16='4. Customer Growth'!$I$15,+'4. Customer Growth'!$I$20,+IF($C16='4. Customer Growth'!$K$15,+'4. Customer Growth'!$K$20,+IF($C16='4. Customer Growth'!$M$15,+'4. Customer Growth'!$M$20,IF($C16='4. Customer Growth'!$O$15,+'4. Customer Growth'!$O$20)))))))</f>
        <v>8809</v>
      </c>
      <c r="I16" s="509">
        <f>IF($C16='4. Customer Growth'!$C$15,+'4. Customer Growth'!$C$21,+IF($C16='4. Customer Growth'!$E$15,+'4. Customer Growth'!$E$21,+IF($C16='4. Customer Growth'!$G$15,+'4. Customer Growth'!$G$21,+IF($C16='4. Customer Growth'!$I$15,+'4. Customer Growth'!$I$21,+IF($C16='4. Customer Growth'!$K$15,+'4. Customer Growth'!$K$21,+IF($C16='4. Customer Growth'!$M$15,+'4. Customer Growth'!$M$21,IF($C16='4. Customer Growth'!$O$15,+'4. Customer Growth'!$O$21)))))))</f>
        <v>8941</v>
      </c>
      <c r="J16" s="509">
        <f>IF($C16='4. Customer Growth'!$C$15,+'4. Customer Growth'!$C$22,+IF($C16='4. Customer Growth'!$E$15,+'4. Customer Growth'!$E$22,+IF($C16='4. Customer Growth'!$G$15,+'4. Customer Growth'!$G$22,+IF($C16='4. Customer Growth'!$I$15,+'4. Customer Growth'!$I$22,+IF($C16='4. Customer Growth'!$K$15,+'4. Customer Growth'!$K$22,+IF($C16='4. Customer Growth'!$M$15,+'4. Customer Growth'!$M$22,IF($C16='4. Customer Growth'!$O$15,+'4. Customer Growth'!$O$22)))))))</f>
        <v>8955</v>
      </c>
      <c r="K16" s="509">
        <f>IF($C16='4. Customer Growth'!$C$15,+'4. Customer Growth'!$C$23,+IF($C16='4. Customer Growth'!$E$15,+'4. Customer Growth'!$E$23,+IF($C16='4. Customer Growth'!$G$15,+'4. Customer Growth'!$G$23,+IF($C16='4. Customer Growth'!$I$15,+'4. Customer Growth'!$I$23,+IF($C16='4. Customer Growth'!$K$15,+'4. Customer Growth'!$K$23,+IF($C16='4. Customer Growth'!$M$15,+'4. Customer Growth'!$M$23,IF($C16='4. Customer Growth'!$O$15,+'4. Customer Growth'!$O$23)))))))</f>
        <v>9030</v>
      </c>
      <c r="L16" s="509">
        <f>IF($C16='4. Customer Growth'!$C$15,+'4. Customer Growth'!$C$24,+IF($C16='4. Customer Growth'!$E$15,+'4. Customer Growth'!$E$24,+IF($C16='4. Customer Growth'!$G$15,+'4. Customer Growth'!$G$24,+IF($C16='4. Customer Growth'!$I$15,+'4. Customer Growth'!$I$24,+IF($C16='4. Customer Growth'!$K$15,+'4. Customer Growth'!$K$24,+IF($C16='4. Customer Growth'!$M$15,+'4. Customer Growth'!$M$24,IF($C16='4. Customer Growth'!$O$15,+'4. Customer Growth'!$O$24)))))))</f>
        <v>9086.5</v>
      </c>
      <c r="M16" s="509">
        <f>IF($C16='4. Customer Growth'!$C$15,+'4. Customer Growth'!$C$25,+IF($C16='4. Customer Growth'!$E$15,+'4. Customer Growth'!$E$25,+IF($C16='4. Customer Growth'!$G$15,+'4. Customer Growth'!$G$25,+IF($C16='4. Customer Growth'!$I$15,+'4. Customer Growth'!$I$25,+IF($C16='4. Customer Growth'!$K$15,+'4. Customer Growth'!$K$25,+IF($C16='4. Customer Growth'!$M$15,+'4. Customer Growth'!$M$25,IF($C16='4. Customer Growth'!$O$15,+'4. Customer Growth'!$O$25)))))))</f>
        <v>9195</v>
      </c>
      <c r="N16" s="509">
        <f>IF($C16='4. Customer Growth'!$C$15,+'4. Customer Growth'!$C$26,+IF($C16='4. Customer Growth'!$E$15,+'4. Customer Growth'!$E$26,+IF($C16='4. Customer Growth'!$G$15,+'4. Customer Growth'!$G$26,+IF($C16='4. Customer Growth'!$I$15,+'4. Customer Growth'!$I$26,+IF($C16='4. Customer Growth'!$K$15,+'4. Customer Growth'!$K$26,+IF($C16='4. Customer Growth'!$M$15,+'4. Customer Growth'!$M$26,IF($C16='4. Customer Growth'!$O$15,+'4. Customer Growth'!$O$26)))))))</f>
        <v>9305</v>
      </c>
      <c r="O16" s="509">
        <f>IF($C16='4. Customer Growth'!$C$15,+'4. Customer Growth'!$C$42,+IF($C16='4. Customer Growth'!$E$15,+'4. Customer Growth'!$E$42,+IF($C16='4. Customer Growth'!$G$15,+'4. Customer Growth'!$G$42,+IF($C16='4. Customer Growth'!$I$15,+'4. Customer Growth'!$I$42,+IF($C16='4. Customer Growth'!$K$15,+'4. Customer Growth'!$K$42,+IF($C16='4. Customer Growth'!$M$15,+'4. Customer Growth'!$M$42,IF($C16='4. Customer Growth'!$O$15,+'4. Customer Growth'!$O$42)))))))</f>
        <v>9383.7903594694271</v>
      </c>
      <c r="P16" s="510">
        <f>IF($C16='4. Customer Growth'!$C$15,+'4. Customer Growth'!$C$43,+IF($C16='4. Customer Growth'!$E$15,+'4. Customer Growth'!$E$43,+IF($C16='4. Customer Growth'!$G$15,+'4. Customer Growth'!$G$43,+IF($C16='4. Customer Growth'!$I$15,+'4. Customer Growth'!$I$43,+IF($C16='4. Customer Growth'!$K$15,+'4. Customer Growth'!$K$43,+IF($C16='4. Customer Growth'!$M$15,+'4. Customer Growth'!$M$43,IF($C16='4. Customer Growth'!$O$15,+'4. Customer Growth'!$O$43)))))))</f>
        <v>9463.2478786105712</v>
      </c>
    </row>
    <row r="17" spans="2:16" x14ac:dyDescent="0.2">
      <c r="B17" s="89"/>
      <c r="C17" s="778"/>
      <c r="D17" s="59" t="s">
        <v>36</v>
      </c>
      <c r="E17" s="509">
        <f>IF($B16=$F$65,+'7. Weather Senstive Class'!$C$21,IF($B16=$F$66,+'7. Weather Senstive Class'!$O$21,IF($B16=$F$67,+'7. Weather Senstive Class'!$W$21,IF($B16=$F$68,+'7. Weather Senstive Class'!$AE$21,IF($B16=$F$69,+'7. Weather Senstive Class'!$AM$21,IF($B16=$F$70,+'8. KW and Non-Weather Sensitive'!$E$21,IF($B16=$F$71,+'8. KW and Non-Weather Sensitive'!$P$21,IF($B16=$F$72,+'8. KW and Non-Weather Sensitive'!$Z$21,IF($B16=$F$73,+'8. KW and Non-Weather Sensitive'!$AJ$21,IF($B16=$F$74,+'8. KW and Non-Weather Sensitive'!$AT$21))))))))))</f>
        <v>76867401</v>
      </c>
      <c r="F17" s="509">
        <f>IF($B16=$F$65,+'7. Weather Senstive Class'!$C$22,IF($B16=$F$66,+'7. Weather Senstive Class'!$O$22,IF($B16=$F$67,+'7. Weather Senstive Class'!$W$22,IF($B16=$F$68,+'7. Weather Senstive Class'!$AE$22,IF($B16=$F$69,+'7. Weather Senstive Class'!$AM$22,IF($B16=$F$70,+'8. KW and Non-Weather Sensitive'!$E$22,IF($B16=$F$71,+'8. KW and Non-Weather Sensitive'!$P$22,IF($B16=$F$72,+'8. KW and Non-Weather Sensitive'!$Z$22,IF($B16=$F$73,+'8. KW and Non-Weather Sensitive'!$AJ$22,IF($B16=$F$74,+'8. KW and Non-Weather Sensitive'!$AT$22))))))))))</f>
        <v>80301785</v>
      </c>
      <c r="G17" s="509">
        <f>IF($B16=$F$65,+'7. Weather Senstive Class'!$C$23,IF($B16=$F$66,+'7. Weather Senstive Class'!$O$23,IF($B16=$F$67,+'7. Weather Senstive Class'!$W$23,IF($B16=$F$68,+'7. Weather Senstive Class'!$AE$23,IF($B16=$F$69,+'7. Weather Senstive Class'!$AM$23,IF($B16=$F$70,+'8. KW and Non-Weather Sensitive'!$E$23,IF($B16=$F$71,+'8. KW and Non-Weather Sensitive'!$P$23,IF($B16=$F$72,+'8. KW and Non-Weather Sensitive'!$Z$23,IF($B16=$F$73,+'8. KW and Non-Weather Sensitive'!$AJ$23,IF($B16=$F$74,+'8. KW and Non-Weather Sensitive'!$AT$23))))))))))</f>
        <v>78894594</v>
      </c>
      <c r="H17" s="509">
        <f>IF($B16=$F$65,+'7. Weather Senstive Class'!$C$24,IF($B16=$F$66,+'7. Weather Senstive Class'!$O$24,IF($B16=$F$67,+'7. Weather Senstive Class'!$W$24,IF($B16=$F$68,+'7. Weather Senstive Class'!$AE$24,IF($B16=$F$69,+'7. Weather Senstive Class'!$AM$24,IF($B16=$F$70,+'8. KW and Non-Weather Sensitive'!$E$24,IF($B16=$F$71,+'8. KW and Non-Weather Sensitive'!$P$24,IF($B16=$F$72,+'8. KW and Non-Weather Sensitive'!$Z$24,IF($B16=$F$73,+'8. KW and Non-Weather Sensitive'!$AJ$24,IF($B16=$F$74,+'8. KW and Non-Weather Sensitive'!$AT$24))))))))))</f>
        <v>78894594</v>
      </c>
      <c r="I17" s="509">
        <f>IF($B16=$F$65,+'7. Weather Senstive Class'!$C$25,IF($B16=$F$66,+'7. Weather Senstive Class'!$O$25,IF($B16=$F$67,+'7. Weather Senstive Class'!$W$25,IF($B16=$F$68,+'7. Weather Senstive Class'!$AE$25,IF($B16=$F$69,+'7. Weather Senstive Class'!$AM$25,IF($B16=$F$70,+'8. KW and Non-Weather Sensitive'!$E$25,IF($B16=$F$71,+'8. KW and Non-Weather Sensitive'!$P$25,IF($B16=$F$72,+'8. KW and Non-Weather Sensitive'!$Z$25,IF($B16=$F$73,+'8. KW and Non-Weather Sensitive'!$AJ$25,IF($B16=$F$74,+'8. KW and Non-Weather Sensitive'!$AT$25))))))))))</f>
        <v>76058961.349999994</v>
      </c>
      <c r="J17" s="509">
        <f>IF($B16=$F$65,+'7. Weather Senstive Class'!$C$26,IF($B16=$F$66,+'7. Weather Senstive Class'!$O$26,IF($B16=$F$67,+'7. Weather Senstive Class'!$M$26,IF($B16=$F$68,+'7. Weather Senstive Class'!$AE$26,IF($B16=$F$69,+'7. Weather Senstive Class'!$AM$26,IF($B16=$F$70,+'8. KW and Non-Weather Sensitive'!$E$26,IF($B16=$F$71,+'8. KW and Non-Weather Sensitive'!$P$26,IF($B16=$F$72,+'8. KW and Non-Weather Sensitive'!$Z$26,IF($B16=$F$73,+'8. KW and Non-Weather Sensitive'!$AJ$26,IF($B16=$F$74,+'8. KW and Non-Weather Sensitive'!$AT$26))))))))))</f>
        <v>75301012.150000006</v>
      </c>
      <c r="K17" s="509">
        <f>IF($B16=$F$65,+'7. Weather Senstive Class'!$C$27,IF($B16=$F$66,+'7. Weather Senstive Class'!$O$27,IF($B16=$F$67,+'7. Weather Senstive Class'!$W$27,IF($B16=$F$68,+'7. Weather Senstive Class'!$AE$27,IF($B16=$F$69,+'7. Weather Senstive Class'!$AM$27,IF($B16=$F$70,+'8. KW and Non-Weather Sensitive'!$E$27,IF($B16=$F$71,+'8. KW and Non-Weather Sensitive'!$P$27,IF($B16=$F$72,+'8. KW and Non-Weather Sensitive'!$Z$27,IF($B16=$F$73,+'8. KW and Non-Weather Sensitive'!$AJ$27,IF($B16=$F$74,+'8. KW and Non-Weather Sensitive'!$AT$27))))))))))</f>
        <v>79270519.859999999</v>
      </c>
      <c r="L17" s="509">
        <f>IF($B16=$F$65,+'7. Weather Senstive Class'!$C$28,IF($B16=$F$66,+'7. Weather Senstive Class'!$O$28,IF($B16=$F$67,+'7. Weather Senstive Class'!$W$28,IF($B16=$F$68,+'7. Weather Senstive Class'!$AE$28,IF($B16=$F$69,+'7. Weather Senstive Class'!$AM$28,IF($B16=$F$70,+'8. KW and Non-Weather Sensitive'!$E$28,IF($B16=$F$71,+'8. KW and Non-Weather Sensitive'!$P$28,IF($B16=$F$72,+'8. KW and Non-Weather Sensitive'!$Z$28,IF($B16=$F$73,+'8. KW and Non-Weather Sensitive'!$AJ$28,IF($B16=$F$74,+'8. KW and Non-Weather Sensitive'!$AT$28))))))))))</f>
        <v>78553743.920000002</v>
      </c>
      <c r="M17" s="509">
        <f>IF($B16=$F$65,+'7. Weather Senstive Class'!$C$29,IF($B16=$F$66,+'7. Weather Senstive Class'!$O$29,IF($B16=$F$67,+'7. Weather Senstive Class'!$W$29,IF($B16=$F$68,+'7. Weather Senstive Class'!$AE$29,IF($B16=$F$69,+'7. Weather Senstive Class'!$AM$29,IF($B16=$F$70,+'8. KW and Non-Weather Sensitive'!$E$29,IF($B16=$F$71,+'8. KW and Non-Weather Sensitive'!$P$29,IF($B16=$F$72,+'8. KW and Non-Weather Sensitive'!$Z$29,IF($B16=$F$73,+'8. KW and Non-Weather Sensitive'!$AJ$29,IF($B16=$F$74,+'8. KW and Non-Weather Sensitive'!$AT$29))))))))))</f>
        <v>80138213.859999999</v>
      </c>
      <c r="N17" s="509">
        <f>IF($B16=$F$65,+'7. Weather Senstive Class'!$C$30,IF($B16=$F$66,+'7. Weather Senstive Class'!$O$30,IF($B16=$F$67,+'7. Weather Senstive Class'!$W$30,IF($B16=$F$68,+'7. Weather Senstive Class'!$AE$30,IF($B16=$F$69,+'7. Weather Senstive Class'!$AM$30,IF($B16=$F$70,+'8. KW and Non-Weather Sensitive'!$E$30,IF($B16=$F$71,+'8. KW and Non-Weather Sensitive'!$P$30,IF($B16=$F$72,+'8. KW and Non-Weather Sensitive'!$Z$30,IF($B16=$F$73,+'8. KW and Non-Weather Sensitive'!$AJ$30,IF($B16=$F$74,+'8. KW and Non-Weather Sensitive'!$AT$30))))))))))</f>
        <v>79483998.230000004</v>
      </c>
      <c r="O17" s="509">
        <f>IF($B16=$F$65,+'7. Weather Senstive Class'!$H$42,IF($B16=$F$66,+'7. Weather Senstive Class'!$P$42,IF($B16=$F$67,+'7. Weather Senstive Class'!$X$42,IF($B16=$F$68,+'7. Weather Senstive Class'!$AF$42,IF($B16=$F$69,+'7. Weather Senstive Class'!$AN$42,IF($B16=$F$70,+'8. KW and Non-Weather Sensitive'!$I$49,IF($B16=$F$71,+'8. KW and Non-Weather Sensitive'!$T$49,IF($B16=$F$72,+'8. KW and Non-Weather Sensitive'!$AD$49,IF($B16=$F$73,+'8. KW and Non-Weather Sensitive'!$AN$49,IF($B16=$F$74,+'8. KW and Non-Weather Sensitive'!$AX$49))))))))))</f>
        <v>78438793.189758614</v>
      </c>
      <c r="P17" s="510">
        <f>IF($B16=$F$65,+'7. Weather Senstive Class'!$H$43,IF($B16=$F$66,+'7. Weather Senstive Class'!$P$43,IF($B16=$F$67,+'7. Weather Senstive Class'!$X$43,IF($B16=$F$68,+'7. Weather Senstive Class'!$AF$43,IF($B16=$F$69,+'7. Weather Senstive Class'!$AN$43,IF($B16=$F$70,+'8. KW and Non-Weather Sensitive'!$I$50,IF($B16=$F$71,+'8. KW and Non-Weather Sensitive'!$T$50,IF($B16=$F$72,+'8. KW and Non-Weather Sensitive'!$AD$50,IF($B16=$F$73,+'8. KW and Non-Weather Sensitive'!$AN$50,IF($B16=$F$74,+'8. KW and Non-Weather Sensitive'!$AX$50))))))))))</f>
        <v>78268693.128189206</v>
      </c>
    </row>
    <row r="18" spans="2:16" x14ac:dyDescent="0.2">
      <c r="B18" s="89"/>
      <c r="C18" s="778"/>
      <c r="D18" s="59" t="s">
        <v>37</v>
      </c>
      <c r="E18" s="407">
        <f>IF(B$16=$F$70,+'8. KW and Non-Weather Sensitive'!$F$21,IF($B16=$F$71,+'8. KW and Non-Weather Sensitive'!$Q$21,IF($B16=$F$72,+'8. KW and Non-Weather Sensitive'!$AA$21,IF($B16=$F$73,+'8. KW and Non-Weather Sensitive'!$AK$21,+IF($B16=$F$74,+'8. KW and Non-Weather Sensitive'!$AU$21,0)))))</f>
        <v>0</v>
      </c>
      <c r="F18" s="407">
        <f>IF($B16=$F$70,+'8. KW and Non-Weather Sensitive'!$F$22,IF($B16=$F$71,+'8. KW and Non-Weather Sensitive'!$Q$22,IF($B16=$F$72,+'8. KW and Non-Weather Sensitive'!$AA$22,IF($B16=$F$73,+'8. KW and Non-Weather Sensitive'!$AK$22,+IF($B16=$F$74,+'8. KW and Non-Weather Sensitive'!$AU$22,0)))))</f>
        <v>0</v>
      </c>
      <c r="G18" s="407">
        <f>IF($B16=$F$70,+'8. KW and Non-Weather Sensitive'!$F$23,IF($B16=$F$71,+'8. KW and Non-Weather Sensitive'!$Q$23,IF($B16=$F$72,+'8. KW and Non-Weather Sensitive'!$AA$23,IF($B16=$F$73,+'8. KW and Non-Weather Sensitive'!$AK$23,+IF($B16=$F$74,+'8. KW and Non-Weather Sensitive'!$AU$23,0)))))</f>
        <v>0</v>
      </c>
      <c r="H18" s="407">
        <f>IF($B16=$F$70,+'8. KW and Non-Weather Sensitive'!$F$24,IF($B16=$F$71,+'8. KW and Non-Weather Sensitive'!$Q$24,IF($B16=$F$72,+'8. KW and Non-Weather Sensitive'!$AA$24,IF($B16=$F$73,+'8. KW and Non-Weather Sensitive'!$AK$24,+IF($B16=$F$74,+'8. KW and Non-Weather Sensitive'!$AU$24,0)))))</f>
        <v>0</v>
      </c>
      <c r="I18" s="407">
        <f>IF($B16=$F$70,+'8. KW and Non-Weather Sensitive'!$F$25,IF($B16=$F$71,+'8. KW and Non-Weather Sensitive'!$Q$25,IF($B16=$F$72,+'8. KW and Non-Weather Sensitive'!$AA$25,IF($B16=$F$73,+'8. KW and Non-Weather Sensitive'!$AK$25,+IF($B16=$F$74,+'8. KW and Non-Weather Sensitive'!$AU$25,0)))))</f>
        <v>0</v>
      </c>
      <c r="J18" s="407">
        <f>IF($B16=$F$70,+'8. KW and Non-Weather Sensitive'!$F$26,IF($B16=$F$71,+'8. KW and Non-Weather Sensitive'!$Q$26,IF($B16=$F$72,+'8. KW and Non-Weather Sensitive'!$AA$26,IF($B16=$F$73,+'8. KW and Non-Weather Sensitive'!$AK$26,+IF($B16=$F$74,+'8. KW and Non-Weather Sensitive'!$AU$26,0)))))</f>
        <v>0</v>
      </c>
      <c r="K18" s="407">
        <f>IF($B16=$F$70,+'8. KW and Non-Weather Sensitive'!$F$27,IF($B16=$F$71,+'8. KW and Non-Weather Sensitive'!$Q$27,IF($B16=$F$72,+'8. KW and Non-Weather Sensitive'!$AA$27,IF($B16=$F$73,+'8. KW and Non-Weather Sensitive'!$AK$27,+IF($B16=$F$74,+'8. KW and Non-Weather Sensitive'!$AU$27,0)))))</f>
        <v>0</v>
      </c>
      <c r="L18" s="407">
        <f>IF($B16=$F$70,+'8. KW and Non-Weather Sensitive'!$F$28,IF($B16=$F$71,+'8. KW and Non-Weather Sensitive'!$Q$28,IF($B16=$F$72,+'8. KW and Non-Weather Sensitive'!$AA$28,IF($B16=$F$73,+'8. KW and Non-Weather Sensitive'!$AK$28,+IF($B16=$F$74,+'8. KW and Non-Weather Sensitive'!$AU$28,0)))))</f>
        <v>0</v>
      </c>
      <c r="M18" s="407">
        <f>IF($B16=$F$70,+'8. KW and Non-Weather Sensitive'!$F$29,IF($B16=$F$71,+'8. KW and Non-Weather Sensitive'!$Q$29,IF($B16=$F$72,+'8. KW and Non-Weather Sensitive'!$AA$29,IF($B16=$F$73,+'8. KW and Non-Weather Sensitive'!$AK$29,+IF($B16=$F$74,+'8. KW and Non-Weather Sensitive'!$AU$29,0)))))</f>
        <v>0</v>
      </c>
      <c r="N18" s="407">
        <f>IF($B16=$F$70,+'8. KW and Non-Weather Sensitive'!$F$30,IF($B16=$F$71,+'8. KW and Non-Weather Sensitive'!$Q$30,IF($B16=$F$72,+'8. KW and Non-Weather Sensitive'!$AA$30,IF($B16=$F$73,+'8. KW and Non-Weather Sensitive'!$AK$30,+IF($B16=$F$74,+'8. KW and Non-Weather Sensitive'!$AU$30,0)))))</f>
        <v>0</v>
      </c>
      <c r="O18" s="407">
        <f>IF($B16=$F$70,+'8. KW and Non-Weather Sensitive'!$J$49,IF($B16=$F$71,+'8. KW and Non-Weather Sensitive'!$U$49,IF($B16=$F$72,+'8. KW and Non-Weather Sensitive'!$AE$49,IF($B16=$F$73,+'8. KW and Non-Weather Sensitive'!$AO$49,+IF($B16=$F$74,+'8. KW and Non-Weather Sensitive'!$AY$49,0)))))</f>
        <v>0</v>
      </c>
      <c r="P18" s="511">
        <f>IF($B16=$F$70,+'8. KW and Non-Weather Sensitive'!$J$50,IF($B16=$F$71,+'8. KW and Non-Weather Sensitive'!$U$50,IF($B16=$F$72,+'8. KW and Non-Weather Sensitive'!$AE$50,IF($B16=$F$73,+'8. KW and Non-Weather Sensitive'!$AO$50,+IF($B16=$F$74,+'8. KW and Non-Weather Sensitive'!$AY$50,0)))))</f>
        <v>0</v>
      </c>
    </row>
    <row r="19" spans="2:16" x14ac:dyDescent="0.2">
      <c r="B19" s="89"/>
      <c r="C19" s="778"/>
      <c r="D19" s="59"/>
      <c r="E19" s="407"/>
      <c r="F19" s="407"/>
      <c r="G19" s="407"/>
      <c r="H19" s="407"/>
      <c r="I19" s="407"/>
      <c r="J19" s="407"/>
      <c r="K19" s="407"/>
      <c r="L19" s="407"/>
      <c r="M19" s="407"/>
      <c r="N19" s="407"/>
      <c r="O19" s="408"/>
      <c r="P19" s="409"/>
    </row>
    <row r="20" spans="2:16" x14ac:dyDescent="0.2">
      <c r="B20" s="762" t="s">
        <v>194</v>
      </c>
      <c r="C20" s="777" t="str">
        <f>IF($B20=$F$65,+$B$65,+IF($B20=$F$66,+$B$66,+IF($B20=$F$67,+$B$67,+IF($B20=$F$67,$B$67,+IF($B20=$F$68,+$B$68,+IF($B20=$F$69,+$B$69,+IF($B20=$F$70,+$B$70,+IF($B20=$F$71,+$B$71,+IF($B20=$F$72,+$B$72,+IF($B20=$F$73,+$B$73,+IF($B20=$F$74,+$B$74)))))))))))</f>
        <v>General Service &lt; 50 kW</v>
      </c>
      <c r="D20" s="88" t="s">
        <v>131</v>
      </c>
      <c r="E20" s="509">
        <f>IF($C20='4. Customer Growth'!$C$15,+'4. Customer Growth'!$C$17,+IF($C20='4. Customer Growth'!$E$15,+'4. Customer Growth'!$E$17,+IF($C20='4. Customer Growth'!$G$15,+'4. Customer Growth'!$G$17,+IF($C20='4. Customer Growth'!$I$15,+'4. Customer Growth'!$I$17,+IF($C20='4. Customer Growth'!$K$15,+'4. Customer Growth'!$K$17,+IF($C20='4. Customer Growth'!$M$15,+'4. Customer Growth'!$M$17,IF($C20='4. Customer Growth'!$O$15,+'4. Customer Growth'!$O$17)))))))</f>
        <v>1496</v>
      </c>
      <c r="F20" s="509">
        <f>IF($C20='4. Customer Growth'!$C$15,+'4. Customer Growth'!$C$18,+IF($C20='4. Customer Growth'!$E$15,+'4. Customer Growth'!$E$18,+IF($C20='4. Customer Growth'!$G$15,+'4. Customer Growth'!$G$18,+IF($C20='4. Customer Growth'!$I$15,+'4. Customer Growth'!$I$18,+IF($C20='4. Customer Growth'!$K$15,+'4. Customer Growth'!$K$18,+IF($C20='4. Customer Growth'!$M$15,+'4. Customer Growth'!$M$18,IF($C20='4. Customer Growth'!$O$15,+'4. Customer Growth'!$O$18)))))))</f>
        <v>1449</v>
      </c>
      <c r="G20" s="509">
        <f>IF($C20='4. Customer Growth'!$C$15,+'4. Customer Growth'!$C$19,+IF($C20='4. Customer Growth'!$E$15,+'4. Customer Growth'!$E$19,+IF($C20='4. Customer Growth'!$G$15,+'4. Customer Growth'!$G$19,+IF($C20='4. Customer Growth'!$I$15,+'4. Customer Growth'!$I$19,+IF($C20='4. Customer Growth'!$K$15,+'4. Customer Growth'!$K$19,+IF($C20='4. Customer Growth'!$M$15,+'4. Customer Growth'!$M$19,IF($C20='4. Customer Growth'!$O$15,+'4. Customer Growth'!$O$19)))))))</f>
        <v>1442</v>
      </c>
      <c r="H20" s="509">
        <f>IF($C20='4. Customer Growth'!$C$15,+'4. Customer Growth'!$C$20,+IF($C20='4. Customer Growth'!$E$15,+'4. Customer Growth'!$E$20,+IF($C20='4. Customer Growth'!$G$15,+'4. Customer Growth'!$G$20,+IF($C20='4. Customer Growth'!$I$15,+'4. Customer Growth'!$I$20,+IF($C20='4. Customer Growth'!$K$15,+'4. Customer Growth'!$K$20,+IF($C20='4. Customer Growth'!$M$15,+'4. Customer Growth'!$M$20,IF($C20='4. Customer Growth'!$O$15,+'4. Customer Growth'!$O$20)))))))</f>
        <v>1409</v>
      </c>
      <c r="I20" s="509">
        <f>IF($C20='4. Customer Growth'!$C$15,+'4. Customer Growth'!$C$21,+IF($C20='4. Customer Growth'!$E$15,+'4. Customer Growth'!$E$21,+IF($C20='4. Customer Growth'!$G$15,+'4. Customer Growth'!$G$21,+IF($C20='4. Customer Growth'!$I$15,+'4. Customer Growth'!$I$21,+IF($C20='4. Customer Growth'!$K$15,+'4. Customer Growth'!$K$21,+IF($C20='4. Customer Growth'!$M$15,+'4. Customer Growth'!$M$21,IF($C20='4. Customer Growth'!$O$15,+'4. Customer Growth'!$O$21)))))))</f>
        <v>1394</v>
      </c>
      <c r="J20" s="509">
        <f>IF($C20='4. Customer Growth'!$C$15,+'4. Customer Growth'!$C$22,+IF($C20='4. Customer Growth'!$E$15,+'4. Customer Growth'!$E$22,+IF($C20='4. Customer Growth'!$G$15,+'4. Customer Growth'!$G$22,+IF($C20='4. Customer Growth'!$I$15,+'4. Customer Growth'!$I$22,+IF($C20='4. Customer Growth'!$K$15,+'4. Customer Growth'!$K$22,+IF($C20='4. Customer Growth'!$M$15,+'4. Customer Growth'!$M$22,IF($C20='4. Customer Growth'!$O$15,+'4. Customer Growth'!$O$22)))))))</f>
        <v>1372</v>
      </c>
      <c r="K20" s="509">
        <f>IF($C20='4. Customer Growth'!$C$15,+'4. Customer Growth'!$C$23,+IF($C20='4. Customer Growth'!$E$15,+'4. Customer Growth'!$E$23,+IF($C20='4. Customer Growth'!$G$15,+'4. Customer Growth'!$G$23,+IF($C20='4. Customer Growth'!$I$15,+'4. Customer Growth'!$I$23,+IF($C20='4. Customer Growth'!$K$15,+'4. Customer Growth'!$K$23,+IF($C20='4. Customer Growth'!$M$15,+'4. Customer Growth'!$M$23,IF($C20='4. Customer Growth'!$O$15,+'4. Customer Growth'!$O$23)))))))</f>
        <v>1370</v>
      </c>
      <c r="L20" s="509">
        <f>IF($C20='4. Customer Growth'!$C$15,+'4. Customer Growth'!$C$24,+IF($C20='4. Customer Growth'!$E$15,+'4. Customer Growth'!$E$24,+IF($C20='4. Customer Growth'!$G$15,+'4. Customer Growth'!$G$24,+IF($C20='4. Customer Growth'!$I$15,+'4. Customer Growth'!$I$24,+IF($C20='4. Customer Growth'!$K$15,+'4. Customer Growth'!$K$24,+IF($C20='4. Customer Growth'!$M$15,+'4. Customer Growth'!$M$24,IF($C20='4. Customer Growth'!$O$15,+'4. Customer Growth'!$O$24)))))))</f>
        <v>1361.5</v>
      </c>
      <c r="M20" s="509">
        <f>IF($C20='4. Customer Growth'!$C$15,+'4. Customer Growth'!$C$25,+IF($C20='4. Customer Growth'!$E$15,+'4. Customer Growth'!$E$25,+IF($C20='4. Customer Growth'!$G$15,+'4. Customer Growth'!$G$25,+IF($C20='4. Customer Growth'!$I$15,+'4. Customer Growth'!$I$25,+IF($C20='4. Customer Growth'!$K$15,+'4. Customer Growth'!$K$25,+IF($C20='4. Customer Growth'!$M$15,+'4. Customer Growth'!$M$25,IF($C20='4. Customer Growth'!$O$15,+'4. Customer Growth'!$O$25)))))))</f>
        <v>1332.5</v>
      </c>
      <c r="N20" s="509">
        <f>IF($C20='4. Customer Growth'!$C$15,+'4. Customer Growth'!$C$26,+IF($C20='4. Customer Growth'!$E$15,+'4. Customer Growth'!$E$26,+IF($C20='4. Customer Growth'!$G$15,+'4. Customer Growth'!$G$26,+IF($C20='4. Customer Growth'!$I$15,+'4. Customer Growth'!$I$26,+IF($C20='4. Customer Growth'!$K$15,+'4. Customer Growth'!$K$26,+IF($C20='4. Customer Growth'!$M$15,+'4. Customer Growth'!$M$26,IF($C20='4. Customer Growth'!$O$15,+'4. Customer Growth'!$O$26)))))))</f>
        <v>1318</v>
      </c>
      <c r="O20" s="509">
        <f>IF($C20='4. Customer Growth'!$C$15,+'4. Customer Growth'!$C$42,+IF($C20='4. Customer Growth'!$E$15,+'4. Customer Growth'!$E$42,+IF($C20='4. Customer Growth'!$G$15,+'4. Customer Growth'!$G$42,+IF($C20='4. Customer Growth'!$I$15,+'4. Customer Growth'!$I$42,+IF($C20='4. Customer Growth'!$K$15,+'4. Customer Growth'!$K$42,+IF($C20='4. Customer Growth'!$M$15,+'4. Customer Growth'!$M$42,IF($C20='4. Customer Growth'!$O$15,+'4. Customer Growth'!$O$42)))))))</f>
        <v>1299.5784496245794</v>
      </c>
      <c r="P20" s="510">
        <f>IF($C20='4. Customer Growth'!$C$15,+'4. Customer Growth'!$C$43,+IF($C20='4. Customer Growth'!$E$15,+'4. Customer Growth'!$E$43,+IF($C20='4. Customer Growth'!$G$15,+'4. Customer Growth'!$G$43,+IF($C20='4. Customer Growth'!$I$15,+'4. Customer Growth'!$I$43,+IF($C20='4. Customer Growth'!$K$15,+'4. Customer Growth'!$K$43,+IF($C20='4. Customer Growth'!$M$15,+'4. Customer Growth'!$M$43,IF($C20='4. Customer Growth'!$O$15,+'4. Customer Growth'!$O$43)))))))</f>
        <v>1281.4143753631454</v>
      </c>
    </row>
    <row r="21" spans="2:16" x14ac:dyDescent="0.2">
      <c r="B21" s="89"/>
      <c r="C21" s="778"/>
      <c r="D21" s="59" t="s">
        <v>36</v>
      </c>
      <c r="E21" s="509">
        <f>IF($B20=$F$65,+'7. Weather Senstive Class'!$G$21,IF($B20=$F$66,+'7. Weather Senstive Class'!$K$21,IF($B20=$F$67,+'7. Weather Senstive Class'!$W$21,IF($B20=$F$68,+'7. Weather Senstive Class'!$AE$21,IF($B20=$F$69,+'7. Weather Senstive Class'!$AM$21,IF($B20=$F$70,+'8. KW and Non-Weather Sensitive'!$E$21,IF($B20=$F$71,+'8. KW and Non-Weather Sensitive'!$P$21,IF($B20=$F$72,+'8. KW and Non-Weather Sensitive'!$Z$21,IF($B20=$F$73,+'8. KW and Non-Weather Sensitive'!$AJ$21,IF($B20=$F$74,+'8. KW and Non-Weather Sensitive'!$AT$21))))))))))</f>
        <v>43814909</v>
      </c>
      <c r="F21" s="509">
        <f>IF($B20=$F$65,+'7. Weather Senstive Class'!$G$22,IF($B20=$F$66,+'7. Weather Senstive Class'!$K$22,IF($B20=$F$67,+'7. Weather Senstive Class'!$W$22,IF($B20=$F$68,+'7. Weather Senstive Class'!$AE$22,IF($B20=$F$69,+'7. Weather Senstive Class'!$AM$22,IF($B20=$F$70,+'8. KW and Non-Weather Sensitive'!$E$22,IF($B20=$F$71,+'8. KW and Non-Weather Sensitive'!$P$22,IF($B20=$F$72,+'8. KW and Non-Weather Sensitive'!$Z$22,IF($B20=$F$73,+'8. KW and Non-Weather Sensitive'!$AJ$22,IF($B20=$F$74,+'8. KW and Non-Weather Sensitive'!$AT$22))))))))))</f>
        <v>39580098</v>
      </c>
      <c r="G21" s="509">
        <f>IF($B20=$F$65,+'7. Weather Senstive Class'!$G$23,IF($B20=$F$66,+'7. Weather Senstive Class'!$K$23,IF($B20=$F$67,+'7. Weather Senstive Class'!$W$23,IF($B20=$F$68,+'7. Weather Senstive Class'!$AE$23,IF($B20=$F$69,+'7. Weather Senstive Class'!$AM$23,IF($B20=$F$70,+'8. KW and Non-Weather Sensitive'!$E$23,IF($B20=$F$71,+'8. KW and Non-Weather Sensitive'!$P$23,IF($B20=$F$72,+'8. KW and Non-Weather Sensitive'!$Z$23,IF($B20=$F$73,+'8. KW and Non-Weather Sensitive'!$AJ$23,IF($B20=$F$74,+'8. KW and Non-Weather Sensitive'!$AT$23))))))))))</f>
        <v>35721757</v>
      </c>
      <c r="H21" s="509">
        <f>IF($B20=$F$65,+'7. Weather Senstive Class'!$G$24,IF($B20=$F$66,+'7. Weather Senstive Class'!$K$24,IF($B20=$F$67,+'7. Weather Senstive Class'!$W$24,IF($B20=$F$68,+'7. Weather Senstive Class'!$AE$24,IF($B20=$F$69,+'7. Weather Senstive Class'!$AM$24,IF($B20=$F$70,+'8. KW and Non-Weather Sensitive'!$E$24,IF($B20=$F$71,+'8. KW and Non-Weather Sensitive'!$P$24,IF($B20=$F$72,+'8. KW and Non-Weather Sensitive'!$Z$24,IF($B20=$F$73,+'8. KW and Non-Weather Sensitive'!$AJ$24,IF($B20=$F$74,+'8. KW and Non-Weather Sensitive'!$AT$24))))))))))</f>
        <v>35801702</v>
      </c>
      <c r="I21" s="509">
        <f>IF($B20=$F$65,+'7. Weather Senstive Class'!$G$25,IF($B20=$F$66,+'7. Weather Senstive Class'!$K$25,IF($B20=$F$67,+'7. Weather Senstive Class'!$W$25,IF($B20=$F$68,+'7. Weather Senstive Class'!$AE$25,IF($B20=$F$69,+'7. Weather Senstive Class'!$AM$25,IF($B20=$F$70,+'8. KW and Non-Weather Sensitive'!$E$25,IF($B20=$F$71,+'8. KW and Non-Weather Sensitive'!$P$25,IF($B20=$F$72,+'8. KW and Non-Weather Sensitive'!$Z$25,IF($B20=$F$73,+'8. KW and Non-Weather Sensitive'!$AJ$25,IF($B20=$F$74,+'8. KW and Non-Weather Sensitive'!$AT$25))))))))))</f>
        <v>34198078.359999999</v>
      </c>
      <c r="J21" s="509">
        <f>IF($B20=$F$65,+'7. Weather Senstive Class'!$G$26,IF($B20=$F$66,+'7. Weather Senstive Class'!$K$26,IF($B20=$F$67,+'7. Weather Senstive Class'!$M$26,IF($B20=$F$68,+'7. Weather Senstive Class'!$AE$26,IF($B20=$F$69,+'7. Weather Senstive Class'!$AM$26,IF($B20=$F$70,+'8. KW and Non-Weather Sensitive'!$E$26,IF($B20=$F$71,+'8. KW and Non-Weather Sensitive'!$P$26,IF($B20=$F$72,+'8. KW and Non-Weather Sensitive'!$Z$26,IF($B20=$F$73,+'8. KW and Non-Weather Sensitive'!$AJ$26,IF($B20=$F$74,+'8. KW and Non-Weather Sensitive'!$AT$26))))))))))</f>
        <v>33358216.629999999</v>
      </c>
      <c r="K21" s="509">
        <f>IF($B20=$F$65,+'7. Weather Senstive Class'!$G$27,IF($B20=$F$66,+'7. Weather Senstive Class'!$K$27,IF($B20=$F$67,+'7. Weather Senstive Class'!$W$27,IF($B20=$F$68,+'7. Weather Senstive Class'!$AE$27,IF($B20=$F$69,+'7. Weather Senstive Class'!$AM$27,IF($B20=$F$70,+'8. KW and Non-Weather Sensitive'!$E$27,IF($B20=$F$71,+'8. KW and Non-Weather Sensitive'!$P$27,IF($B20=$F$72,+'8. KW and Non-Weather Sensitive'!$Z$27,IF($B20=$F$73,+'8. KW and Non-Weather Sensitive'!$AJ$27,IF($B20=$F$74,+'8. KW and Non-Weather Sensitive'!$AT$27))))))))))</f>
        <v>32279016.170000002</v>
      </c>
      <c r="L21" s="509">
        <f>IF($B20=$F$65,+'7. Weather Senstive Class'!$G$28,IF($B20=$F$66,+'7. Weather Senstive Class'!$K$28,IF($B20=$F$67,+'7. Weather Senstive Class'!$W$28,IF($B20=$F$68,+'7. Weather Senstive Class'!$AE$28,IF($B20=$F$69,+'7. Weather Senstive Class'!$AM$28,IF($B20=$F$70,+'8. KW and Non-Weather Sensitive'!$E$28,IF($B20=$F$71,+'8. KW and Non-Weather Sensitive'!$P$28,IF($B20=$F$72,+'8. KW and Non-Weather Sensitive'!$Z$28,IF($B20=$F$73,+'8. KW and Non-Weather Sensitive'!$AJ$28,IF($B20=$F$74,+'8. KW and Non-Weather Sensitive'!$AT$28))))))))))</f>
        <v>31948521.120000001</v>
      </c>
      <c r="M21" s="509">
        <f>IF($B20=$F$65,+'7. Weather Senstive Class'!$G$29,IF($B20=$F$66,+'7. Weather Senstive Class'!$K$29,IF($B20=$F$67,+'7. Weather Senstive Class'!$W$29,IF($B20=$F$68,+'7. Weather Senstive Class'!$AE$29,IF($B20=$F$69,+'7. Weather Senstive Class'!$AM$29,IF($B20=$F$70,+'8. KW and Non-Weather Sensitive'!$E$29,IF($B20=$F$71,+'8. KW and Non-Weather Sensitive'!$P$29,IF($B20=$F$72,+'8. KW and Non-Weather Sensitive'!$Z$29,IF($B20=$F$73,+'8. KW and Non-Weather Sensitive'!$AJ$29,IF($B20=$F$74,+'8. KW and Non-Weather Sensitive'!$AT$29))))))))))</f>
        <v>31708039.23</v>
      </c>
      <c r="N21" s="509">
        <f>IF($B20=$F$65,+'7. Weather Senstive Class'!$G$30,IF($B20=$F$66,+'7. Weather Senstive Class'!$K$30,IF($B20=$F$67,+'7. Weather Senstive Class'!$W$30,IF($B20=$F$68,+'7. Weather Senstive Class'!$AE$30,IF($B20=$F$69,+'7. Weather Senstive Class'!$AM$30,IF($B20=$F$70,+'8. KW and Non-Weather Sensitive'!$E$30,IF($B20=$F$71,+'8. KW and Non-Weather Sensitive'!$P$30,IF($B20=$F$72,+'8. KW and Non-Weather Sensitive'!$Z$30,IF($B20=$F$73,+'8. KW and Non-Weather Sensitive'!$AJ$30,IF($B20=$F$74,+'8. KW and Non-Weather Sensitive'!$AT$30))))))))))</f>
        <v>31649726.120000001</v>
      </c>
      <c r="O21" s="509">
        <f>IF($B20=$F$65,+'7. Weather Senstive Class'!$H$42,IF($B20=$F$66,+'7. Weather Senstive Class'!$P$42,IF($B20=$F$67,+'7. Weather Senstive Class'!$X$42,IF($B20=$F$68,+'7. Weather Senstive Class'!$AF$42,IF($B20=$F$69,+'7. Weather Senstive Class'!$AN$42,IF($B20=$F$70,+'8. KW and Non-Weather Sensitive'!$I$49,IF($B20=$F$71,+'8. KW and Non-Weather Sensitive'!$T$49,IF($B20=$F$72,+'8. KW and Non-Weather Sensitive'!$AD$49,IF($B20=$F$73,+'8. KW and Non-Weather Sensitive'!$AN$49,IF($B20=$F$74,+'8. KW and Non-Weather Sensitive'!$AX$49))))))))))</f>
        <v>34953791.57291279</v>
      </c>
      <c r="P21" s="510">
        <f>IF($B20=$F$65,+'7. Weather Senstive Class'!$H$43,IF($B20=$F$66,+'7. Weather Senstive Class'!$P$43,IF($B20=$F$67,+'7. Weather Senstive Class'!$X$43,IF($B20=$F$68,+'7. Weather Senstive Class'!$AF$43,IF($B20=$F$69,+'7. Weather Senstive Class'!$AN$43,IF($B20=$F$70,+'8. KW and Non-Weather Sensitive'!$I$50,IF($B20=$F$71,+'8. KW and Non-Weather Sensitive'!$T$50,IF($B20=$F$72,+'8. KW and Non-Weather Sensitive'!$AD$50,IF($B20=$F$73,+'8. KW and Non-Weather Sensitive'!$AN$50,IF($B20=$F$74,+'8. KW and Non-Weather Sensitive'!$AX$50))))))))))</f>
        <v>34877991.807811193</v>
      </c>
    </row>
    <row r="22" spans="2:16" x14ac:dyDescent="0.2">
      <c r="B22" s="89"/>
      <c r="C22" s="778"/>
      <c r="D22" s="59" t="s">
        <v>37</v>
      </c>
      <c r="E22" s="407">
        <f>IF(B$16=$F$70,+'8. KW and Non-Weather Sensitive'!$F$21,IF($B20=$F$71,+'8. KW and Non-Weather Sensitive'!$Q$21,IF($B20=$F$72,+'8. KW and Non-Weather Sensitive'!$AA$21,IF($B20=$F$73,+'8. KW and Non-Weather Sensitive'!$AK$21,+IF($B20=$F$74,+'8. KW and Non-Weather Sensitive'!$AU$21,0)))))</f>
        <v>0</v>
      </c>
      <c r="F22" s="407">
        <f>IF($B20=$F$70,+'8. KW and Non-Weather Sensitive'!$F$22,IF($B20=$F$71,+'8. KW and Non-Weather Sensitive'!$Q$22,IF($B20=$F$72,+'8. KW and Non-Weather Sensitive'!$AA$22,IF($B20=$F$73,+'8. KW and Non-Weather Sensitive'!$AK$22,+IF($B20=$F$74,+'8. KW and Non-Weather Sensitive'!$AU$22,0)))))</f>
        <v>0</v>
      </c>
      <c r="G22" s="407">
        <f>IF($B20=$F$70,+'8. KW and Non-Weather Sensitive'!$F$23,IF($B20=$F$71,+'8. KW and Non-Weather Sensitive'!$Q$23,IF($B20=$F$72,+'8. KW and Non-Weather Sensitive'!$AA$23,IF($B20=$F$73,+'8. KW and Non-Weather Sensitive'!$AK$23,+IF($B20=$F$74,+'8. KW and Non-Weather Sensitive'!$AU$23,0)))))</f>
        <v>0</v>
      </c>
      <c r="H22" s="407">
        <f>IF($B20=$F$70,+'8. KW and Non-Weather Sensitive'!$F$24,IF($B20=$F$71,+'8. KW and Non-Weather Sensitive'!$Q$24,IF($B20=$F$72,+'8. KW and Non-Weather Sensitive'!$AA$24,IF($B20=$F$73,+'8. KW and Non-Weather Sensitive'!$AK$24,+IF($B20=$F$74,+'8. KW and Non-Weather Sensitive'!$AU$24,0)))))</f>
        <v>0</v>
      </c>
      <c r="I22" s="407">
        <f>IF($B20=$F$70,+'8. KW and Non-Weather Sensitive'!$F$25,IF($B20=$F$71,+'8. KW and Non-Weather Sensitive'!$Q$25,IF($B20=$F$72,+'8. KW and Non-Weather Sensitive'!$AA$25,IF($B20=$F$73,+'8. KW and Non-Weather Sensitive'!$AK$25,+IF($B20=$F$74,+'8. KW and Non-Weather Sensitive'!$AU$25,0)))))</f>
        <v>0</v>
      </c>
      <c r="J22" s="407">
        <f>IF($B20=$F$70,+'8. KW and Non-Weather Sensitive'!$F$26,IF($B20=$F$71,+'8. KW and Non-Weather Sensitive'!$Q$26,IF($B20=$F$72,+'8. KW and Non-Weather Sensitive'!$AA$26,IF($B20=$F$73,+'8. KW and Non-Weather Sensitive'!$AK$26,+IF($B20=$F$74,+'8. KW and Non-Weather Sensitive'!$AU$26,0)))))</f>
        <v>0</v>
      </c>
      <c r="K22" s="407">
        <f>IF($B20=$F$70,+'8. KW and Non-Weather Sensitive'!$F$27,IF($B20=$F$71,+'8. KW and Non-Weather Sensitive'!$Q$27,IF($B20=$F$72,+'8. KW and Non-Weather Sensitive'!$AA$27,IF($B20=$F$73,+'8. KW and Non-Weather Sensitive'!$AK$27,+IF($B20=$F$74,+'8. KW and Non-Weather Sensitive'!$AU$27,0)))))</f>
        <v>0</v>
      </c>
      <c r="L22" s="407">
        <f>IF($B20=$F$70,+'8. KW and Non-Weather Sensitive'!$F$28,IF($B20=$F$71,+'8. KW and Non-Weather Sensitive'!$Q$28,IF($B20=$F$72,+'8. KW and Non-Weather Sensitive'!$AA$28,IF($B20=$F$73,+'8. KW and Non-Weather Sensitive'!$AK$28,+IF($B20=$F$74,+'8. KW and Non-Weather Sensitive'!$AU$28,0)))))</f>
        <v>0</v>
      </c>
      <c r="M22" s="407">
        <f>IF($B20=$F$70,+'8. KW and Non-Weather Sensitive'!$F$29,IF($B20=$F$71,+'8. KW and Non-Weather Sensitive'!$Q$29,IF($B20=$F$72,+'8. KW and Non-Weather Sensitive'!$AA$29,IF($B20=$F$73,+'8. KW and Non-Weather Sensitive'!$AK$29,+IF($B20=$F$74,+'8. KW and Non-Weather Sensitive'!$AU$29,0)))))</f>
        <v>0</v>
      </c>
      <c r="N22" s="407">
        <f>IF($B20=$F$70,+'8. KW and Non-Weather Sensitive'!$F$30,IF($B20=$F$71,+'8. KW and Non-Weather Sensitive'!$Q$30,IF($B20=$F$72,+'8. KW and Non-Weather Sensitive'!$AA$30,IF($B20=$F$73,+'8. KW and Non-Weather Sensitive'!$AK$30,+IF($B20=$F$74,+'8. KW and Non-Weather Sensitive'!$AU$30,0)))))</f>
        <v>0</v>
      </c>
      <c r="O22" s="407">
        <f>IF($B20=$F$70,+'8. KW and Non-Weather Sensitive'!$J$49,IF($B20=$F$71,+'8. KW and Non-Weather Sensitive'!$U$49,IF($B20=$F$72,+'8. KW and Non-Weather Sensitive'!$AE$49,IF($B20=$F$73,+'8. KW and Non-Weather Sensitive'!$AO$49,+IF($B20=$F$74,+'8. KW and Non-Weather Sensitive'!$AY$49,0)))))</f>
        <v>0</v>
      </c>
      <c r="P22" s="511">
        <f>IF($B20=$F$70,+'8. KW and Non-Weather Sensitive'!$J$50,IF($B20=$F$71,+'8. KW and Non-Weather Sensitive'!$U$50,IF($B20=$F$72,+'8. KW and Non-Weather Sensitive'!$AE$50,IF($B20=$F$73,+'8. KW and Non-Weather Sensitive'!$AO$50,+IF($B20=$F$74,+'8. KW and Non-Weather Sensitive'!$AY$50,0)))))</f>
        <v>0</v>
      </c>
    </row>
    <row r="23" spans="2:16" x14ac:dyDescent="0.2">
      <c r="B23" s="89"/>
      <c r="C23" s="778"/>
      <c r="D23" s="59"/>
      <c r="E23" s="407"/>
      <c r="F23" s="407"/>
      <c r="G23" s="407"/>
      <c r="H23" s="407"/>
      <c r="I23" s="407"/>
      <c r="J23" s="407"/>
      <c r="K23" s="407"/>
      <c r="L23" s="407"/>
      <c r="M23" s="407"/>
      <c r="N23" s="407"/>
      <c r="O23" s="408"/>
      <c r="P23" s="409"/>
    </row>
    <row r="24" spans="2:16" x14ac:dyDescent="0.2">
      <c r="B24" s="762" t="s">
        <v>276</v>
      </c>
      <c r="C24" s="777" t="str">
        <f>IF($B24=$F$65,+$B$65,+IF($B24=$F$66,+$B$66,+IF($B24=$F$67,+$B$67,+IF($B24=$F$67,$B$67,+IF($B24=$F$68,+$B$68,+IF($B24=$F$69,+$B$69,+IF($B24=$F$70,+$B$70,+IF($B24=$F$71,+$B$71,+IF($B24=$F$72,+$B$72,+IF($B24=$F$73,+$B$73,+IF($B24=$F$74,+$B$74)))))))))))</f>
        <v>Unmetered Scattered Load</v>
      </c>
      <c r="D24" s="88" t="s">
        <v>131</v>
      </c>
      <c r="E24" s="509">
        <f>IF($C24='4. Customer Growth'!$C$15,+'4. Customer Growth'!$C$17,+IF($C24='4. Customer Growth'!$E$15,+'4. Customer Growth'!$E$17,+IF($C24='4. Customer Growth'!$G$15,+'4. Customer Growth'!$G$17,+IF($C24='4. Customer Growth'!$I$15,+'4. Customer Growth'!$I$17,+IF($C24='4. Customer Growth'!$K$15,+'4. Customer Growth'!$K$17,+IF($C24='4. Customer Growth'!$M$15,+'4. Customer Growth'!$M$17,IF($C24='4. Customer Growth'!$O$15,+'4. Customer Growth'!$O$17)))))))</f>
        <v>17</v>
      </c>
      <c r="F24" s="509">
        <f>IF($C24='4. Customer Growth'!$C$15,+'4. Customer Growth'!$C$18,+IF($C24='4. Customer Growth'!$E$15,+'4. Customer Growth'!$E$18,+IF($C24='4. Customer Growth'!$G$15,+'4. Customer Growth'!$G$18,+IF($C24='4. Customer Growth'!$I$15,+'4. Customer Growth'!$I$18,+IF($C24='4. Customer Growth'!$K$15,+'4. Customer Growth'!$K$18,+IF($C24='4. Customer Growth'!$M$15,+'4. Customer Growth'!$M$18,IF($C24='4. Customer Growth'!$O$15,+'4. Customer Growth'!$O$18)))))))</f>
        <v>20</v>
      </c>
      <c r="G24" s="509">
        <f>IF($C24='4. Customer Growth'!$C$15,+'4. Customer Growth'!$C$19,+IF($C24='4. Customer Growth'!$E$15,+'4. Customer Growth'!$E$19,+IF($C24='4. Customer Growth'!$G$15,+'4. Customer Growth'!$G$19,+IF($C24='4. Customer Growth'!$I$15,+'4. Customer Growth'!$I$19,+IF($C24='4. Customer Growth'!$K$15,+'4. Customer Growth'!$K$19,+IF($C24='4. Customer Growth'!$M$15,+'4. Customer Growth'!$M$19,IF($C24='4. Customer Growth'!$O$15,+'4. Customer Growth'!$O$19)))))))</f>
        <v>20</v>
      </c>
      <c r="H24" s="509">
        <f>IF($C24='4. Customer Growth'!$C$15,+'4. Customer Growth'!$C$20,+IF($C24='4. Customer Growth'!$E$15,+'4. Customer Growth'!$E$20,+IF($C24='4. Customer Growth'!$G$15,+'4. Customer Growth'!$G$20,+IF($C24='4. Customer Growth'!$I$15,+'4. Customer Growth'!$I$20,+IF($C24='4. Customer Growth'!$K$15,+'4. Customer Growth'!$K$20,+IF($C24='4. Customer Growth'!$M$15,+'4. Customer Growth'!$M$20,IF($C24='4. Customer Growth'!$O$15,+'4. Customer Growth'!$O$20)))))))</f>
        <v>20</v>
      </c>
      <c r="I24" s="509">
        <f>IF($C24='4. Customer Growth'!$C$15,+'4. Customer Growth'!$C$21,+IF($C24='4. Customer Growth'!$E$15,+'4. Customer Growth'!$E$21,+IF($C24='4. Customer Growth'!$G$15,+'4. Customer Growth'!$G$21,+IF($C24='4. Customer Growth'!$I$15,+'4. Customer Growth'!$I$21,+IF($C24='4. Customer Growth'!$K$15,+'4. Customer Growth'!$K$21,+IF($C24='4. Customer Growth'!$M$15,+'4. Customer Growth'!$M$21,IF($C24='4. Customer Growth'!$O$15,+'4. Customer Growth'!$O$21)))))))</f>
        <v>20</v>
      </c>
      <c r="J24" s="509">
        <f>IF($C24='4. Customer Growth'!$C$15,+'4. Customer Growth'!$C$22,+IF($C24='4. Customer Growth'!$E$15,+'4. Customer Growth'!$E$22,+IF($C24='4. Customer Growth'!$G$15,+'4. Customer Growth'!$G$22,+IF($C24='4. Customer Growth'!$I$15,+'4. Customer Growth'!$I$22,+IF($C24='4. Customer Growth'!$K$15,+'4. Customer Growth'!$K$22,+IF($C24='4. Customer Growth'!$M$15,+'4. Customer Growth'!$M$22,IF($C24='4. Customer Growth'!$O$15,+'4. Customer Growth'!$O$22)))))))</f>
        <v>20</v>
      </c>
      <c r="K24" s="509">
        <f>IF($C24='4. Customer Growth'!$C$15,+'4. Customer Growth'!$C$23,+IF($C24='4. Customer Growth'!$E$15,+'4. Customer Growth'!$E$23,+IF($C24='4. Customer Growth'!$G$15,+'4. Customer Growth'!$G$23,+IF($C24='4. Customer Growth'!$I$15,+'4. Customer Growth'!$I$23,+IF($C24='4. Customer Growth'!$K$15,+'4. Customer Growth'!$K$23,+IF($C24='4. Customer Growth'!$M$15,+'4. Customer Growth'!$M$23,IF($C24='4. Customer Growth'!$O$15,+'4. Customer Growth'!$O$23)))))))</f>
        <v>20</v>
      </c>
      <c r="L24" s="509">
        <f>IF($C24='4. Customer Growth'!$C$15,+'4. Customer Growth'!$C$24,+IF($C24='4. Customer Growth'!$E$15,+'4. Customer Growth'!$E$24,+IF($C24='4. Customer Growth'!$G$15,+'4. Customer Growth'!$G$24,+IF($C24='4. Customer Growth'!$I$15,+'4. Customer Growth'!$I$24,+IF($C24='4. Customer Growth'!$K$15,+'4. Customer Growth'!$K$24,+IF($C24='4. Customer Growth'!$M$15,+'4. Customer Growth'!$M$24,IF($C24='4. Customer Growth'!$O$15,+'4. Customer Growth'!$O$24)))))))</f>
        <v>20</v>
      </c>
      <c r="M24" s="509">
        <f>IF($C24='4. Customer Growth'!$C$15,+'4. Customer Growth'!$C$25,+IF($C24='4. Customer Growth'!$E$15,+'4. Customer Growth'!$E$25,+IF($C24='4. Customer Growth'!$G$15,+'4. Customer Growth'!$G$25,+IF($C24='4. Customer Growth'!$I$15,+'4. Customer Growth'!$I$25,+IF($C24='4. Customer Growth'!$K$15,+'4. Customer Growth'!$K$25,+IF($C24='4. Customer Growth'!$M$15,+'4. Customer Growth'!$M$25,IF($C24='4. Customer Growth'!$O$15,+'4. Customer Growth'!$O$25)))))))</f>
        <v>20</v>
      </c>
      <c r="N24" s="509">
        <f>IF($C24='4. Customer Growth'!$C$15,+'4. Customer Growth'!$C$26,+IF($C24='4. Customer Growth'!$E$15,+'4. Customer Growth'!$E$26,+IF($C24='4. Customer Growth'!$G$15,+'4. Customer Growth'!$G$26,+IF($C24='4. Customer Growth'!$I$15,+'4. Customer Growth'!$I$26,+IF($C24='4. Customer Growth'!$K$15,+'4. Customer Growth'!$K$26,+IF($C24='4. Customer Growth'!$M$15,+'4. Customer Growth'!$M$26,IF($C24='4. Customer Growth'!$O$15,+'4. Customer Growth'!$O$26)))))))</f>
        <v>20</v>
      </c>
      <c r="O24" s="509">
        <f>IF($C24='4. Customer Growth'!$C$15,+'4. Customer Growth'!$C$42,+IF($C24='4. Customer Growth'!$E$15,+'4. Customer Growth'!$E$42,+IF($C24='4. Customer Growth'!$G$15,+'4. Customer Growth'!$G$42,+IF($C24='4. Customer Growth'!$I$15,+'4. Customer Growth'!$I$42,+IF($C24='4. Customer Growth'!$K$15,+'4. Customer Growth'!$K$42,+IF($C24='4. Customer Growth'!$M$15,+'4. Customer Growth'!$M$42,IF($C24='4. Customer Growth'!$O$15,+'4. Customer Growth'!$O$42)))))))</f>
        <v>20</v>
      </c>
      <c r="P24" s="510">
        <f>IF($C24='4. Customer Growth'!$C$15,+'4. Customer Growth'!$C$43,+IF($C24='4. Customer Growth'!$E$15,+'4. Customer Growth'!$E$43,+IF($C24='4. Customer Growth'!$G$15,+'4. Customer Growth'!$G$43,+IF($C24='4. Customer Growth'!$I$15,+'4. Customer Growth'!$I$43,+IF($C24='4. Customer Growth'!$K$15,+'4. Customer Growth'!$K$43,+IF($C24='4. Customer Growth'!$M$15,+'4. Customer Growth'!$M$43,IF($C24='4. Customer Growth'!$O$15,+'4. Customer Growth'!$O$43)))))))</f>
        <v>20</v>
      </c>
    </row>
    <row r="25" spans="2:16" x14ac:dyDescent="0.2">
      <c r="B25" s="89"/>
      <c r="C25" s="778"/>
      <c r="D25" s="59" t="s">
        <v>36</v>
      </c>
      <c r="E25" s="509">
        <f>IF($B24=$F$65,+'7. Weather Senstive Class'!$G$21,IF($B24=$F$66,+'7. Weather Senstive Class'!$O$21,IF($B24=$F$67,+'7. Weather Senstive Class'!$W$21,IF($B24=$F$68,+'7. Weather Senstive Class'!$AE$21,IF($B24=$F$69,+'7. Weather Senstive Class'!$AM$21,IF($B24=$F$70,+'8. KW and Non-Weather Sensitive'!$E$21,IF($B24=$F$71,+'8. KW and Non-Weather Sensitive'!$P$21,IF($B24=$F$72,+'8. KW and Non-Weather Sensitive'!$Z$21,IF($B24=$F$73,+'8. KW and Non-Weather Sensitive'!$AJ$21,IF($B24=$F$74,+'8. KW and Non-Weather Sensitive'!$AT$21))))))))))</f>
        <v>593390</v>
      </c>
      <c r="F25" s="509">
        <f>IF($B24=$F$65,+'7. Weather Senstive Class'!$G$22,IF($B24=$F$66,+'7. Weather Senstive Class'!$O$22,IF($B24=$F$67,+'7. Weather Senstive Class'!$W$22,IF($B24=$F$68,+'7. Weather Senstive Class'!$AE$22,IF($B24=$F$69,+'7. Weather Senstive Class'!$AM$22,IF($B24=$F$70,+'8. KW and Non-Weather Sensitive'!$E$22,IF($B24=$F$71,+'8. KW and Non-Weather Sensitive'!$P$22,IF($B24=$F$72,+'8. KW and Non-Weather Sensitive'!$Z$22,IF($B24=$F$73,+'8. KW and Non-Weather Sensitive'!$AJ$22,IF($B24=$F$74,+'8. KW and Non-Weather Sensitive'!$AT$22))))))))))</f>
        <v>364006</v>
      </c>
      <c r="G25" s="509">
        <f>IF($B24=$F$65,+'7. Weather Senstive Class'!$G$23,IF($B24=$F$66,+'7. Weather Senstive Class'!$O$23,IF($B24=$F$67,+'7. Weather Senstive Class'!$W$23,IF($B24=$F$68,+'7. Weather Senstive Class'!$AE$23,IF($B24=$F$69,+'7. Weather Senstive Class'!$AM$23,IF($B24=$F$70,+'8. KW and Non-Weather Sensitive'!$E$23,IF($B24=$F$71,+'8. KW and Non-Weather Sensitive'!$P$23,IF($B24=$F$72,+'8. KW and Non-Weather Sensitive'!$Z$23,IF($B24=$F$73,+'8. KW and Non-Weather Sensitive'!$AJ$23,IF($B24=$F$74,+'8. KW and Non-Weather Sensitive'!$AT$23))))))))))</f>
        <v>348199</v>
      </c>
      <c r="H25" s="509">
        <f>IF($B24=$F$65,+'7. Weather Senstive Class'!$G$24,IF($B24=$F$66,+'7. Weather Senstive Class'!$O$24,IF($B24=$F$67,+'7. Weather Senstive Class'!$W$24,IF($B24=$F$68,+'7. Weather Senstive Class'!$AE$24,IF($B24=$F$69,+'7. Weather Senstive Class'!$AM$24,IF($B24=$F$70,+'8. KW and Non-Weather Sensitive'!$E$24,IF($B24=$F$71,+'8. KW and Non-Weather Sensitive'!$P$24,IF($B24=$F$72,+'8. KW and Non-Weather Sensitive'!$Z$24,IF($B24=$F$73,+'8. KW and Non-Weather Sensitive'!$AJ$24,IF($B24=$F$74,+'8. KW and Non-Weather Sensitive'!$AT$24))))))))))</f>
        <v>386944</v>
      </c>
      <c r="I25" s="509">
        <f>IF($B24=$F$65,+'7. Weather Senstive Class'!$G$25,IF($B24=$F$66,+'7. Weather Senstive Class'!$O$25,IF($B24=$F$67,+'7. Weather Senstive Class'!$W$25,IF($B24=$F$68,+'7. Weather Senstive Class'!$AE$25,IF($B24=$F$69,+'7. Weather Senstive Class'!$AM$25,IF($B24=$F$70,+'8. KW and Non-Weather Sensitive'!$E$25,IF($B24=$F$71,+'8. KW and Non-Weather Sensitive'!$P$25,IF($B24=$F$72,+'8. KW and Non-Weather Sensitive'!$Z$25,IF($B24=$F$73,+'8. KW and Non-Weather Sensitive'!$AJ$25,IF($B24=$F$74,+'8. KW and Non-Weather Sensitive'!$AT$25))))))))))</f>
        <v>437952.27</v>
      </c>
      <c r="J25" s="509">
        <f>IF($B24=$F$65,+'7. Weather Senstive Class'!$G$26,IF($B24=$F$66,+'7. Weather Senstive Class'!$O$26,IF($B24=$F$67,+'7. Weather Senstive Class'!$M$26,IF($B24=$F$68,+'7. Weather Senstive Class'!$AE$26,IF($B24=$F$69,+'7. Weather Senstive Class'!$AM$26,IF($B24=$F$70,+'8. KW and Non-Weather Sensitive'!$E$26,IF($B24=$F$71,+'8. KW and Non-Weather Sensitive'!$P$26,IF($B24=$F$72,+'8. KW and Non-Weather Sensitive'!$Z$26,IF($B24=$F$73,+'8. KW and Non-Weather Sensitive'!$AJ$26,IF($B24=$F$74,+'8. KW and Non-Weather Sensitive'!$AT$26))))))))))</f>
        <v>458526.4</v>
      </c>
      <c r="K25" s="509">
        <f>IF($B24=$F$65,+'7. Weather Senstive Class'!$G$27,IF($B24=$F$66,+'7. Weather Senstive Class'!$O$27,IF($B24=$F$67,+'7. Weather Senstive Class'!$W$27,IF($B24=$F$68,+'7. Weather Senstive Class'!$AE$27,IF($B24=$F$69,+'7. Weather Senstive Class'!$AM$27,IF($B24=$F$70,+'8. KW and Non-Weather Sensitive'!$E$27,IF($B24=$F$71,+'8. KW and Non-Weather Sensitive'!$P$27,IF($B24=$F$72,+'8. KW and Non-Weather Sensitive'!$Z$27,IF($B24=$F$73,+'8. KW and Non-Weather Sensitive'!$AJ$27,IF($B24=$F$74,+'8. KW and Non-Weather Sensitive'!$AT$27))))))))))</f>
        <v>469307.04</v>
      </c>
      <c r="L25" s="509">
        <f>IF($B24=$F$65,+'7. Weather Senstive Class'!$G$28,IF($B24=$F$66,+'7. Weather Senstive Class'!$O$28,IF($B24=$F$67,+'7. Weather Senstive Class'!$W$28,IF($B24=$F$68,+'7. Weather Senstive Class'!$AE$28,IF($B24=$F$69,+'7. Weather Senstive Class'!$AM$28,IF($B24=$F$70,+'8. KW and Non-Weather Sensitive'!$E$28,IF($B24=$F$71,+'8. KW and Non-Weather Sensitive'!$P$28,IF($B24=$F$72,+'8. KW and Non-Weather Sensitive'!$Z$28,IF($B24=$F$73,+'8. KW and Non-Weather Sensitive'!$AJ$28,IF($B24=$F$74,+'8. KW and Non-Weather Sensitive'!$AT$28))))))))))</f>
        <v>448159.09</v>
      </c>
      <c r="M25" s="509">
        <f>IF($B24=$F$65,+'7. Weather Senstive Class'!$G$29,IF($B24=$F$66,+'7. Weather Senstive Class'!$O$29,IF($B24=$F$67,+'7. Weather Senstive Class'!$W$29,IF($B24=$F$68,+'7. Weather Senstive Class'!$AE$29,IF($B24=$F$69,+'7. Weather Senstive Class'!$AM$29,IF($B24=$F$70,+'8. KW and Non-Weather Sensitive'!$E$29,IF($B24=$F$71,+'8. KW and Non-Weather Sensitive'!$P$29,IF($B24=$F$72,+'8. KW and Non-Weather Sensitive'!$Z$29,IF($B24=$F$73,+'8. KW and Non-Weather Sensitive'!$AJ$29,IF($B24=$F$74,+'8. KW and Non-Weather Sensitive'!$AT$29))))))))))</f>
        <v>453470.7</v>
      </c>
      <c r="N25" s="509">
        <f>IF($B24=$F$65,+'7. Weather Senstive Class'!$G$30,IF($B24=$F$66,+'7. Weather Senstive Class'!$O$30,IF($B24=$F$67,+'7. Weather Senstive Class'!$W$30,IF($B24=$F$68,+'7. Weather Senstive Class'!$AE$30,IF($B24=$F$69,+'7. Weather Senstive Class'!$AM$30,IF($B24=$F$70,+'8. KW and Non-Weather Sensitive'!$E$30,IF($B24=$F$71,+'8. KW and Non-Weather Sensitive'!$P$30,IF($B24=$F$72,+'8. KW and Non-Weather Sensitive'!$Z$30,IF($B24=$F$73,+'8. KW and Non-Weather Sensitive'!$AJ$30,IF($B24=$F$74,+'8. KW and Non-Weather Sensitive'!$AT$30))))))))))</f>
        <v>454406.25</v>
      </c>
      <c r="O25" s="509">
        <f>IF($B24=$F$65,+'7. Weather Senstive Class'!$H$42,IF($B24=$F$66,+'7. Weather Senstive Class'!$P$42,IF($B24=$F$67,+'7. Weather Senstive Class'!$X$42,IF($B24=$F$68,+'7. Weather Senstive Class'!$AF$42,IF($B24=$F$69,+'7. Weather Senstive Class'!$AN$42,IF($B24=$F$70,+'8. KW and Non-Weather Sensitive'!$I$49,IF($B24=$F$71,+'8. KW and Non-Weather Sensitive'!$T$49,IF($B24=$F$72,+'8. KW and Non-Weather Sensitive'!$AD$49,IF($B24=$F$73,+'8. KW and Non-Weather Sensitive'!$AN$49,IF($B24=$F$74,+'8. KW and Non-Weather Sensitive'!$AX$49))))))))))</f>
        <v>453067.96191469493</v>
      </c>
      <c r="P25" s="510">
        <f>IF($B24=$F$65,+'7. Weather Senstive Class'!$H$43,IF($B24=$F$66,+'7. Weather Senstive Class'!$P$43,IF($B24=$F$67,+'7. Weather Senstive Class'!$X$43,IF($B24=$F$68,+'7. Weather Senstive Class'!$AF$43,IF($B24=$F$69,+'7. Weather Senstive Class'!$AN$43,IF($B24=$F$70,+'8. KW and Non-Weather Sensitive'!$I$50,IF($B24=$F$71,+'8. KW and Non-Weather Sensitive'!$T$50,IF($B24=$F$72,+'8. KW and Non-Weather Sensitive'!$AD$50,IF($B24=$F$73,+'8. KW and Non-Weather Sensitive'!$AN$50,IF($B24=$F$74,+'8. KW and Non-Weather Sensitive'!$AX$50))))))))))</f>
        <v>452085.45204830298</v>
      </c>
    </row>
    <row r="26" spans="2:16" x14ac:dyDescent="0.2">
      <c r="B26" s="89"/>
      <c r="C26" s="778"/>
      <c r="D26" s="59" t="s">
        <v>37</v>
      </c>
      <c r="E26" s="407">
        <f>IF(B$24=$F$70,+'8. KW and Non-Weather Sensitive'!$F$21,IF($B24=$F$71,+'8. KW and Non-Weather Sensitive'!$Q$21,IF($B24=$F$72,+'8. KW and Non-Weather Sensitive'!$AA$21,IF($B24=$F$73,+'8. KW and Non-Weather Sensitive'!$AK$21,+IF($B24=$F$74,+'8. KW and Non-Weather Sensitive'!$AU$21,0)))))</f>
        <v>0</v>
      </c>
      <c r="F26" s="407">
        <f>IF($B24=$F$70,+'8. KW and Non-Weather Sensitive'!$F$22,IF($B24=$F$71,+'8. KW and Non-Weather Sensitive'!$Q$22,IF($B24=$F$72,+'8. KW and Non-Weather Sensitive'!$AA$22,IF($B24=$F$73,+'8. KW and Non-Weather Sensitive'!$AK$22,+IF($B24=$F$74,+'8. KW and Non-Weather Sensitive'!$AU$22,0)))))</f>
        <v>0</v>
      </c>
      <c r="G26" s="407">
        <f>IF($B24=$F$70,+'8. KW and Non-Weather Sensitive'!$F$23,IF($B24=$F$71,+'8. KW and Non-Weather Sensitive'!$Q$23,IF($B24=$F$72,+'8. KW and Non-Weather Sensitive'!$AA$23,IF($B24=$F$73,+'8. KW and Non-Weather Sensitive'!$AK$23,+IF($B24=$F$74,+'8. KW and Non-Weather Sensitive'!$AU$23,0)))))</f>
        <v>0</v>
      </c>
      <c r="H26" s="407">
        <f>IF($B24=$F$70,+'8. KW and Non-Weather Sensitive'!$F$24,IF($B24=$F$71,+'8. KW and Non-Weather Sensitive'!$Q$24,IF($B24=$F$72,+'8. KW and Non-Weather Sensitive'!$AA$24,IF($B24=$F$73,+'8. KW and Non-Weather Sensitive'!$AK$24,+IF($B24=$F$74,+'8. KW and Non-Weather Sensitive'!$AU$24,0)))))</f>
        <v>0</v>
      </c>
      <c r="I26" s="407">
        <f>IF($B24=$F$70,+'8. KW and Non-Weather Sensitive'!$F$25,IF($B24=$F$71,+'8. KW and Non-Weather Sensitive'!$Q$25,IF($B24=$F$72,+'8. KW and Non-Weather Sensitive'!$AA$25,IF($B24=$F$73,+'8. KW and Non-Weather Sensitive'!$AK$25,+IF($B24=$F$74,+'8. KW and Non-Weather Sensitive'!$AU$25,0)))))</f>
        <v>0</v>
      </c>
      <c r="J26" s="407">
        <f>IF($B24=$F$70,+'8. KW and Non-Weather Sensitive'!$F$26,IF($B24=$F$71,+'8. KW and Non-Weather Sensitive'!$Q$26,IF($B24=$F$72,+'8. KW and Non-Weather Sensitive'!$AA$26,IF($B24=$F$73,+'8. KW and Non-Weather Sensitive'!$AK$26,+IF($B24=$F$74,+'8. KW and Non-Weather Sensitive'!$AU$26,0)))))</f>
        <v>0</v>
      </c>
      <c r="K26" s="407">
        <f>IF($B24=$F$70,+'8. KW and Non-Weather Sensitive'!$F$27,IF($B24=$F$71,+'8. KW and Non-Weather Sensitive'!$Q$27,IF($B24=$F$72,+'8. KW and Non-Weather Sensitive'!$AA$27,IF($B24=$F$73,+'8. KW and Non-Weather Sensitive'!$AK$27,+IF($B24=$F$74,+'8. KW and Non-Weather Sensitive'!$AU$27,0)))))</f>
        <v>0</v>
      </c>
      <c r="L26" s="407">
        <f>IF($B24=$F$70,+'8. KW and Non-Weather Sensitive'!$F$28,IF($B24=$F$71,+'8. KW and Non-Weather Sensitive'!$Q$28,IF($B24=$F$72,+'8. KW and Non-Weather Sensitive'!$AA$28,IF($B24=$F$73,+'8. KW and Non-Weather Sensitive'!$AK$28,+IF($B24=$F$74,+'8. KW and Non-Weather Sensitive'!$AU$28,0)))))</f>
        <v>0</v>
      </c>
      <c r="M26" s="407">
        <f>IF($B24=$F$70,+'8. KW and Non-Weather Sensitive'!$F$29,IF($B24=$F$71,+'8. KW and Non-Weather Sensitive'!$Q$29,IF($B24=$F$72,+'8. KW and Non-Weather Sensitive'!$AA$29,IF($B24=$F$73,+'8. KW and Non-Weather Sensitive'!$AK$29,+IF($B24=$F$74,+'8. KW and Non-Weather Sensitive'!$AU$29,0)))))</f>
        <v>0</v>
      </c>
      <c r="N26" s="407">
        <f>IF($B24=$F$70,+'8. KW and Non-Weather Sensitive'!$F$30,IF($B24=$F$71,+'8. KW and Non-Weather Sensitive'!$Q$30,IF($B24=$F$72,+'8. KW and Non-Weather Sensitive'!$AA$30,IF($B24=$F$73,+'8. KW and Non-Weather Sensitive'!$AK$30,+IF($B24=$F$74,+'8. KW and Non-Weather Sensitive'!$AU$30,0)))))</f>
        <v>0</v>
      </c>
      <c r="O26" s="407">
        <f>IF($B24=$F$70,+'8. KW and Non-Weather Sensitive'!$J$49,IF($B24=$F$71,+'8. KW and Non-Weather Sensitive'!$U$49,IF($B24=$F$72,+'8. KW and Non-Weather Sensitive'!$AE$49,IF($B24=$F$73,+'8. KW and Non-Weather Sensitive'!$AO$49,+IF($B24=$F$74,+'8. KW and Non-Weather Sensitive'!$AY$49,0)))))</f>
        <v>0</v>
      </c>
      <c r="P26" s="511">
        <f>IF($B24=$F$70,+'8. KW and Non-Weather Sensitive'!$J$50,IF($B24=$F$71,+'8. KW and Non-Weather Sensitive'!$U$50,IF($B24=$F$72,+'8. KW and Non-Weather Sensitive'!$AE$50,IF($B24=$F$73,+'8. KW and Non-Weather Sensitive'!$AO$50,+IF($B24=$F$74,+'8. KW and Non-Weather Sensitive'!$AY$50,0)))))</f>
        <v>0</v>
      </c>
    </row>
    <row r="27" spans="2:16" x14ac:dyDescent="0.2">
      <c r="B27" s="89"/>
      <c r="C27" s="778"/>
      <c r="D27" s="59"/>
      <c r="E27" s="407"/>
      <c r="F27" s="407"/>
      <c r="G27" s="407"/>
      <c r="H27" s="407"/>
      <c r="I27" s="407"/>
      <c r="J27" s="407"/>
      <c r="K27" s="407"/>
      <c r="L27" s="407"/>
      <c r="M27" s="407"/>
      <c r="N27" s="407"/>
      <c r="O27" s="408"/>
      <c r="P27" s="409"/>
    </row>
    <row r="28" spans="2:16" x14ac:dyDescent="0.2">
      <c r="B28" s="762" t="s">
        <v>269</v>
      </c>
      <c r="C28" s="777" t="str">
        <f>IF($B28=$F$65,+$B$65,+IF($B28=$F$66,+$B$66,+IF($B28=$F$67,+$B$67,+IF($B28=$F$67,$B$67,+IF($B28=$F$68,+$B$68,+IF($B28=$F$69,+$B$69,+IF($B28=$F$70,+$B$70,+IF($B28=$F$71,+$B$71,+IF($B28=$F$72,+$B$72,+IF($B28=$F$73,+$B$73,+IF($B28=$F$74,+$B$74)))))))))))</f>
        <v>General Service &gt; 50 kW - 4999 kW</v>
      </c>
      <c r="D28" s="59" t="s">
        <v>131</v>
      </c>
      <c r="E28" s="509">
        <f>IF($C28='4. Customer Growth'!$C$15,+'4. Customer Growth'!$C$17,+IF($C28='4. Customer Growth'!$E$15,+'4. Customer Growth'!$E$17,+IF($C28='4. Customer Growth'!$G$15,+'4. Customer Growth'!$G$17,+IF($C28='4. Customer Growth'!$I$15,+'4. Customer Growth'!$I$17,+IF($C28='4. Customer Growth'!$K$15,+'4. Customer Growth'!$K$17,+IF($C28='4. Customer Growth'!$M$15,+'4. Customer Growth'!$M$17,IF($C28='4. Customer Growth'!$O$15,+'4. Customer Growth'!$O$17)))))))</f>
        <v>134</v>
      </c>
      <c r="F28" s="509">
        <f>IF($C28='4. Customer Growth'!$C$15,+'4. Customer Growth'!$C$18,+IF($C28='4. Customer Growth'!$E$15,+'4. Customer Growth'!$E$18,+IF($C28='4. Customer Growth'!$G$15,+'4. Customer Growth'!$G$18,+IF($C28='4. Customer Growth'!$I$15,+'4. Customer Growth'!$I$18,+IF($C28='4. Customer Growth'!$K$15,+'4. Customer Growth'!$K$18,+IF($C28='4. Customer Growth'!$M$15,+'4. Customer Growth'!$M$18,IF($C28='4. Customer Growth'!$O$15,+'4. Customer Growth'!$O$18)))))))</f>
        <v>136</v>
      </c>
      <c r="G28" s="509">
        <f>IF($C28='4. Customer Growth'!$C$15,+'4. Customer Growth'!$C$19,+IF($C28='4. Customer Growth'!$E$15,+'4. Customer Growth'!$E$19,+IF($C28='4. Customer Growth'!$G$15,+'4. Customer Growth'!$G$19,+IF($C28='4. Customer Growth'!$I$15,+'4. Customer Growth'!$I$19,+IF($C28='4. Customer Growth'!$K$15,+'4. Customer Growth'!$K$19,+IF($C28='4. Customer Growth'!$M$15,+'4. Customer Growth'!$M$19,IF($C28='4. Customer Growth'!$O$15,+'4. Customer Growth'!$O$19)))))))</f>
        <v>136</v>
      </c>
      <c r="H28" s="509">
        <f>IF($C28='4. Customer Growth'!$C$15,+'4. Customer Growth'!$C$20,+IF($C28='4. Customer Growth'!$E$15,+'4. Customer Growth'!$E$20,+IF($C28='4. Customer Growth'!$G$15,+'4. Customer Growth'!$G$20,+IF($C28='4. Customer Growth'!$I$15,+'4. Customer Growth'!$I$20,+IF($C28='4. Customer Growth'!$K$15,+'4. Customer Growth'!$K$20,+IF($C28='4. Customer Growth'!$M$15,+'4. Customer Growth'!$M$20,IF($C28='4. Customer Growth'!$O$15,+'4. Customer Growth'!$O$20)))))))</f>
        <v>143</v>
      </c>
      <c r="I28" s="509">
        <f>IF($C28='4. Customer Growth'!$C$15,+'4. Customer Growth'!$C$21,+IF($C28='4. Customer Growth'!$E$15,+'4. Customer Growth'!$E$21,+IF($C28='4. Customer Growth'!$G$15,+'4. Customer Growth'!$G$21,+IF($C28='4. Customer Growth'!$I$15,+'4. Customer Growth'!$I$21,+IF($C28='4. Customer Growth'!$K$15,+'4. Customer Growth'!$K$21,+IF($C28='4. Customer Growth'!$M$15,+'4. Customer Growth'!$M$21,IF($C28='4. Customer Growth'!$O$15,+'4. Customer Growth'!$O$21)))))))</f>
        <v>144</v>
      </c>
      <c r="J28" s="509">
        <f>IF($C28='4. Customer Growth'!$C$15,+'4. Customer Growth'!$C$22,+IF($C28='4. Customer Growth'!$E$15,+'4. Customer Growth'!$E$22,+IF($C28='4. Customer Growth'!$G$15,+'4. Customer Growth'!$G$22,+IF($C28='4. Customer Growth'!$I$15,+'4. Customer Growth'!$I$22,+IF($C28='4. Customer Growth'!$K$15,+'4. Customer Growth'!$K$22,+IF($C28='4. Customer Growth'!$M$15,+'4. Customer Growth'!$M$22,IF($C28='4. Customer Growth'!$O$15,+'4. Customer Growth'!$O$22)))))))</f>
        <v>148</v>
      </c>
      <c r="K28" s="509">
        <f>IF($C28='4. Customer Growth'!$C$15,+'4. Customer Growth'!$C$23,+IF($C28='4. Customer Growth'!$E$15,+'4. Customer Growth'!$E$23,+IF($C28='4. Customer Growth'!$G$15,+'4. Customer Growth'!$G$23,+IF($C28='4. Customer Growth'!$I$15,+'4. Customer Growth'!$I$23,+IF($C28='4. Customer Growth'!$K$15,+'4. Customer Growth'!$K$23,+IF($C28='4. Customer Growth'!$M$15,+'4. Customer Growth'!$M$23,IF($C28='4. Customer Growth'!$O$15,+'4. Customer Growth'!$O$23)))))))</f>
        <v>145</v>
      </c>
      <c r="L28" s="509">
        <f>IF($C28='4. Customer Growth'!$C$15,+'4. Customer Growth'!$C$24,+IF($C28='4. Customer Growth'!$E$15,+'4. Customer Growth'!$E$24,+IF($C28='4. Customer Growth'!$G$15,+'4. Customer Growth'!$G$24,+IF($C28='4. Customer Growth'!$I$15,+'4. Customer Growth'!$I$24,+IF($C28='4. Customer Growth'!$K$15,+'4. Customer Growth'!$K$24,+IF($C28='4. Customer Growth'!$M$15,+'4. Customer Growth'!$M$24,IF($C28='4. Customer Growth'!$O$15,+'4. Customer Growth'!$O$24)))))))</f>
        <v>145</v>
      </c>
      <c r="M28" s="509">
        <f>IF($C28='4. Customer Growth'!$C$15,+'4. Customer Growth'!$C$25,+IF($C28='4. Customer Growth'!$E$15,+'4. Customer Growth'!$E$25,+IF($C28='4. Customer Growth'!$G$15,+'4. Customer Growth'!$G$25,+IF($C28='4. Customer Growth'!$I$15,+'4. Customer Growth'!$I$25,+IF($C28='4. Customer Growth'!$K$15,+'4. Customer Growth'!$K$25,+IF($C28='4. Customer Growth'!$M$15,+'4. Customer Growth'!$M$25,IF($C28='4. Customer Growth'!$O$15,+'4. Customer Growth'!$O$25)))))))</f>
        <v>145.5</v>
      </c>
      <c r="N28" s="509">
        <f>IF($C28='4. Customer Growth'!$C$15,+'4. Customer Growth'!$C$26,+IF($C28='4. Customer Growth'!$E$15,+'4. Customer Growth'!$E$26,+IF($C28='4. Customer Growth'!$G$15,+'4. Customer Growth'!$G$26,+IF($C28='4. Customer Growth'!$I$15,+'4. Customer Growth'!$I$26,+IF($C28='4. Customer Growth'!$K$15,+'4. Customer Growth'!$K$26,+IF($C28='4. Customer Growth'!$M$15,+'4. Customer Growth'!$M$26,IF($C28='4. Customer Growth'!$O$15,+'4. Customer Growth'!$O$26)))))))</f>
        <v>146.5</v>
      </c>
      <c r="O28" s="509">
        <f>IF($C28='4. Customer Growth'!$C$15,+'4. Customer Growth'!$C$42,+IF($C28='4. Customer Growth'!$E$15,+'4. Customer Growth'!$E$42,+IF($C28='4. Customer Growth'!$G$15,+'4. Customer Growth'!$G$42,+IF($C28='4. Customer Growth'!$I$15,+'4. Customer Growth'!$I$42,+IF($C28='4. Customer Growth'!$K$15,+'4. Customer Growth'!$K$42,+IF($C28='4. Customer Growth'!$M$15,+'4. Customer Growth'!$M$42,IF($C28='4. Customer Growth'!$O$15,+'4. Customer Growth'!$O$42)))))))</f>
        <v>146</v>
      </c>
      <c r="P28" s="510">
        <f>IF($C28='4. Customer Growth'!$C$15,+'4. Customer Growth'!$C$43,+IF($C28='4. Customer Growth'!$E$15,+'4. Customer Growth'!$E$43,+IF($C28='4. Customer Growth'!$G$15,+'4. Customer Growth'!$G$43,+IF($C28='4. Customer Growth'!$I$15,+'4. Customer Growth'!$I$43,+IF($C28='4. Customer Growth'!$K$15,+'4. Customer Growth'!$K$43,+IF($C28='4. Customer Growth'!$M$15,+'4. Customer Growth'!$M$43,IF($C28='4. Customer Growth'!$O$15,+'4. Customer Growth'!$O$43)))))))</f>
        <v>148</v>
      </c>
    </row>
    <row r="29" spans="2:16" x14ac:dyDescent="0.2">
      <c r="B29" s="89"/>
      <c r="C29" s="778"/>
      <c r="D29" s="59" t="s">
        <v>36</v>
      </c>
      <c r="E29" s="509">
        <f>IF($B28=$F$65,+'7. Weather Senstive Class'!$G$21,IF($B28=$F$66,+'7. Weather Senstive Class'!$O$21,IF($B28=$F$67,+'7. Weather Senstive Class'!$W$21,IF($B28=$F$68,+'7. Weather Senstive Class'!$AE$21,IF($B28=$F$69,+'7. Weather Senstive Class'!$AM$21,IF($B28=$F$70,+'8. KW and Non-Weather Sensitive'!$E$21,IF($B28=$F$71,+'8. KW and Non-Weather Sensitive'!$P$21,IF($B28=$F$72,+'8. KW and Non-Weather Sensitive'!$Z$21,IF($B28=$F$73,+'8. KW and Non-Weather Sensitive'!$AJ$21,IF($B28=$F$74,+'8. KW and Non-Weather Sensitive'!$AT$21))))))))))</f>
        <v>74429057</v>
      </c>
      <c r="F29" s="509">
        <f>IF($B28=$F$65,+'7. Weather Senstive Class'!$G$22,IF($B28=$F$66,+'7. Weather Senstive Class'!$O$22,IF($B28=$F$67,+'7. Weather Senstive Class'!$W$22,IF($B28=$F$68,+'7. Weather Senstive Class'!$AE$22,IF($B28=$F$69,+'7. Weather Senstive Class'!$AM$22,IF($B28=$F$70,+'8. KW and Non-Weather Sensitive'!$E$22,IF($B28=$F$71,+'8. KW and Non-Weather Sensitive'!$P$22,IF($B28=$F$72,+'8. KW and Non-Weather Sensitive'!$Z$22,IF($B28=$F$73,+'8. KW and Non-Weather Sensitive'!$AJ$22,IF($B28=$F$74,+'8. KW and Non-Weather Sensitive'!$AT$22))))))))))</f>
        <v>75435895</v>
      </c>
      <c r="G29" s="509">
        <f>IF($B28=$F$65,+'7. Weather Senstive Class'!$G$23,IF($B28=$F$66,+'7. Weather Senstive Class'!$O$23,IF($B28=$F$67,+'7. Weather Senstive Class'!$W$23,IF($B28=$F$68,+'7. Weather Senstive Class'!$AE$23,IF($B28=$F$69,+'7. Weather Senstive Class'!$AM$23,IF($B28=$F$70,+'8. KW and Non-Weather Sensitive'!$E$23,IF($B28=$F$71,+'8. KW and Non-Weather Sensitive'!$P$23,IF($B28=$F$72,+'8. KW and Non-Weather Sensitive'!$Z$23,IF($B28=$F$73,+'8. KW and Non-Weather Sensitive'!$AJ$23,IF($B28=$F$74,+'8. KW and Non-Weather Sensitive'!$AT$23))))))))))</f>
        <v>78527667</v>
      </c>
      <c r="H29" s="509">
        <f>IF($B28=$F$65,+'7. Weather Senstive Class'!$G$24,IF($B28=$F$66,+'7. Weather Senstive Class'!$O$24,IF($B28=$F$67,+'7. Weather Senstive Class'!$W$24,IF($B28=$F$68,+'7. Weather Senstive Class'!$AE$24,IF($B28=$F$69,+'7. Weather Senstive Class'!$AM$24,IF($B28=$F$70,+'8. KW and Non-Weather Sensitive'!$E$24,IF($B28=$F$71,+'8. KW and Non-Weather Sensitive'!$P$24,IF($B28=$F$72,+'8. KW and Non-Weather Sensitive'!$Z$24,IF($B28=$F$73,+'8. KW and Non-Weather Sensitive'!$AJ$24,IF($B28=$F$74,+'8. KW and Non-Weather Sensitive'!$AT$24))))))))))</f>
        <v>78693630</v>
      </c>
      <c r="I29" s="509">
        <f>IF($B28=$F$65,+'7. Weather Senstive Class'!$G$25,IF($B28=$F$66,+'7. Weather Senstive Class'!$O$25,IF($B28=$F$67,+'7. Weather Senstive Class'!$W$25,IF($B28=$F$68,+'7. Weather Senstive Class'!$AE$25,IF($B28=$F$69,+'7. Weather Senstive Class'!$AM$25,IF($B28=$F$70,+'8. KW and Non-Weather Sensitive'!$E$25,IF($B28=$F$71,+'8. KW and Non-Weather Sensitive'!$P$25,IF($B28=$F$72,+'8. KW and Non-Weather Sensitive'!$Z$25,IF($B28=$F$73,+'8. KW and Non-Weather Sensitive'!$AJ$25,IF($B28=$F$74,+'8. KW and Non-Weather Sensitive'!$AT$25))))))))))</f>
        <v>78622635.780000001</v>
      </c>
      <c r="J29" s="509">
        <f>IF($B28=$F$65,+'7. Weather Senstive Class'!$G$26,IF($B28=$F$66,+'7. Weather Senstive Class'!$O$26,IF($B28=$F$67,+'7. Weather Senstive Class'!$M$26,IF($B28=$F$68,+'7. Weather Senstive Class'!$AE$26,IF($B28=$F$69,+'7. Weather Senstive Class'!$AM$26,IF($B28=$F$70,+'8. KW and Non-Weather Sensitive'!$E$26,IF($B28=$F$71,+'8. KW and Non-Weather Sensitive'!$P$26,IF($B28=$F$72,+'8. KW and Non-Weather Sensitive'!$Z$26,IF($B28=$F$73,+'8. KW and Non-Weather Sensitive'!$AJ$26,IF($B28=$F$74,+'8. KW and Non-Weather Sensitive'!$AT$26))))))))))</f>
        <v>76510234.719999999</v>
      </c>
      <c r="K29" s="509">
        <f>IF($B28=$F$65,+'7. Weather Senstive Class'!$G$27,IF($B28=$F$66,+'7. Weather Senstive Class'!$O$27,IF($B28=$F$67,+'7. Weather Senstive Class'!$W$27,IF($B28=$F$68,+'7. Weather Senstive Class'!$AE$27,IF($B28=$F$69,+'7. Weather Senstive Class'!$AM$27,IF($B28=$F$70,+'8. KW and Non-Weather Sensitive'!$E$27,IF($B28=$F$71,+'8. KW and Non-Weather Sensitive'!$P$27,IF($B28=$F$72,+'8. KW and Non-Weather Sensitive'!$Z$27,IF($B28=$F$73,+'8. KW and Non-Weather Sensitive'!$AJ$27,IF($B28=$F$74,+'8. KW and Non-Weather Sensitive'!$AT$27))))))))))</f>
        <v>74853997.430000007</v>
      </c>
      <c r="L29" s="509">
        <f>IF($B28=$F$65,+'7. Weather Senstive Class'!$G$28,IF($B28=$F$66,+'7. Weather Senstive Class'!$O$28,IF($B28=$F$67,+'7. Weather Senstive Class'!$W$28,IF($B28=$F$68,+'7. Weather Senstive Class'!$AE$28,IF($B28=$F$69,+'7. Weather Senstive Class'!$AM$28,IF($B28=$F$70,+'8. KW and Non-Weather Sensitive'!$E$28,IF($B28=$F$71,+'8. KW and Non-Weather Sensitive'!$P$28,IF($B28=$F$72,+'8. KW and Non-Weather Sensitive'!$Z$28,IF($B28=$F$73,+'8. KW and Non-Weather Sensitive'!$AJ$28,IF($B28=$F$74,+'8. KW and Non-Weather Sensitive'!$AT$28))))))))))</f>
        <v>74516293.329999998</v>
      </c>
      <c r="M29" s="509">
        <f>IF($B28=$F$65,+'7. Weather Senstive Class'!$G$29,IF($B28=$F$66,+'7. Weather Senstive Class'!$O$29,IF($B28=$F$67,+'7. Weather Senstive Class'!$W$29,IF($B28=$F$68,+'7. Weather Senstive Class'!$AE$29,IF($B28=$F$69,+'7. Weather Senstive Class'!$AM$29,IF($B28=$F$70,+'8. KW and Non-Weather Sensitive'!$E$29,IF($B28=$F$71,+'8. KW and Non-Weather Sensitive'!$P$29,IF($B28=$F$72,+'8. KW and Non-Weather Sensitive'!$Z$29,IF($B28=$F$73,+'8. KW and Non-Weather Sensitive'!$AJ$29,IF($B28=$F$74,+'8. KW and Non-Weather Sensitive'!$AT$29))))))))))</f>
        <v>73596923.409999996</v>
      </c>
      <c r="N29" s="509">
        <f>IF($B28=$F$65,+'7. Weather Senstive Class'!$G$30,IF($B28=$F$66,+'7. Weather Senstive Class'!$O$30,IF($B28=$F$67,+'7. Weather Senstive Class'!$W$30,IF($B28=$F$68,+'7. Weather Senstive Class'!$AE$30,IF($B28=$F$69,+'7. Weather Senstive Class'!$AM$30,IF($B28=$F$70,+'8. KW and Non-Weather Sensitive'!$E$30,IF($B28=$F$71,+'8. KW and Non-Weather Sensitive'!$P$30,IF($B28=$F$72,+'8. KW and Non-Weather Sensitive'!$Z$30,IF($B28=$F$73,+'8. KW and Non-Weather Sensitive'!$AJ$30,IF($B28=$F$74,+'8. KW and Non-Weather Sensitive'!$AT$30))))))))))</f>
        <v>72512848.979999989</v>
      </c>
      <c r="O29" s="509">
        <f>IF($B28=$F$65,+'7. Weather Senstive Class'!$H$42,IF($B28=$F$66,+'7. Weather Senstive Class'!$P$42,IF($B28=$F$67,+'7. Weather Senstive Class'!$X$42,IF($B28=$F$68,+'7. Weather Senstive Class'!$AF$42,IF($B28=$F$69,+'7. Weather Senstive Class'!$AN$42,IF($B28=$F$70,+'8. KW and Non-Weather Sensitive'!$I$49,IF($B28=$F$71,+'8. KW and Non-Weather Sensitive'!$T$49,IF($B28=$F$72,+'8. KW and Non-Weather Sensitive'!$AD$49,IF($B28=$F$73,+'8. KW and Non-Weather Sensitive'!$AN$49,IF($B28=$F$74,+'8. KW and Non-Weather Sensitive'!$AX$49))))))))))</f>
        <v>72299288.797186792</v>
      </c>
      <c r="P29" s="510">
        <f>IF($B28=$F$65,+'7. Weather Senstive Class'!$H$43,IF($B28=$F$66,+'7. Weather Senstive Class'!$P$43,IF($B28=$F$67,+'7. Weather Senstive Class'!$X$43,IF($B28=$F$68,+'7. Weather Senstive Class'!$AF$43,IF($B28=$F$69,+'7. Weather Senstive Class'!$AN$43,IF($B28=$F$70,+'8. KW and Non-Weather Sensitive'!$I$50,IF($B28=$F$71,+'8. KW and Non-Weather Sensitive'!$T$50,IF($B28=$F$72,+'8. KW and Non-Weather Sensitive'!$AD$50,IF($B28=$F$73,+'8. KW and Non-Weather Sensitive'!$AN$50,IF($B28=$F$74,+'8. KW and Non-Weather Sensitive'!$AX$50))))))))))</f>
        <v>72142502.684401065</v>
      </c>
    </row>
    <row r="30" spans="2:16" x14ac:dyDescent="0.2">
      <c r="B30" s="89"/>
      <c r="C30" s="778"/>
      <c r="D30" s="59" t="s">
        <v>37</v>
      </c>
      <c r="E30" s="407">
        <f>IF(B$28=$F$70,+'8. KW and Non-Weather Sensitive'!$F$21,IF($B28=$F$71,+'8. KW and Non-Weather Sensitive'!$Q$21,IF($B28=$F$72,+'8. KW and Non-Weather Sensitive'!$AA$21,IF($B28=$F$73,+'8. KW and Non-Weather Sensitive'!$AK$21,+IF($B28=$F$74,+'8. KW and Non-Weather Sensitive'!$AU$21,0)))))</f>
        <v>212943</v>
      </c>
      <c r="F30" s="407">
        <f>IF($B28=$F$70,+'8. KW and Non-Weather Sensitive'!$F$22,IF($B28=$F$71,+'8. KW and Non-Weather Sensitive'!$Q$22,IF($B28=$F$72,+'8. KW and Non-Weather Sensitive'!$AA$22,IF($B28=$F$73,+'8. KW and Non-Weather Sensitive'!$AK$22,+IF($B28=$F$74,+'8. KW and Non-Weather Sensitive'!$AU$22,0)))))</f>
        <v>207000</v>
      </c>
      <c r="G30" s="407">
        <f>IF($B28=$F$70,+'8. KW and Non-Weather Sensitive'!$F$23,IF($B28=$F$71,+'8. KW and Non-Weather Sensitive'!$Q$23,IF($B28=$F$72,+'8. KW and Non-Weather Sensitive'!$AA$23,IF($B28=$F$73,+'8. KW and Non-Weather Sensitive'!$AK$23,+IF($B28=$F$74,+'8. KW and Non-Weather Sensitive'!$AU$23,0)))))</f>
        <v>213039</v>
      </c>
      <c r="H30" s="407">
        <f>IF($B28=$F$70,+'8. KW and Non-Weather Sensitive'!$F$24,IF($B28=$F$71,+'8. KW and Non-Weather Sensitive'!$Q$24,IF($B28=$F$72,+'8. KW and Non-Weather Sensitive'!$AA$24,IF($B28=$F$73,+'8. KW and Non-Weather Sensitive'!$AK$24,+IF($B28=$F$74,+'8. KW and Non-Weather Sensitive'!$AU$24,0)))))</f>
        <v>202855</v>
      </c>
      <c r="I30" s="407">
        <f>IF($B28=$F$70,+'8. KW and Non-Weather Sensitive'!$F$25,IF($B28=$F$71,+'8. KW and Non-Weather Sensitive'!$Q$25,IF($B28=$F$72,+'8. KW and Non-Weather Sensitive'!$AA$25,IF($B28=$F$73,+'8. KW and Non-Weather Sensitive'!$AK$25,+IF($B28=$F$74,+'8. KW and Non-Weather Sensitive'!$AU$25,0)))))</f>
        <v>209853</v>
      </c>
      <c r="J30" s="407">
        <f>IF($B28=$F$70,+'8. KW and Non-Weather Sensitive'!$F$26,IF($B28=$F$71,+'8. KW and Non-Weather Sensitive'!$Q$26,IF($B28=$F$72,+'8. KW and Non-Weather Sensitive'!$AA$26,IF($B28=$F$73,+'8. KW and Non-Weather Sensitive'!$AK$26,+IF($B28=$F$74,+'8. KW and Non-Weather Sensitive'!$AU$26,0)))))</f>
        <v>202775</v>
      </c>
      <c r="K30" s="407">
        <f>IF($B28=$F$70,+'8. KW and Non-Weather Sensitive'!$F$27,IF($B28=$F$71,+'8. KW and Non-Weather Sensitive'!$Q$27,IF($B28=$F$72,+'8. KW and Non-Weather Sensitive'!$AA$27,IF($B28=$F$73,+'8. KW and Non-Weather Sensitive'!$AK$27,+IF($B28=$F$74,+'8. KW and Non-Weather Sensitive'!$AU$27,0)))))</f>
        <v>203575</v>
      </c>
      <c r="L30" s="407">
        <f>IF($B28=$F$70,+'8. KW and Non-Weather Sensitive'!$F$28,IF($B28=$F$71,+'8. KW and Non-Weather Sensitive'!$Q$28,IF($B28=$F$72,+'8. KW and Non-Weather Sensitive'!$AA$28,IF($B28=$F$73,+'8. KW and Non-Weather Sensitive'!$AK$28,+IF($B28=$F$74,+'8. KW and Non-Weather Sensitive'!$AU$28,0)))))</f>
        <v>207916</v>
      </c>
      <c r="M30" s="407">
        <f>IF($B28=$F$70,+'8. KW and Non-Weather Sensitive'!$F$29,IF($B28=$F$71,+'8. KW and Non-Weather Sensitive'!$Q$29,IF($B28=$F$72,+'8. KW and Non-Weather Sensitive'!$AA$29,IF($B28=$F$73,+'8. KW and Non-Weather Sensitive'!$AK$29,+IF($B28=$F$74,+'8. KW and Non-Weather Sensitive'!$AU$29,0)))))</f>
        <v>216501</v>
      </c>
      <c r="N30" s="407">
        <f>IF($B28=$F$70,+'8. KW and Non-Weather Sensitive'!$F$30,IF($B28=$F$71,+'8. KW and Non-Weather Sensitive'!$Q$30,IF($B28=$F$72,+'8. KW and Non-Weather Sensitive'!$AA$30,IF($B28=$F$73,+'8. KW and Non-Weather Sensitive'!$AK$30,+IF($B28=$F$74,+'8. KW and Non-Weather Sensitive'!$AU$30,0)))))</f>
        <v>206399</v>
      </c>
      <c r="O30" s="407">
        <f>IF($B28=$F$70,+'8. KW and Non-Weather Sensitive'!$J$49,IF($B28=$F$71,+'8. KW and Non-Weather Sensitive'!$U$49,IF($B28=$F$72,+'8. KW and Non-Weather Sensitive'!$AE$49,IF($B28=$F$73,+'8. KW and Non-Weather Sensitive'!$AO$49,+IF($B28=$F$74,+'8. KW and Non-Weather Sensitive'!$AY$49,0)))))</f>
        <v>198917.84757842109</v>
      </c>
      <c r="P30" s="511">
        <f>IF($B28=$F$70,+'8. KW and Non-Weather Sensitive'!$J$50,IF($B28=$F$71,+'8. KW and Non-Weather Sensitive'!$U$50,IF($B28=$F$72,+'8. KW and Non-Weather Sensitive'!$AE$50,IF($B28=$F$73,+'8. KW and Non-Weather Sensitive'!$AO$50,+IF($B28=$F$74,+'8. KW and Non-Weather Sensitive'!$AY$50,0)))))</f>
        <v>198486.48018042342</v>
      </c>
    </row>
    <row r="31" spans="2:16" x14ac:dyDescent="0.2">
      <c r="B31" s="89"/>
      <c r="C31" s="778"/>
      <c r="D31" s="59"/>
      <c r="E31" s="407"/>
      <c r="F31" s="407"/>
      <c r="G31" s="407"/>
      <c r="H31" s="407"/>
      <c r="I31" s="407"/>
      <c r="J31" s="407"/>
      <c r="K31" s="407"/>
      <c r="L31" s="407"/>
      <c r="M31" s="407"/>
      <c r="N31" s="407"/>
      <c r="O31" s="408"/>
      <c r="P31" s="409"/>
    </row>
    <row r="32" spans="2:16" x14ac:dyDescent="0.2">
      <c r="B32" s="762" t="s">
        <v>241</v>
      </c>
      <c r="C32" s="777" t="str">
        <f>IF($B32=$F$65,+$B$65,+IF($B32=$F$66,+$B$66,+IF($B32=$F$67,+$B$67,+IF($B32=$F$67,$B$67,+IF($B32=$F$68,+$B$68,+IF($B32=$F$69,+$B$69,+IF($B32=$F$70,+$B$70,+IF($B32=$F$71,+$B$71,+IF($B32=$F$72,+$B$72,+IF($B32=$F$73,+$B$73,+IF($B32=$F$74,+$B$74)))))))))))</f>
        <v>Streetlighting</v>
      </c>
      <c r="D32" s="59" t="s">
        <v>131</v>
      </c>
      <c r="E32" s="509">
        <f>IF($C32='4. Customer Growth'!$C$15,+'4. Customer Growth'!$C$17,+IF($C32='4. Customer Growth'!$E$15,+'4. Customer Growth'!$E$17,+IF($C32='4. Customer Growth'!$G$15,+'4. Customer Growth'!$G$17,+IF($C32='4. Customer Growth'!$I$15,+'4. Customer Growth'!$I$17,+IF($C32='4. Customer Growth'!$K$15,+'4. Customer Growth'!$K$17,+IF($C32='4. Customer Growth'!$M$15,+'4. Customer Growth'!$M$17,IF($C32='4. Customer Growth'!$O$15,+'4. Customer Growth'!$O$17)))))))</f>
        <v>2604</v>
      </c>
      <c r="F32" s="509">
        <f>IF($C32='4. Customer Growth'!$C$15,+'4. Customer Growth'!$C$18,+IF($C32='4. Customer Growth'!$E$15,+'4. Customer Growth'!$E$18,+IF($C32='4. Customer Growth'!$G$15,+'4. Customer Growth'!$G$18,+IF($C32='4. Customer Growth'!$I$15,+'4. Customer Growth'!$I$18,+IF($C32='4. Customer Growth'!$K$15,+'4. Customer Growth'!$K$18,+IF($C32='4. Customer Growth'!$M$15,+'4. Customer Growth'!$M$18,IF($C32='4. Customer Growth'!$O$15,+'4. Customer Growth'!$O$18)))))))</f>
        <v>2635</v>
      </c>
      <c r="G32" s="509">
        <f>IF($C32='4. Customer Growth'!$C$15,+'4. Customer Growth'!$C$19,+IF($C32='4. Customer Growth'!$E$15,+'4. Customer Growth'!$E$19,+IF($C32='4. Customer Growth'!$G$15,+'4. Customer Growth'!$G$19,+IF($C32='4. Customer Growth'!$I$15,+'4. Customer Growth'!$I$19,+IF($C32='4. Customer Growth'!$K$15,+'4. Customer Growth'!$K$19,+IF($C32='4. Customer Growth'!$M$15,+'4. Customer Growth'!$M$19,IF($C32='4. Customer Growth'!$O$15,+'4. Customer Growth'!$O$19)))))))</f>
        <v>2648</v>
      </c>
      <c r="H32" s="509">
        <f>IF($C32='4. Customer Growth'!$C$15,+'4. Customer Growth'!$C$20,+IF($C32='4. Customer Growth'!$E$15,+'4. Customer Growth'!$E$20,+IF($C32='4. Customer Growth'!$G$15,+'4. Customer Growth'!$G$20,+IF($C32='4. Customer Growth'!$I$15,+'4. Customer Growth'!$I$20,+IF($C32='4. Customer Growth'!$K$15,+'4. Customer Growth'!$K$20,+IF($C32='4. Customer Growth'!$M$15,+'4. Customer Growth'!$M$20,IF($C32='4. Customer Growth'!$O$15,+'4. Customer Growth'!$O$20)))))))</f>
        <v>2653</v>
      </c>
      <c r="I32" s="509">
        <f>IF($C32='4. Customer Growth'!$C$15,+'4. Customer Growth'!$C$21,+IF($C32='4. Customer Growth'!$E$15,+'4. Customer Growth'!$E$21,+IF($C32='4. Customer Growth'!$G$15,+'4. Customer Growth'!$G$21,+IF($C32='4. Customer Growth'!$I$15,+'4. Customer Growth'!$I$21,+IF($C32='4. Customer Growth'!$K$15,+'4. Customer Growth'!$K$21,+IF($C32='4. Customer Growth'!$M$15,+'4. Customer Growth'!$M$21,IF($C32='4. Customer Growth'!$O$15,+'4. Customer Growth'!$O$21)))))))</f>
        <v>2701</v>
      </c>
      <c r="J32" s="509">
        <f>IF($C32='4. Customer Growth'!$C$15,+'4. Customer Growth'!$C$22,+IF($C32='4. Customer Growth'!$E$15,+'4. Customer Growth'!$E$22,+IF($C32='4. Customer Growth'!$G$15,+'4. Customer Growth'!$G$22,+IF($C32='4. Customer Growth'!$I$15,+'4. Customer Growth'!$I$22,+IF($C32='4. Customer Growth'!$K$15,+'4. Customer Growth'!$K$22,+IF($C32='4. Customer Growth'!$M$15,+'4. Customer Growth'!$M$22,IF($C32='4. Customer Growth'!$O$15,+'4. Customer Growth'!$O$22)))))))</f>
        <v>2713</v>
      </c>
      <c r="K32" s="509">
        <f>IF($C32='4. Customer Growth'!$C$15,+'4. Customer Growth'!$C$23,+IF($C32='4. Customer Growth'!$E$15,+'4. Customer Growth'!$E$23,+IF($C32='4. Customer Growth'!$G$15,+'4. Customer Growth'!$G$23,+IF($C32='4. Customer Growth'!$I$15,+'4. Customer Growth'!$I$23,+IF($C32='4. Customer Growth'!$K$15,+'4. Customer Growth'!$K$23,+IF($C32='4. Customer Growth'!$M$15,+'4. Customer Growth'!$M$23,IF($C32='4. Customer Growth'!$O$15,+'4. Customer Growth'!$O$23)))))))</f>
        <v>2769</v>
      </c>
      <c r="L32" s="509">
        <f>IF($C32='4. Customer Growth'!$C$15,+'4. Customer Growth'!$C$24,+IF($C32='4. Customer Growth'!$E$15,+'4. Customer Growth'!$E$24,+IF($C32='4. Customer Growth'!$G$15,+'4. Customer Growth'!$G$24,+IF($C32='4. Customer Growth'!$I$15,+'4. Customer Growth'!$I$24,+IF($C32='4. Customer Growth'!$K$15,+'4. Customer Growth'!$K$24,+IF($C32='4. Customer Growth'!$M$15,+'4. Customer Growth'!$M$24,IF($C32='4. Customer Growth'!$O$15,+'4. Customer Growth'!$O$24)))))))</f>
        <v>2774.5</v>
      </c>
      <c r="M32" s="509">
        <f>IF($C32='4. Customer Growth'!$C$15,+'4. Customer Growth'!$C$25,+IF($C32='4. Customer Growth'!$E$15,+'4. Customer Growth'!$E$25,+IF($C32='4. Customer Growth'!$G$15,+'4. Customer Growth'!$G$25,+IF($C32='4. Customer Growth'!$I$15,+'4. Customer Growth'!$I$25,+IF($C32='4. Customer Growth'!$K$15,+'4. Customer Growth'!$K$25,+IF($C32='4. Customer Growth'!$M$15,+'4. Customer Growth'!$M$25,IF($C32='4. Customer Growth'!$O$15,+'4. Customer Growth'!$O$25)))))))</f>
        <v>2787</v>
      </c>
      <c r="N32" s="509">
        <f>IF($C32='4. Customer Growth'!$C$15,+'4. Customer Growth'!$C$26,+IF($C32='4. Customer Growth'!$E$15,+'4. Customer Growth'!$E$26,+IF($C32='4. Customer Growth'!$G$15,+'4. Customer Growth'!$G$26,+IF($C32='4. Customer Growth'!$I$15,+'4. Customer Growth'!$I$26,+IF($C32='4. Customer Growth'!$K$15,+'4. Customer Growth'!$K$26,+IF($C32='4. Customer Growth'!$M$15,+'4. Customer Growth'!$M$26,IF($C32='4. Customer Growth'!$O$15,+'4. Customer Growth'!$O$26)))))))</f>
        <v>2802.5</v>
      </c>
      <c r="O32" s="509">
        <f>IF($C32='4. Customer Growth'!$C$15,+'4. Customer Growth'!$C$42,+IF($C32='4. Customer Growth'!$E$15,+'4. Customer Growth'!$E$42,+IF($C32='4. Customer Growth'!$G$15,+'4. Customer Growth'!$G$42,+IF($C32='4. Customer Growth'!$I$15,+'4. Customer Growth'!$I$42,+IF($C32='4. Customer Growth'!$K$15,+'4. Customer Growth'!$K$42,+IF($C32='4. Customer Growth'!$M$15,+'4. Customer Growth'!$M$42,IF($C32='4. Customer Growth'!$O$15,+'4. Customer Growth'!$O$42)))))))</f>
        <v>2825.4692256082153</v>
      </c>
      <c r="P32" s="510">
        <f>IF($C32='4. Customer Growth'!$C$15,+'4. Customer Growth'!$C$43,+IF($C32='4. Customer Growth'!$E$15,+'4. Customer Growth'!$E$43,+IF($C32='4. Customer Growth'!$G$15,+'4. Customer Growth'!$G$43,+IF($C32='4. Customer Growth'!$I$15,+'4. Customer Growth'!$I$43,+IF($C32='4. Customer Growth'!$K$15,+'4. Customer Growth'!$K$43,+IF($C32='4. Customer Growth'!$M$15,+'4. Customer Growth'!$M$43,IF($C32='4. Customer Growth'!$O$15,+'4. Customer Growth'!$O$43)))))))</f>
        <v>2848.6267064617618</v>
      </c>
    </row>
    <row r="33" spans="2:16" x14ac:dyDescent="0.2">
      <c r="B33" s="89"/>
      <c r="C33" s="778"/>
      <c r="D33" s="59" t="s">
        <v>36</v>
      </c>
      <c r="E33" s="509">
        <f>IF($B32=$F$65,+'7. Weather Senstive Class'!$G$21,IF($B32=$F$66,+'7. Weather Senstive Class'!$O$21,IF($B32=$F$67,+'7. Weather Senstive Class'!$W$21,IF($B32=$F$68,+'7. Weather Senstive Class'!$AE$21,IF($B32=$F$69,+'7. Weather Senstive Class'!$AM$21,IF($B32=$F$70,+'8. KW and Non-Weather Sensitive'!$E$21,IF($B32=$F$71,+'8. KW and Non-Weather Sensitive'!$P$21,IF($B32=$F$72,+'8. KW and Non-Weather Sensitive'!$Z$21,IF($B32=$F$73,+'8. KW and Non-Weather Sensitive'!$AJ$21,IF($B32=$F$74,+'8. KW and Non-Weather Sensitive'!$AT$21))))))))))</f>
        <v>2426613</v>
      </c>
      <c r="F33" s="509">
        <f>IF($B32=$F$65,+'7. Weather Senstive Class'!$G$22,IF($B32=$F$66,+'7. Weather Senstive Class'!$O$22,IF($B32=$F$67,+'7. Weather Senstive Class'!$W$22,IF($B32=$F$68,+'7. Weather Senstive Class'!$AE$22,IF($B32=$F$69,+'7. Weather Senstive Class'!$AM$22,IF($B32=$F$70,+'8. KW and Non-Weather Sensitive'!$E$22,IF($B32=$F$71,+'8. KW and Non-Weather Sensitive'!$P$22,IF($B32=$F$72,+'8. KW and Non-Weather Sensitive'!$Z$22,IF($B32=$F$73,+'8. KW and Non-Weather Sensitive'!$AJ$22,IF($B32=$F$74,+'8. KW and Non-Weather Sensitive'!$AT$22))))))))))</f>
        <v>2517491</v>
      </c>
      <c r="G33" s="509">
        <f>IF($B32=$F$65,+'7. Weather Senstive Class'!$G$23,IF($B32=$F$66,+'7. Weather Senstive Class'!$O$23,IF($B32=$F$67,+'7. Weather Senstive Class'!$W$23,IF($B32=$F$68,+'7. Weather Senstive Class'!$AE$23,IF($B32=$F$69,+'7. Weather Senstive Class'!$AM$23,IF($B32=$F$70,+'8. KW and Non-Weather Sensitive'!$E$23,IF($B32=$F$71,+'8. KW and Non-Weather Sensitive'!$P$23,IF($B32=$F$72,+'8. KW and Non-Weather Sensitive'!$Z$23,IF($B32=$F$73,+'8. KW and Non-Weather Sensitive'!$AJ$23,IF($B32=$F$74,+'8. KW and Non-Weather Sensitive'!$AT$23))))))))))</f>
        <v>2426477</v>
      </c>
      <c r="H33" s="509">
        <f>IF($B32=$F$65,+'7. Weather Senstive Class'!$G$24,IF($B32=$F$66,+'7. Weather Senstive Class'!$O$24,IF($B32=$F$67,+'7. Weather Senstive Class'!$W$24,IF($B32=$F$68,+'7. Weather Senstive Class'!$AE$24,IF($B32=$F$69,+'7. Weather Senstive Class'!$AM$24,IF($B32=$F$70,+'8. KW and Non-Weather Sensitive'!$E$24,IF($B32=$F$71,+'8. KW and Non-Weather Sensitive'!$P$24,IF($B32=$F$72,+'8. KW and Non-Weather Sensitive'!$Z$24,IF($B32=$F$73,+'8. KW and Non-Weather Sensitive'!$AJ$24,IF($B32=$F$74,+'8. KW and Non-Weather Sensitive'!$AT$24))))))))))</f>
        <v>2370504</v>
      </c>
      <c r="I33" s="509">
        <f>IF($B32=$F$65,+'7. Weather Senstive Class'!$G$25,IF($B32=$F$66,+'7. Weather Senstive Class'!$O$25,IF($B32=$F$67,+'7. Weather Senstive Class'!$W$25,IF($B32=$F$68,+'7. Weather Senstive Class'!$AE$25,IF($B32=$F$69,+'7. Weather Senstive Class'!$AM$25,IF($B32=$F$70,+'8. KW and Non-Weather Sensitive'!$E$25,IF($B32=$F$71,+'8. KW and Non-Weather Sensitive'!$P$25,IF($B32=$F$72,+'8. KW and Non-Weather Sensitive'!$Z$25,IF($B32=$F$73,+'8. KW and Non-Weather Sensitive'!$AJ$25,IF($B32=$F$74,+'8. KW and Non-Weather Sensitive'!$AT$25))))))))))</f>
        <v>2414486.62</v>
      </c>
      <c r="J33" s="509">
        <f>IF($B32=$F$65,+'7. Weather Senstive Class'!$G$26,IF($B32=$F$66,+'7. Weather Senstive Class'!$O$26,IF($B32=$F$67,+'7. Weather Senstive Class'!$M$26,IF($B32=$F$68,+'7. Weather Senstive Class'!$AE$26,IF($B32=$F$69,+'7. Weather Senstive Class'!$AM$26,IF($B32=$F$70,+'8. KW and Non-Weather Sensitive'!$E$26,IF($B32=$F$71,+'8. KW and Non-Weather Sensitive'!$P$26,IF($B32=$F$72,+'8. KW and Non-Weather Sensitive'!$Z$26,IF($B32=$F$73,+'8. KW and Non-Weather Sensitive'!$AJ$26,IF($B32=$F$74,+'8. KW and Non-Weather Sensitive'!$AT$26))))))))))</f>
        <v>2383707.0499999998</v>
      </c>
      <c r="K33" s="509">
        <f>IF($B32=$F$65,+'7. Weather Senstive Class'!$G$27,IF($B32=$F$66,+'7. Weather Senstive Class'!$O$27,IF($B32=$F$67,+'7. Weather Senstive Class'!$W$27,IF($B32=$F$68,+'7. Weather Senstive Class'!$AE$27,IF($B32=$F$69,+'7. Weather Senstive Class'!$AM$27,IF($B32=$F$70,+'8. KW and Non-Weather Sensitive'!$E$27,IF($B32=$F$71,+'8. KW and Non-Weather Sensitive'!$P$27,IF($B32=$F$72,+'8. KW and Non-Weather Sensitive'!$Z$27,IF($B32=$F$73,+'8. KW and Non-Weather Sensitive'!$AJ$27,IF($B32=$F$74,+'8. KW and Non-Weather Sensitive'!$AT$27))))))))))</f>
        <v>2458955</v>
      </c>
      <c r="L33" s="509">
        <f>IF($B32=$F$65,+'7. Weather Senstive Class'!$G$28,IF($B32=$F$66,+'7. Weather Senstive Class'!$O$28,IF($B32=$F$67,+'7. Weather Senstive Class'!$W$28,IF($B32=$F$68,+'7. Weather Senstive Class'!$AE$28,IF($B32=$F$69,+'7. Weather Senstive Class'!$AM$28,IF($B32=$F$70,+'8. KW and Non-Weather Sensitive'!$E$28,IF($B32=$F$71,+'8. KW and Non-Weather Sensitive'!$P$28,IF($B32=$F$72,+'8. KW and Non-Weather Sensitive'!$Z$28,IF($B32=$F$73,+'8. KW and Non-Weather Sensitive'!$AJ$28,IF($B32=$F$74,+'8. KW and Non-Weather Sensitive'!$AT$28))))))))))</f>
        <v>2432689.94</v>
      </c>
      <c r="M33" s="509">
        <f>IF($B32=$F$65,+'7. Weather Senstive Class'!$G$29,IF($B32=$F$66,+'7. Weather Senstive Class'!$O$29,IF($B32=$F$67,+'7. Weather Senstive Class'!$W$29,IF($B32=$F$68,+'7. Weather Senstive Class'!$AE$29,IF($B32=$F$69,+'7. Weather Senstive Class'!$AM$29,IF($B32=$F$70,+'8. KW and Non-Weather Sensitive'!$E$29,IF($B32=$F$71,+'8. KW and Non-Weather Sensitive'!$P$29,IF($B32=$F$72,+'8. KW and Non-Weather Sensitive'!$Z$29,IF($B32=$F$73,+'8. KW and Non-Weather Sensitive'!$AJ$29,IF($B32=$F$74,+'8. KW and Non-Weather Sensitive'!$AT$29))))))))))</f>
        <v>2424248.81</v>
      </c>
      <c r="N33" s="509">
        <f>IF($B32=$F$65,+'7. Weather Senstive Class'!$G$30,IF($B32=$F$66,+'7. Weather Senstive Class'!$O$30,IF($B32=$F$67,+'7. Weather Senstive Class'!$W$30,IF($B32=$F$68,+'7. Weather Senstive Class'!$AE$30,IF($B32=$F$69,+'7. Weather Senstive Class'!$AM$30,IF($B32=$F$70,+'8. KW and Non-Weather Sensitive'!$E$30,IF($B32=$F$71,+'8. KW and Non-Weather Sensitive'!$P$30,IF($B32=$F$72,+'8. KW and Non-Weather Sensitive'!$Z$30,IF($B32=$F$73,+'8. KW and Non-Weather Sensitive'!$AJ$30,IF($B32=$F$74,+'8. KW and Non-Weather Sensitive'!$AT$30))))))))))</f>
        <v>2439791.5699999998</v>
      </c>
      <c r="O33" s="509">
        <f>IF($B32=$F$65,+'7. Weather Senstive Class'!$H$42,IF($B32=$F$66,+'7. Weather Senstive Class'!$P$42,IF($B32=$F$67,+'7. Weather Senstive Class'!$X$42,IF($B32=$F$68,+'7. Weather Senstive Class'!$AF$42,IF($B32=$F$69,+'7. Weather Senstive Class'!$AN$42,IF($B32=$F$70,+'8. KW and Non-Weather Sensitive'!$I$49,IF($B32=$F$71,+'8. KW and Non-Weather Sensitive'!$T$49,IF($B32=$F$72,+'8. KW and Non-Weather Sensitive'!$AD$49,IF($B32=$F$73,+'8. KW and Non-Weather Sensitive'!$AN$49,IF($B32=$F$74,+'8. KW and Non-Weather Sensitive'!$AX$49))))))))))</f>
        <v>2432606.0526600452</v>
      </c>
      <c r="P33" s="510">
        <f>IF($B32=$F$65,+'7. Weather Senstive Class'!$H$43,IF($B32=$F$66,+'7. Weather Senstive Class'!$P$43,IF($B32=$F$67,+'7. Weather Senstive Class'!$X$43,IF($B32=$F$68,+'7. Weather Senstive Class'!$AF$43,IF($B32=$F$69,+'7. Weather Senstive Class'!$AN$43,IF($B32=$F$70,+'8. KW and Non-Weather Sensitive'!$I$50,IF($B32=$F$71,+'8. KW and Non-Weather Sensitive'!$T$50,IF($B32=$F$72,+'8. KW and Non-Weather Sensitive'!$AD$50,IF($B32=$F$73,+'8. KW and Non-Weather Sensitive'!$AN$50,IF($B32=$F$74,+'8. KW and Non-Weather Sensitive'!$AX$50))))))))))</f>
        <v>1271330.774669338</v>
      </c>
    </row>
    <row r="34" spans="2:16" x14ac:dyDescent="0.2">
      <c r="B34" s="89"/>
      <c r="C34" s="778"/>
      <c r="D34" s="59" t="s">
        <v>37</v>
      </c>
      <c r="E34" s="407">
        <f>IF(B$16=$F$70,+'8. KW and Non-Weather Sensitive'!$F$21,IF($B32=$F$71,+'8. KW and Non-Weather Sensitive'!$Q$21,IF($B32=$F$72,+'8. KW and Non-Weather Sensitive'!$AA$21,IF($B32=$F$73,+'8. KW and Non-Weather Sensitive'!$AK$21,+IF($B32=$F$74,+'8. KW and Non-Weather Sensitive'!$AU$21,0)))))</f>
        <v>6774</v>
      </c>
      <c r="F34" s="407">
        <f>IF($B32=$F$70,+'8. KW and Non-Weather Sensitive'!$F$22,IF($B32=$F$71,+'8. KW and Non-Weather Sensitive'!$Q$22,IF($B32=$F$72,+'8. KW and Non-Weather Sensitive'!$AA$22,IF($B32=$F$73,+'8. KW and Non-Weather Sensitive'!$AK$22,+IF($B32=$F$74,+'8. KW and Non-Weather Sensitive'!$AU$22,0)))))</f>
        <v>6784</v>
      </c>
      <c r="G34" s="407">
        <f>IF($B32=$F$70,+'8. KW and Non-Weather Sensitive'!$F$23,IF($B32=$F$71,+'8. KW and Non-Weather Sensitive'!$Q$23,IF($B32=$F$72,+'8. KW and Non-Weather Sensitive'!$AA$23,IF($B32=$F$73,+'8. KW and Non-Weather Sensitive'!$AK$23,+IF($B32=$F$74,+'8. KW and Non-Weather Sensitive'!$AU$23,0)))))</f>
        <v>6778</v>
      </c>
      <c r="H34" s="407">
        <f>IF($B32=$F$70,+'8. KW and Non-Weather Sensitive'!$F$24,IF($B32=$F$71,+'8. KW and Non-Weather Sensitive'!$Q$24,IF($B32=$F$72,+'8. KW and Non-Weather Sensitive'!$AA$24,IF($B32=$F$73,+'8. KW and Non-Weather Sensitive'!$AK$24,+IF($B32=$F$74,+'8. KW and Non-Weather Sensitive'!$AU$24,0)))))</f>
        <v>6728</v>
      </c>
      <c r="I34" s="407">
        <f>IF($B32=$F$70,+'8. KW and Non-Weather Sensitive'!$F$25,IF($B32=$F$71,+'8. KW and Non-Weather Sensitive'!$Q$25,IF($B32=$F$72,+'8. KW and Non-Weather Sensitive'!$AA$25,IF($B32=$F$73,+'8. KW and Non-Weather Sensitive'!$AK$25,+IF($B32=$F$74,+'8. KW and Non-Weather Sensitive'!$AU$25,0)))))</f>
        <v>6652</v>
      </c>
      <c r="J34" s="407">
        <f>IF($B32=$F$70,+'8. KW and Non-Weather Sensitive'!$F$26,IF($B32=$F$71,+'8. KW and Non-Weather Sensitive'!$Q$26,IF($B32=$F$72,+'8. KW and Non-Weather Sensitive'!$AA$26,IF($B32=$F$73,+'8. KW and Non-Weather Sensitive'!$AK$26,+IF($B32=$F$74,+'8. KW and Non-Weather Sensitive'!$AU$26,0)))))</f>
        <v>6766</v>
      </c>
      <c r="K34" s="407">
        <f>IF($B32=$F$70,+'8. KW and Non-Weather Sensitive'!$F$27,IF($B32=$F$71,+'8. KW and Non-Weather Sensitive'!$Q$27,IF($B32=$F$72,+'8. KW and Non-Weather Sensitive'!$AA$27,IF($B32=$F$73,+'8. KW and Non-Weather Sensitive'!$AK$27,+IF($B32=$F$74,+'8. KW and Non-Weather Sensitive'!$AU$27,0)))))</f>
        <v>6840</v>
      </c>
      <c r="L34" s="407">
        <f>IF($B32=$F$70,+'8. KW and Non-Weather Sensitive'!$F$28,IF($B32=$F$71,+'8. KW and Non-Weather Sensitive'!$Q$28,IF($B32=$F$72,+'8. KW and Non-Weather Sensitive'!$AA$28,IF($B32=$F$73,+'8. KW and Non-Weather Sensitive'!$AK$28,+IF($B32=$F$74,+'8. KW and Non-Weather Sensitive'!$AU$28,0)))))</f>
        <v>6768.3999999999987</v>
      </c>
      <c r="M34" s="407">
        <f>IF($B32=$F$70,+'8. KW and Non-Weather Sensitive'!$F$29,IF($B32=$F$71,+'8. KW and Non-Weather Sensitive'!$Q$29,IF($B32=$F$72,+'8. KW and Non-Weather Sensitive'!$AA$29,IF($B32=$F$73,+'8. KW and Non-Weather Sensitive'!$AK$29,+IF($B32=$F$74,+'8. KW and Non-Weather Sensitive'!$AU$29,0)))))</f>
        <v>6765.9000000000005</v>
      </c>
      <c r="N34" s="407">
        <f>IF($B32=$F$70,+'8. KW and Non-Weather Sensitive'!$F$30,IF($B32=$F$71,+'8. KW and Non-Weather Sensitive'!$Q$30,IF($B32=$F$72,+'8. KW and Non-Weather Sensitive'!$AA$30,IF($B32=$F$73,+'8. KW and Non-Weather Sensitive'!$AK$30,+IF($B32=$F$74,+'8. KW and Non-Weather Sensitive'!$AU$30,0)))))</f>
        <v>6769.9599999999991</v>
      </c>
      <c r="O34" s="407">
        <f>IF($B32=$F$70,+'8. KW and Non-Weather Sensitive'!$J$49,IF($B32=$F$71,+'8. KW and Non-Weather Sensitive'!$U$49,IF($B32=$F$72,+'8. KW and Non-Weather Sensitive'!$AE$49,IF($B32=$F$73,+'8. KW and Non-Weather Sensitive'!$AO$49,+IF($B32=$F$74,+'8. KW and Non-Weather Sensitive'!$AY$49,0)))))</f>
        <v>6772.6200970626942</v>
      </c>
      <c r="P34" s="511">
        <f>IF($B32=$F$70,+'8. KW and Non-Weather Sensitive'!$J$50,IF($B32=$F$71,+'8. KW and Non-Weather Sensitive'!$U$50,IF($B32=$F$72,+'8. KW and Non-Weather Sensitive'!$AE$50,IF($B32=$F$73,+'8. KW and Non-Weather Sensitive'!$AO$50,+IF($B32=$F$74,+'8. KW and Non-Weather Sensitive'!$AY$50,0)))))</f>
        <v>3539.512838556238</v>
      </c>
    </row>
    <row r="35" spans="2:16" x14ac:dyDescent="0.2">
      <c r="B35" s="89"/>
      <c r="C35" s="778"/>
      <c r="D35" s="59"/>
      <c r="E35" s="407"/>
      <c r="F35" s="407"/>
      <c r="G35" s="407"/>
      <c r="H35" s="407"/>
      <c r="I35" s="407"/>
      <c r="J35" s="407"/>
      <c r="K35" s="407"/>
      <c r="L35" s="407"/>
      <c r="M35" s="407"/>
      <c r="N35" s="407"/>
      <c r="O35" s="408"/>
      <c r="P35" s="409"/>
    </row>
    <row r="36" spans="2:16" x14ac:dyDescent="0.2">
      <c r="B36" s="762" t="s">
        <v>242</v>
      </c>
      <c r="C36" s="777" t="str">
        <f>IF($B36=$F$65,+$B$65,+IF($B36=$F$66,+$B$66,+IF($B36=$F$67,+$B$67,+IF($B36=$F$67,$B$67,+IF($B36=$F$68,+$B$68,+IF($B36=$F$69,+$B$69,+IF($B36=$F$70,+$B$70,+IF($B36=$F$71,+$B$71,+IF($B36=$F$72,+$B$72,+IF($B36=$F$73,+$B$73,+IF($B36=$F$74,+$B$74)))))))))))</f>
        <v>Sentinel Lighting</v>
      </c>
      <c r="D36" s="59" t="s">
        <v>131</v>
      </c>
      <c r="E36" s="509">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Growth'!$O$17)))))))</f>
        <v>250</v>
      </c>
      <c r="F36" s="509">
        <f>IF($C36='4. Customer Growth'!$C$15,+'4. Customer Growth'!$C$18,+IF($C36='4. Customer Growth'!$E$15,+'4. Customer Growth'!$E$18,+IF($C36='4. Customer Growth'!$G$15,+'4. Customer Growth'!$G$18,+IF($C36='4. Customer Growth'!$I$15,+'4. Customer Growth'!$I$18,+IF($C36='4. Customer Growth'!$K$15,+'4. Customer Growth'!$K$18,+IF($C36='4. Customer Growth'!$M$15,+'4. Customer Growth'!$M$18,IF($C36='4. Customer Growth'!$O$15,+'4. Customer Growth'!$O$18)))))))</f>
        <v>225</v>
      </c>
      <c r="G36" s="509">
        <f>IF($C36='4. Customer Growth'!$C$15,+'4. Customer Growth'!$C$19,+IF($C36='4. Customer Growth'!$E$15,+'4. Customer Growth'!$E$19,+IF($C36='4. Customer Growth'!$G$15,+'4. Customer Growth'!$G$19,+IF($C36='4. Customer Growth'!$I$15,+'4. Customer Growth'!$I$19,+IF($C36='4. Customer Growth'!$K$15,+'4. Customer Growth'!$K$19,+IF($C36='4. Customer Growth'!$M$15,+'4. Customer Growth'!$M$19,IF($C36='4. Customer Growth'!$O$15,+'4. Customer Growth'!$O$19)))))))</f>
        <v>225</v>
      </c>
      <c r="H36" s="509">
        <f>IF($C36='4. Customer Growth'!$C$15,+'4. Customer Growth'!$C$20,+IF($C36='4. Customer Growth'!$E$15,+'4. Customer Growth'!$E$20,+IF($C36='4. Customer Growth'!$G$15,+'4. Customer Growth'!$G$20,+IF($C36='4. Customer Growth'!$I$15,+'4. Customer Growth'!$I$20,+IF($C36='4. Customer Growth'!$K$15,+'4. Customer Growth'!$K$20,+IF($C36='4. Customer Growth'!$M$15,+'4. Customer Growth'!$M$20,IF($C36='4. Customer Growth'!$O$15,+'4. Customer Growth'!$O$20)))))))</f>
        <v>226</v>
      </c>
      <c r="I36" s="509">
        <f>IF($C36='4. Customer Growth'!$C$15,+'4. Customer Growth'!$C$21,+IF($C36='4. Customer Growth'!$E$15,+'4. Customer Growth'!$E$21,+IF($C36='4. Customer Growth'!$G$15,+'4. Customer Growth'!$G$21,+IF($C36='4. Customer Growth'!$I$15,+'4. Customer Growth'!$I$21,+IF($C36='4. Customer Growth'!$K$15,+'4. Customer Growth'!$K$21,+IF($C36='4. Customer Growth'!$M$15,+'4. Customer Growth'!$M$21,IF($C36='4. Customer Growth'!$O$15,+'4. Customer Growth'!$O$21)))))))</f>
        <v>226</v>
      </c>
      <c r="J36" s="509">
        <f>IF($C36='4. Customer Growth'!$C$15,+'4. Customer Growth'!$C$22,+IF($C36='4. Customer Growth'!$E$15,+'4. Customer Growth'!$E$22,+IF($C36='4. Customer Growth'!$G$15,+'4. Customer Growth'!$G$22,+IF($C36='4. Customer Growth'!$I$15,+'4. Customer Growth'!$I$22,+IF($C36='4. Customer Growth'!$K$15,+'4. Customer Growth'!$K$22,+IF($C36='4. Customer Growth'!$M$15,+'4. Customer Growth'!$M$22,IF($C36='4. Customer Growth'!$O$15,+'4. Customer Growth'!$O$22)))))))</f>
        <v>216</v>
      </c>
      <c r="K36" s="509">
        <f>IF($C36='4. Customer Growth'!$C$15,+'4. Customer Growth'!$C$23,+IF($C36='4. Customer Growth'!$E$15,+'4. Customer Growth'!$E$23,+IF($C36='4. Customer Growth'!$G$15,+'4. Customer Growth'!$G$23,+IF($C36='4. Customer Growth'!$I$15,+'4. Customer Growth'!$I$23,+IF($C36='4. Customer Growth'!$K$15,+'4. Customer Growth'!$K$23,+IF($C36='4. Customer Growth'!$M$15,+'4. Customer Growth'!$M$23,IF($C36='4. Customer Growth'!$O$15,+'4. Customer Growth'!$O$23)))))))</f>
        <v>209</v>
      </c>
      <c r="L36" s="509">
        <f>IF($C36='4. Customer Growth'!$C$15,+'4. Customer Growth'!$C$24,+IF($C36='4. Customer Growth'!$E$15,+'4. Customer Growth'!$E$24,+IF($C36='4. Customer Growth'!$G$15,+'4. Customer Growth'!$G$24,+IF($C36='4. Customer Growth'!$I$15,+'4. Customer Growth'!$I$24,+IF($C36='4. Customer Growth'!$K$15,+'4. Customer Growth'!$K$24,+IF($C36='4. Customer Growth'!$M$15,+'4. Customer Growth'!$M$24,IF($C36='4. Customer Growth'!$O$15,+'4. Customer Growth'!$O$24)))))))</f>
        <v>208.5</v>
      </c>
      <c r="M36" s="509">
        <f>IF($C36='4. Customer Growth'!$C$15,+'4. Customer Growth'!$C$25,+IF($C36='4. Customer Growth'!$E$15,+'4. Customer Growth'!$E$25,+IF($C36='4. Customer Growth'!$G$15,+'4. Customer Growth'!$G$25,+IF($C36='4. Customer Growth'!$I$15,+'4. Customer Growth'!$I$25,+IF($C36='4. Customer Growth'!$K$15,+'4. Customer Growth'!$K$25,+IF($C36='4. Customer Growth'!$M$15,+'4. Customer Growth'!$M$25,IF($C36='4. Customer Growth'!$O$15,+'4. Customer Growth'!$O$25)))))))</f>
        <v>206.5</v>
      </c>
      <c r="N36" s="509">
        <f>IF($C36='4. Customer Growth'!$C$15,+'4. Customer Growth'!$C$26,+IF($C36='4. Customer Growth'!$E$15,+'4. Customer Growth'!$E$26,+IF($C36='4. Customer Growth'!$G$15,+'4. Customer Growth'!$G$26,+IF($C36='4. Customer Growth'!$I$15,+'4. Customer Growth'!$I$26,+IF($C36='4. Customer Growth'!$K$15,+'4. Customer Growth'!$K$26,+IF($C36='4. Customer Growth'!$M$15,+'4. Customer Growth'!$M$26,IF($C36='4. Customer Growth'!$O$15,+'4. Customer Growth'!$O$26)))))))</f>
        <v>204</v>
      </c>
      <c r="O36" s="509">
        <f>IF($C36='4. Customer Growth'!$C$15,+'4. Customer Growth'!$C$42,+IF($C36='4. Customer Growth'!$E$15,+'4. Customer Growth'!$E$42,+IF($C36='4. Customer Growth'!$G$15,+'4. Customer Growth'!$G$42,+IF($C36='4. Customer Growth'!$I$15,+'4. Customer Growth'!$I$42,+IF($C36='4. Customer Growth'!$K$15,+'4. Customer Growth'!$K$42,+IF($C36='4. Customer Growth'!$M$15,+'4. Customer Growth'!$M$42,IF($C36='4. Customer Growth'!$O$15,+'4. Customer Growth'!$O$42)))))))</f>
        <v>199.44261639611278</v>
      </c>
      <c r="P36" s="510">
        <f>IF($C36='4. Customer Growth'!$C$15,+'4. Customer Growth'!$C$43,+IF($C36='4. Customer Growth'!$E$15,+'4. Customer Growth'!$E$43,+IF($C36='4. Customer Growth'!$G$15,+'4. Customer Growth'!$G$43,+IF($C36='4. Customer Growth'!$I$15,+'4. Customer Growth'!$I$43,+IF($C36='4. Customer Growth'!$K$15,+'4. Customer Growth'!$K$43,+IF($C36='4. Customer Growth'!$M$15,+'4. Customer Growth'!$M$43,IF($C36='4. Customer Growth'!$O$15,+'4. Customer Growth'!$O$43)))))))</f>
        <v>194.98704526924996</v>
      </c>
    </row>
    <row r="37" spans="2:16" x14ac:dyDescent="0.2">
      <c r="B37" s="89"/>
      <c r="C37" s="778"/>
      <c r="D37" s="59" t="s">
        <v>36</v>
      </c>
      <c r="E37" s="509">
        <f>IF($B36=$F$65,+'7. Weather Senstive Class'!$G$21,IF($B36=$F$66,+'7. Weather Senstive Class'!$O$21,IF($B36=$F$67,+'7. Weather Senstive Class'!$W$21,IF($B36=$F$68,+'7. Weather Senstive Class'!$AE$21,IF($B36=$F$69,+'7. Weather Senstive Class'!$AM$21,IF($B36=$F$70,+'8. KW and Non-Weather Sensitive'!$E$21,IF($B36=$F$71,+'8. KW and Non-Weather Sensitive'!$P$21,IF($B36=$F$72,+'8. KW and Non-Weather Sensitive'!$Z$21,IF($B36=$F$73,+'8. KW and Non-Weather Sensitive'!$AJ$21,IF($B36=$F$74,+'8. KW and Non-Weather Sensitive'!$AT$21))))))))))</f>
        <v>284178</v>
      </c>
      <c r="F37" s="509">
        <f>IF($B36=$F$65,+'7. Weather Senstive Class'!$G$22,IF($B36=$F$66,+'7. Weather Senstive Class'!$O$22,IF($B36=$F$67,+'7. Weather Senstive Class'!$W$22,IF($B36=$F$68,+'7. Weather Senstive Class'!$AE$22,IF($B36=$F$69,+'7. Weather Senstive Class'!$AM$22,IF($B36=$F$70,+'8. KW and Non-Weather Sensitive'!$E$22,IF($B36=$F$71,+'8. KW and Non-Weather Sensitive'!$P$22,IF($B36=$F$72,+'8. KW and Non-Weather Sensitive'!$Z$22,IF($B36=$F$73,+'8. KW and Non-Weather Sensitive'!$AJ$22,IF($B36=$F$74,+'8. KW and Non-Weather Sensitive'!$AT$22))))))))))</f>
        <v>267504</v>
      </c>
      <c r="G37" s="509">
        <f>IF($B36=$F$65,+'7. Weather Senstive Class'!$G$23,IF($B36=$F$66,+'7. Weather Senstive Class'!$O$23,IF($B36=$F$67,+'7. Weather Senstive Class'!$W$23,IF($B36=$F$68,+'7. Weather Senstive Class'!$AE$23,IF($B36=$F$69,+'7. Weather Senstive Class'!$AM$23,IF($B36=$F$70,+'8. KW and Non-Weather Sensitive'!$E$23,IF($B36=$F$71,+'8. KW and Non-Weather Sensitive'!$P$23,IF($B36=$F$72,+'8. KW and Non-Weather Sensitive'!$Z$23,IF($B36=$F$73,+'8. KW and Non-Weather Sensitive'!$AJ$23,IF($B36=$F$74,+'8. KW and Non-Weather Sensitive'!$AT$23))))))))))</f>
        <v>266011</v>
      </c>
      <c r="H37" s="509">
        <f>IF($B36=$F$65,+'7. Weather Senstive Class'!$G$24,IF($B36=$F$66,+'7. Weather Senstive Class'!$O$24,IF($B36=$F$67,+'7. Weather Senstive Class'!$W$24,IF($B36=$F$68,+'7. Weather Senstive Class'!$AE$24,IF($B36=$F$69,+'7. Weather Senstive Class'!$AM$24,IF($B36=$F$70,+'8. KW and Non-Weather Sensitive'!$E$24,IF($B36=$F$71,+'8. KW and Non-Weather Sensitive'!$P$24,IF($B36=$F$72,+'8. KW and Non-Weather Sensitive'!$Z$24,IF($B36=$F$73,+'8. KW and Non-Weather Sensitive'!$AJ$24,IF($B36=$F$74,+'8. KW and Non-Weather Sensitive'!$AT$24))))))))))</f>
        <v>262124</v>
      </c>
      <c r="I37" s="509">
        <f>IF($B36=$F$65,+'7. Weather Senstive Class'!$G$25,IF($B36=$F$66,+'7. Weather Senstive Class'!$O$25,IF($B36=$F$67,+'7. Weather Senstive Class'!$W$25,IF($B36=$F$68,+'7. Weather Senstive Class'!$AE$25,IF($B36=$F$69,+'7. Weather Senstive Class'!$AM$25,IF($B36=$F$70,+'8. KW and Non-Weather Sensitive'!$E$25,IF($B36=$F$71,+'8. KW and Non-Weather Sensitive'!$P$25,IF($B36=$F$72,+'8. KW and Non-Weather Sensitive'!$Z$25,IF($B36=$F$73,+'8. KW and Non-Weather Sensitive'!$AJ$25,IF($B36=$F$74,+'8. KW and Non-Weather Sensitive'!$AT$25))))))))))</f>
        <v>265370.21000000002</v>
      </c>
      <c r="J37" s="509">
        <f>IF($B36=$F$65,+'7. Weather Senstive Class'!$G$26,IF($B36=$F$66,+'7. Weather Senstive Class'!$O$26,IF($B36=$F$67,+'7. Weather Senstive Class'!$M$26,IF($B36=$F$68,+'7. Weather Senstive Class'!$AE$26,IF($B36=$F$69,+'7. Weather Senstive Class'!$AM$26,IF($B36=$F$70,+'8. KW and Non-Weather Sensitive'!$E$26,IF($B36=$F$71,+'8. KW and Non-Weather Sensitive'!$P$26,IF($B36=$F$72,+'8. KW and Non-Weather Sensitive'!$Z$26,IF($B36=$F$73,+'8. KW and Non-Weather Sensitive'!$AJ$26,IF($B36=$F$74,+'8. KW and Non-Weather Sensitive'!$AT$26))))))))))</f>
        <v>233685.69</v>
      </c>
      <c r="K37" s="509">
        <f>IF($B36=$F$65,+'7. Weather Senstive Class'!$G$27,IF($B36=$F$66,+'7. Weather Senstive Class'!$O$27,IF($B36=$F$67,+'7. Weather Senstive Class'!$W$27,IF($B36=$F$68,+'7. Weather Senstive Class'!$AE$27,IF($B36=$F$69,+'7. Weather Senstive Class'!$AM$27,IF($B36=$F$70,+'8. KW and Non-Weather Sensitive'!$E$27,IF($B36=$F$71,+'8. KW and Non-Weather Sensitive'!$P$27,IF($B36=$F$72,+'8. KW and Non-Weather Sensitive'!$Z$27,IF($B36=$F$73,+'8. KW and Non-Weather Sensitive'!$AJ$27,IF($B36=$F$74,+'8. KW and Non-Weather Sensitive'!$AT$27))))))))))</f>
        <v>270899.02</v>
      </c>
      <c r="L37" s="509">
        <f>IF($B36=$F$65,+'7. Weather Senstive Class'!$G$28,IF($B36=$F$66,+'7. Weather Senstive Class'!$O$28,IF($B36=$F$67,+'7. Weather Senstive Class'!$W$28,IF($B36=$F$68,+'7. Weather Senstive Class'!$AE$28,IF($B36=$F$69,+'7. Weather Senstive Class'!$AM$28,IF($B36=$F$70,+'8. KW and Non-Weather Sensitive'!$E$28,IF($B36=$F$71,+'8. KW and Non-Weather Sensitive'!$P$28,IF($B36=$F$72,+'8. KW and Non-Weather Sensitive'!$Z$28,IF($B36=$F$73,+'8. KW and Non-Weather Sensitive'!$AJ$28,IF($B36=$F$74,+'8. KW and Non-Weather Sensitive'!$AT$28))))))))))</f>
        <v>243747.31</v>
      </c>
      <c r="M37" s="509">
        <f>IF($B36=$F$65,+'7. Weather Senstive Class'!$G$29,IF($B36=$F$66,+'7. Weather Senstive Class'!$O$29,IF($B36=$F$67,+'7. Weather Senstive Class'!$W$29,IF($B36=$F$68,+'7. Weather Senstive Class'!$AE$29,IF($B36=$F$69,+'7. Weather Senstive Class'!$AM$29,IF($B36=$F$70,+'8. KW and Non-Weather Sensitive'!$E$29,IF($B36=$F$71,+'8. KW and Non-Weather Sensitive'!$P$29,IF($B36=$F$72,+'8. KW and Non-Weather Sensitive'!$Z$29,IF($B36=$F$73,+'8. KW and Non-Weather Sensitive'!$AJ$29,IF($B36=$F$74,+'8. KW and Non-Weather Sensitive'!$AT$29))))))))))</f>
        <v>270899.02</v>
      </c>
      <c r="N37" s="509">
        <f>IF($B36=$F$65,+'7. Weather Senstive Class'!$G$30,IF($B36=$F$66,+'7. Weather Senstive Class'!$O$30,IF($B36=$F$67,+'7. Weather Senstive Class'!$W$30,IF($B36=$F$68,+'7. Weather Senstive Class'!$AE$30,IF($B36=$F$69,+'7. Weather Senstive Class'!$AM$30,IF($B36=$F$70,+'8. KW and Non-Weather Sensitive'!$E$30,IF($B36=$F$71,+'8. KW and Non-Weather Sensitive'!$P$30,IF($B36=$F$72,+'8. KW and Non-Weather Sensitive'!$Z$30,IF($B36=$F$73,+'8. KW and Non-Weather Sensitive'!$AJ$30,IF($B36=$F$74,+'8. KW and Non-Weather Sensitive'!$AT$30))))))))))</f>
        <v>245570.47</v>
      </c>
      <c r="O37" s="509">
        <f>IF($B36=$F$65,+'7. Weather Senstive Class'!$H$42,IF($B36=$F$66,+'7. Weather Senstive Class'!$P$42,IF($B36=$F$67,+'7. Weather Senstive Class'!$X$42,IF($B36=$F$68,+'7. Weather Senstive Class'!$AF$42,IF($B36=$F$69,+'7. Weather Senstive Class'!$AN$42,IF($B36=$F$70,+'8. KW and Non-Weather Sensitive'!$I$49,IF($B36=$F$71,+'8. KW and Non-Weather Sensitive'!$T$49,IF($B36=$F$72,+'8. KW and Non-Weather Sensitive'!$AD$49,IF($B36=$F$73,+'8. KW and Non-Weather Sensitive'!$AN$49,IF($B36=$F$74,+'8. KW and Non-Weather Sensitive'!$AX$49))))))))))</f>
        <v>244847.23163322191</v>
      </c>
      <c r="P37" s="510">
        <f>IF($B36=$F$65,+'7. Weather Senstive Class'!$H$43,IF($B36=$F$66,+'7. Weather Senstive Class'!$P$43,IF($B36=$F$67,+'7. Weather Senstive Class'!$X$43,IF($B36=$F$68,+'7. Weather Senstive Class'!$AF$43,IF($B36=$F$69,+'7. Weather Senstive Class'!$AN$43,IF($B36=$F$70,+'8. KW and Non-Weather Sensitive'!$I$50,IF($B36=$F$71,+'8. KW and Non-Weather Sensitive'!$T$50,IF($B36=$F$72,+'8. KW and Non-Weather Sensitive'!$AD$50,IF($B36=$F$73,+'8. KW and Non-Weather Sensitive'!$AN$50,IF($B36=$F$74,+'8. KW and Non-Weather Sensitive'!$AX$50))))))))))</f>
        <v>244316.26312284268</v>
      </c>
    </row>
    <row r="38" spans="2:16" x14ac:dyDescent="0.2">
      <c r="B38" s="89"/>
      <c r="C38" s="778"/>
      <c r="D38" s="59" t="s">
        <v>37</v>
      </c>
      <c r="E38" s="407">
        <f>IF(B$16=$F$70,+'8. KW and Non-Weather Sensitive'!$F$21,IF($B36=$F$71,+'8. KW and Non-Weather Sensitive'!$Q$21,IF($B36=$F$72,+'8. KW and Non-Weather Sensitive'!$AA$21,IF($B36=$F$73,+'8. KW and Non-Weather Sensitive'!$AK$21,+IF($B36=$F$74,+'8. KW and Non-Weather Sensitive'!$AU$21,0)))))</f>
        <v>783</v>
      </c>
      <c r="F38" s="407">
        <f>IF($B36=$F$70,+'8. KW and Non-Weather Sensitive'!$F$22,IF($B36=$F$71,+'8. KW and Non-Weather Sensitive'!$Q$22,IF($B36=$F$72,+'8. KW and Non-Weather Sensitive'!$AA$22,IF($B36=$F$73,+'8. KW and Non-Weather Sensitive'!$AK$22,+IF($B36=$F$74,+'8. KW and Non-Weather Sensitive'!$AU$22,0)))))</f>
        <v>767</v>
      </c>
      <c r="G38" s="407">
        <f>IF($B36=$F$70,+'8. KW and Non-Weather Sensitive'!$F$23,IF($B36=$F$71,+'8. KW and Non-Weather Sensitive'!$Q$23,IF($B36=$F$72,+'8. KW and Non-Weather Sensitive'!$AA$23,IF($B36=$F$73,+'8. KW and Non-Weather Sensitive'!$AK$23,+IF($B36=$F$74,+'8. KW and Non-Weather Sensitive'!$AU$23,0)))))</f>
        <v>766</v>
      </c>
      <c r="H38" s="407">
        <f>IF($B36=$F$70,+'8. KW and Non-Weather Sensitive'!$F$24,IF($B36=$F$71,+'8. KW and Non-Weather Sensitive'!$Q$24,IF($B36=$F$72,+'8. KW and Non-Weather Sensitive'!$AA$24,IF($B36=$F$73,+'8. KW and Non-Weather Sensitive'!$AK$24,+IF($B36=$F$74,+'8. KW and Non-Weather Sensitive'!$AU$24,0)))))</f>
        <v>751</v>
      </c>
      <c r="I38" s="407">
        <f>IF($B36=$F$70,+'8. KW and Non-Weather Sensitive'!$F$25,IF($B36=$F$71,+'8. KW and Non-Weather Sensitive'!$Q$25,IF($B36=$F$72,+'8. KW and Non-Weather Sensitive'!$AA$25,IF($B36=$F$73,+'8. KW and Non-Weather Sensitive'!$AK$25,+IF($B36=$F$74,+'8. KW and Non-Weather Sensitive'!$AU$25,0)))))</f>
        <v>756</v>
      </c>
      <c r="J38" s="407">
        <f>IF($B36=$F$70,+'8. KW and Non-Weather Sensitive'!$F$26,IF($B36=$F$71,+'8. KW and Non-Weather Sensitive'!$Q$26,IF($B36=$F$72,+'8. KW and Non-Weather Sensitive'!$AA$26,IF($B36=$F$73,+'8. KW and Non-Weather Sensitive'!$AK$26,+IF($B36=$F$74,+'8. KW and Non-Weather Sensitive'!$AU$26,0)))))</f>
        <v>766</v>
      </c>
      <c r="K38" s="407">
        <f>IF($B36=$F$70,+'8. KW and Non-Weather Sensitive'!$F$27,IF($B36=$F$71,+'8. KW and Non-Weather Sensitive'!$Q$27,IF($B36=$F$72,+'8. KW and Non-Weather Sensitive'!$AA$27,IF($B36=$F$73,+'8. KW and Non-Weather Sensitive'!$AK$27,+IF($B36=$F$74,+'8. KW and Non-Weather Sensitive'!$AU$27,0)))))</f>
        <v>734</v>
      </c>
      <c r="L38" s="407">
        <f>IF($B36=$F$70,+'8. KW and Non-Weather Sensitive'!$F$28,IF($B36=$F$71,+'8. KW and Non-Weather Sensitive'!$Q$28,IF($B36=$F$72,+'8. KW and Non-Weather Sensitive'!$AA$28,IF($B36=$F$73,+'8. KW and Non-Weather Sensitive'!$AK$28,+IF($B36=$F$74,+'8. KW and Non-Weather Sensitive'!$AU$28,0)))))</f>
        <v>713</v>
      </c>
      <c r="M38" s="407">
        <f>IF($B36=$F$70,+'8. KW and Non-Weather Sensitive'!$F$29,IF($B36=$F$71,+'8. KW and Non-Weather Sensitive'!$Q$29,IF($B36=$F$72,+'8. KW and Non-Weather Sensitive'!$AA$29,IF($B36=$F$73,+'8. KW and Non-Weather Sensitive'!$AK$29,+IF($B36=$F$74,+'8. KW and Non-Weather Sensitive'!$AU$29,0)))))</f>
        <v>700</v>
      </c>
      <c r="N38" s="407">
        <f>IF($B36=$F$70,+'8. KW and Non-Weather Sensitive'!$F$30,IF($B36=$F$71,+'8. KW and Non-Weather Sensitive'!$Q$30,IF($B36=$F$72,+'8. KW and Non-Weather Sensitive'!$AA$30,IF($B36=$F$73,+'8. KW and Non-Weather Sensitive'!$AK$30,+IF($B36=$F$74,+'8. KW and Non-Weather Sensitive'!$AU$30,0)))))</f>
        <v>683.5</v>
      </c>
      <c r="O38" s="407">
        <f>IF($B36=$F$70,+'8. KW and Non-Weather Sensitive'!$J$49,IF($B36=$F$71,+'8. KW and Non-Weather Sensitive'!$U$49,IF($B36=$F$72,+'8. KW and Non-Weather Sensitive'!$AE$49,IF($B36=$F$73,+'8. KW and Non-Weather Sensitive'!$AO$49,+IF($B36=$F$74,+'8. KW and Non-Weather Sensitive'!$AY$49,0)))))</f>
        <v>697.71463936548889</v>
      </c>
      <c r="P38" s="511">
        <f>IF($B36=$F$70,+'8. KW and Non-Weather Sensitive'!$J$50,IF($B36=$F$71,+'8. KW and Non-Weather Sensitive'!$U$50,IF($B36=$F$72,+'8. KW and Non-Weather Sensitive'!$AE$50,IF($B36=$F$73,+'8. KW and Non-Weather Sensitive'!$AO$50,+IF($B36=$F$74,+'8. KW and Non-Weather Sensitive'!$AY$50,0)))))</f>
        <v>696.20159590462345</v>
      </c>
    </row>
    <row r="39" spans="2:16" x14ac:dyDescent="0.2">
      <c r="B39" s="89"/>
      <c r="C39" s="778"/>
      <c r="D39" s="59"/>
      <c r="E39" s="407"/>
      <c r="F39" s="407"/>
      <c r="G39" s="407"/>
      <c r="H39" s="407"/>
      <c r="I39" s="407"/>
      <c r="J39" s="407"/>
      <c r="K39" s="407"/>
      <c r="L39" s="407"/>
      <c r="M39" s="407"/>
      <c r="N39" s="407"/>
      <c r="O39" s="408"/>
      <c r="P39" s="409"/>
    </row>
    <row r="40" spans="2:16" x14ac:dyDescent="0.2">
      <c r="B40" s="762" t="s">
        <v>270</v>
      </c>
      <c r="C40" s="777">
        <f>IF($B40=$F$65,+$B$65,+IF($B40=$F$66,+$B$66,+IF($B40=$F$67,+$B$67,+IF($B40=$F$67,$B$67,+IF($B40=$F$68,+$B$68,+IF($B40=$F$69,+$B$69,+IF($B40=$F$70,+$B$70,+IF($B40=$F$71,+$B$71,+IF($B40=$F$72,+$B$72,+IF($B40=$F$73,+$B$73,+IF($B40=$F$74,+$B$74)))))))))))</f>
        <v>0</v>
      </c>
      <c r="D40" s="59" t="s">
        <v>131</v>
      </c>
      <c r="E40" s="512">
        <f>IF($C40='4. Customer Growth'!$C$15,+'4. Customer Growth'!$C$17,+IF($C40='4. Customer Growth'!$E$15,+'4. Customer Growth'!$E$17,+IF($C40='4. Customer Growth'!$G$15,+'4. Customer Growth'!$G$17,+IF($C40='4. Customer Growth'!$I$15,+'4. Customer Growth'!$I$17,+IF($C40='4. Customer Growth'!$K$15,+'4. Customer Growth'!$K$17,+IF($C40='4. Customer Growth'!$M$15,+'4. Customer Growth'!$M$17,IF($C40='4. Customer Growth'!$O$15,+'4. Customer Growth'!$O$17,IF($C40='4. Customer Growth'!$Q$15,+'4. Customer Growth'!$Q$17))))))))</f>
        <v>0</v>
      </c>
      <c r="F40" s="512">
        <f>IF($C40='4. Customer Growth'!$C$15,+'4. Customer Growth'!$C$18,+IF($C40='4. Customer Growth'!$E$15,+'4. Customer Growth'!$E$18,+IF($C40='4. Customer Growth'!$G$15,+'4. Customer Growth'!$G$18,+IF($C40='4. Customer Growth'!$I$15,+'4. Customer Growth'!$I$18,+IF($C40='4. Customer Growth'!$K$15,+'4. Customer Growth'!$K$18,+IF($C40='4. Customer Growth'!$M$15,+'4. Customer Growth'!$M$18,IF($C40='4. Customer Growth'!$O$15,+'4. Customer Growth'!$O$18,IF($C40='4. Customer Growth'!$Q$15,+'4. Customer Growth'!$Q$18))))))))</f>
        <v>0</v>
      </c>
      <c r="G40" s="512">
        <f>IF($C40='4. Customer Growth'!$C$15,+'4. Customer Growth'!$C$19,+IF($C40='4. Customer Growth'!$E$15,+'4. Customer Growth'!$E$19,+IF($C40='4. Customer Growth'!$G$15,+'4. Customer Growth'!$G$19,+IF($C40='4. Customer Growth'!$I$15,+'4. Customer Growth'!$I$19,+IF($C40='4. Customer Growth'!$K$15,+'4. Customer Growth'!$K$19,+IF($C40='4. Customer Growth'!$M$15,+'4. Customer Growth'!$M$19,IF($C40='4. Customer Growth'!$O$15,+'4. Customer Growth'!$O$19,IF($C40='4. Customer Growth'!$Q$15,+'4. Customer Growth'!$Q$19))))))))</f>
        <v>0</v>
      </c>
      <c r="H40" s="512">
        <f>IF($C40='4. Customer Growth'!$C$15,+'4. Customer Growth'!$C$20,+IF($C40='4. Customer Growth'!$E$15,+'4. Customer Growth'!$E$20,+IF($C40='4. Customer Growth'!$G$15,+'4. Customer Growth'!$G$20,+IF($C40='4. Customer Growth'!$I$15,+'4. Customer Growth'!$I$20,+IF($C40='4. Customer Growth'!$K$15,+'4. Customer Growth'!$K$20,+IF($C40='4. Customer Growth'!$M$15,+'4. Customer Growth'!$M$20,IF($C40='4. Customer Growth'!$O$15,+'4. Customer Growth'!$O$20,IF($C40='4. Customer Growth'!$Q$15,+'4. Customer Growth'!$Q$20))))))))</f>
        <v>0</v>
      </c>
      <c r="I40" s="512">
        <f>IF($C40='4. Customer Growth'!$C$15,+'4. Customer Growth'!$C$21,+IF($C40='4. Customer Growth'!$E$15,+'4. Customer Growth'!$E$21,+IF($C40='4. Customer Growth'!$G$15,+'4. Customer Growth'!$G$21,+IF($C40='4. Customer Growth'!$I$15,+'4. Customer Growth'!$I$21,+IF($C40='4. Customer Growth'!$K$15,+'4. Customer Growth'!$K$21,+IF($C40='4. Customer Growth'!$M$15,+'4. Customer Growth'!$M$21,IF($C40='4. Customer Growth'!$O$15,+'4. Customer Growth'!$O$21,IF($C40='4. Customer Growth'!$Q$15,+'4. Customer Growth'!$Q$21))))))))</f>
        <v>0</v>
      </c>
      <c r="J40" s="512">
        <f>IF($C40='4. Customer Growth'!$C$15,+'4. Customer Growth'!$C$22,+IF($C40='4. Customer Growth'!$E$15,+'4. Customer Growth'!$E$22,+IF($C40='4. Customer Growth'!$G$15,+'4. Customer Growth'!$G$22,+IF($C40='4. Customer Growth'!$I$15,+'4. Customer Growth'!$I$22,+IF($C40='4. Customer Growth'!$K$15,+'4. Customer Growth'!$K$22,+IF($C40='4. Customer Growth'!$M$15,+'4. Customer Growth'!$M$22,IF($C40='4. Customer Growth'!$O$15,+'4. Customer Growth'!$O$22,IF($C40='4. Customer Growth'!$Q$15,+'4. Customer Growth'!$Q$22))))))))</f>
        <v>0</v>
      </c>
      <c r="K40" s="512">
        <f>IF($C40='4. Customer Growth'!$C$15,+'4. Customer Growth'!$C$23,+IF($C40='4. Customer Growth'!$E$15,+'4. Customer Growth'!$E$23,+IF($C40='4. Customer Growth'!$G$15,+'4. Customer Growth'!$G$23,+IF($C40='4. Customer Growth'!$I$15,+'4. Customer Growth'!$I$23,+IF($C40='4. Customer Growth'!$K$15,+'4. Customer Growth'!$K$23,+IF($C40='4. Customer Growth'!$M$15,+'4. Customer Growth'!$M$23,IF($C40='4. Customer Growth'!$O$15,+'4. Customer Growth'!$O$23,IF($C40='4. Customer Growth'!$Q$15,+'4. Customer Growth'!$Q$23))))))))</f>
        <v>0</v>
      </c>
      <c r="L40" s="512">
        <f>IF($C40='4. Customer Growth'!$C$15,+'4. Customer Growth'!$C$24,+IF($C40='4. Customer Growth'!$E$15,+'4. Customer Growth'!$E$24,+IF($C40='4. Customer Growth'!$G$15,+'4. Customer Growth'!$G$24,+IF($C40='4. Customer Growth'!$I$15,+'4. Customer Growth'!$I$24,+IF($C40='4. Customer Growth'!$K$15,+'4. Customer Growth'!$K$24,+IF($C40='4. Customer Growth'!$M$15,+'4. Customer Growth'!$M$24,IF($C40='4. Customer Growth'!$O$15,+'4. Customer Growth'!$O$24,IF($C40='4. Customer Growth'!$Q$15,+'4. Customer Growth'!$Q$24))))))))</f>
        <v>0</v>
      </c>
      <c r="M40" s="512">
        <f>IF($C40='4. Customer Growth'!$C$15,+'4. Customer Growth'!$C$25,+IF($C40='4. Customer Growth'!$E$15,+'4. Customer Growth'!$E$25,+IF($C40='4. Customer Growth'!$G$15,+'4. Customer Growth'!$G$25,+IF($C40='4. Customer Growth'!$I$15,+'4. Customer Growth'!$I$25,+IF($C40='4. Customer Growth'!$K$15,+'4. Customer Growth'!$K$25,+IF($C40='4. Customer Growth'!$M$15,+'4. Customer Growth'!$M$25,IF($C40='4. Customer Growth'!$O$15,+'4. Customer Growth'!$O$25,IF($C40='4. Customer Growth'!$Q$15,+'4. Customer Growth'!$Q$25))))))))</f>
        <v>0</v>
      </c>
      <c r="N40" s="512">
        <f>IF($C40='4. Customer Growth'!$C$15,+'4. Customer Growth'!$C$26,+IF($C40='4. Customer Growth'!$E$15,+'4. Customer Growth'!$E$26,+IF($C40='4. Customer Growth'!$G$15,+'4. Customer Growth'!$G$26,+IF($C40='4. Customer Growth'!$I$15,+'4. Customer Growth'!$I$26,+IF($C40='4. Customer Growth'!$K$15,+'4. Customer Growth'!$K$26,+IF($C40='4. Customer Growth'!$M$15,+'4. Customer Growth'!$M$26,IF($C40='4. Customer Growth'!$O$15,+'4. Customer Growth'!$O$26,IF($C40='4. Customer Growth'!$Q$15,+'4. Customer Growth'!$Q$26))))))))</f>
        <v>0</v>
      </c>
      <c r="O40" s="512">
        <f>IF($C40='4. Customer Growth'!$C$15,+'4. Customer Growth'!$C$42,+IF($C40='4. Customer Growth'!$E$15,+'4. Customer Growth'!$E$42,+IF($C40='4. Customer Growth'!$G$15,+'4. Customer Growth'!$G$42,+IF($C40='4. Customer Growth'!$I$15,+'4. Customer Growth'!$I$42,+IF($C40='4. Customer Growth'!$K$15,+'4. Customer Growth'!$K$42,+IF($C40='4. Customer Growth'!$M$15,+'4. Customer Growth'!$M$42,IF($C40='4. Customer Growth'!$O$15,+'4. Customer Growth'!$O$42,IF($C40='4. Customer Growth'!$Q$15,+'4. Customer Growth'!$Q$42))))))))</f>
        <v>0</v>
      </c>
      <c r="P40" s="513">
        <f>IF($C40='4. Customer Growth'!$C$15,+'4. Customer Growth'!$C$43,+IF($C40='4. Customer Growth'!$E$15,+'4. Customer Growth'!$E$43,+IF($C40='4. Customer Growth'!$G$15,+'4. Customer Growth'!$G$43,+IF($C40='4. Customer Growth'!$I$15,+'4. Customer Growth'!$I$43,+IF($C40='4. Customer Growth'!$K$15,+'4. Customer Growth'!$K$43,+IF($C40='4. Customer Growth'!$M$15,+'4. Customer Growth'!$M$43,IF($C40='4. Customer Growth'!$O$15,+'4. Customer Growth'!$O$43,IF($C40='4. Customer Growth'!$Q$15,+'4. Customer Growth'!$Q$43))))))))</f>
        <v>0</v>
      </c>
    </row>
    <row r="41" spans="2:16" x14ac:dyDescent="0.2">
      <c r="B41" s="89"/>
      <c r="C41" s="778"/>
      <c r="D41" s="59" t="s">
        <v>36</v>
      </c>
      <c r="E41" s="509">
        <f>IF($B40=$F$65,+'7. Weather Senstive Class'!$G$21,IF($B40=$F$66,+'7. Weather Senstive Class'!$O$21,IF($B40=$F$67,+'7. Weather Senstive Class'!$W$21,IF($B40=$F$68,+'7. Weather Senstive Class'!$AE$21,IF($B40=$F$69,+'7. Weather Senstive Class'!$AM$21,IF($B40=$F$70,+'8. KW and Non-Weather Sensitive'!$E$21,IF($B40=$F$71,+'8. KW and Non-Weather Sensitive'!$P$21,IF($B40=$F$72,+'8. KW and Non-Weather Sensitive'!$Z$21,IF($B40=$F$73,+'8. KW and Non-Weather Sensitive'!$AJ$21,IF($B40=$F$74,+'8. KW and Non-Weather Sensitive'!$AT$21))))))))))</f>
        <v>0</v>
      </c>
      <c r="F41" s="509">
        <f>IF($B40=$F$65,+'7. Weather Senstive Class'!$G$22,IF($B40=$F$66,+'7. Weather Senstive Class'!$O$22,IF($B40=$F$67,+'7. Weather Senstive Class'!$W$22,IF($B40=$F$68,+'7. Weather Senstive Class'!$AE$22,IF($B40=$F$69,+'7. Weather Senstive Class'!$AM$22,IF($B40=$F$70,+'8. KW and Non-Weather Sensitive'!$E$22,IF($B40=$F$71,+'8. KW and Non-Weather Sensitive'!$P$22,IF($B40=$F$72,+'8. KW and Non-Weather Sensitive'!$Z$22,IF($B40=$F$73,+'8. KW and Non-Weather Sensitive'!$AJ$22,IF($B40=$F$74,+'8. KW and Non-Weather Sensitive'!$AT$22))))))))))</f>
        <v>0</v>
      </c>
      <c r="G41" s="509">
        <f>IF($B40=$F$65,+'7. Weather Senstive Class'!$G$23,IF($B40=$F$66,+'7. Weather Senstive Class'!$O$23,IF($B40=$F$67,+'7. Weather Senstive Class'!$W$23,IF($B40=$F$68,+'7. Weather Senstive Class'!$AE$23,IF($B40=$F$69,+'7. Weather Senstive Class'!$AM$23,IF($B40=$F$70,+'8. KW and Non-Weather Sensitive'!$E$23,IF($B40=$F$71,+'8. KW and Non-Weather Sensitive'!$P$23,IF($B40=$F$72,+'8. KW and Non-Weather Sensitive'!$Z$23,IF($B40=$F$73,+'8. KW and Non-Weather Sensitive'!$AJ$23,IF($B40=$F$74,+'8. KW and Non-Weather Sensitive'!$AT$23))))))))))</f>
        <v>0</v>
      </c>
      <c r="H41" s="509">
        <f>IF($B40=$F$65,+'7. Weather Senstive Class'!$G$24,IF($B40=$F$66,+'7. Weather Senstive Class'!$O$24,IF($B40=$F$67,+'7. Weather Senstive Class'!$W$24,IF($B40=$F$68,+'7. Weather Senstive Class'!$AE$24,IF($B40=$F$69,+'7. Weather Senstive Class'!$AM$24,IF($B40=$F$70,+'8. KW and Non-Weather Sensitive'!$E$24,IF($B40=$F$71,+'8. KW and Non-Weather Sensitive'!$P$24,IF($B40=$F$72,+'8. KW and Non-Weather Sensitive'!$Z$24,IF($B40=$F$73,+'8. KW and Non-Weather Sensitive'!$AJ$24,IF($B40=$F$74,+'8. KW and Non-Weather Sensitive'!$AT$24))))))))))</f>
        <v>0</v>
      </c>
      <c r="I41" s="509">
        <f>IF($B40=$F$65,+'7. Weather Senstive Class'!$G$25,IF($B40=$F$66,+'7. Weather Senstive Class'!$O$25,IF($B40=$F$67,+'7. Weather Senstive Class'!$W$25,IF($B40=$F$68,+'7. Weather Senstive Class'!$AE$25,IF($B40=$F$69,+'7. Weather Senstive Class'!$AM$25,IF($B40=$F$70,+'8. KW and Non-Weather Sensitive'!$E$25,IF($B40=$F$71,+'8. KW and Non-Weather Sensitive'!$P$25,IF($B40=$F$72,+'8. KW and Non-Weather Sensitive'!$Z$25,IF($B40=$F$73,+'8. KW and Non-Weather Sensitive'!$AJ$25,IF($B40=$F$74,+'8. KW and Non-Weather Sensitive'!$AT$25))))))))))</f>
        <v>0</v>
      </c>
      <c r="J41" s="509">
        <f>IF($B40=$F$65,+'7. Weather Senstive Class'!$G$26,IF($B40=$F$66,+'7. Weather Senstive Class'!$O$26,IF($B40=$F$67,+'7. Weather Senstive Class'!$M$26,IF($B40=$F$68,+'7. Weather Senstive Class'!$AE$26,IF($B40=$F$69,+'7. Weather Senstive Class'!$AM$26,IF($B40=$F$70,+'8. KW and Non-Weather Sensitive'!$E$26,IF($B40=$F$71,+'8. KW and Non-Weather Sensitive'!$P$26,IF($B40=$F$72,+'8. KW and Non-Weather Sensitive'!$Z$26,IF($B40=$F$73,+'8. KW and Non-Weather Sensitive'!$AJ$26,IF($B40=$F$74,+'8. KW and Non-Weather Sensitive'!$AT$26))))))))))</f>
        <v>0</v>
      </c>
      <c r="K41" s="509">
        <f>IF($B40=$F$65,+'7. Weather Senstive Class'!$G$27,IF($B40=$F$66,+'7. Weather Senstive Class'!$O$27,IF($B40=$F$67,+'7. Weather Senstive Class'!$W$27,IF($B40=$F$68,+'7. Weather Senstive Class'!$AE$27,IF($B40=$F$69,+'7. Weather Senstive Class'!$AM$27,IF($B40=$F$70,+'8. KW and Non-Weather Sensitive'!$E$27,IF($B40=$F$71,+'8. KW and Non-Weather Sensitive'!$P$27,IF($B40=$F$72,+'8. KW and Non-Weather Sensitive'!$Z$27,IF($B40=$F$73,+'8. KW and Non-Weather Sensitive'!$AJ$27,IF($B40=$F$74,+'8. KW and Non-Weather Sensitive'!$AT$27))))))))))</f>
        <v>0</v>
      </c>
      <c r="L41" s="509">
        <f>IF($B40=$F$65,+'7. Weather Senstive Class'!$G$28,IF($B40=$F$66,+'7. Weather Senstive Class'!$O$28,IF($B40=$F$67,+'7. Weather Senstive Class'!$W$28,IF($B40=$F$68,+'7. Weather Senstive Class'!$AE$28,IF($B40=$F$69,+'7. Weather Senstive Class'!$AM$28,IF($B40=$F$70,+'8. KW and Non-Weather Sensitive'!$E$28,IF($B40=$F$71,+'8. KW and Non-Weather Sensitive'!$P$28,IF($B40=$F$72,+'8. KW and Non-Weather Sensitive'!$Z$28,IF($B40=$F$73,+'8. KW and Non-Weather Sensitive'!$AJ$28,IF($B40=$F$74,+'8. KW and Non-Weather Sensitive'!$AT$28))))))))))</f>
        <v>0</v>
      </c>
      <c r="M41" s="509">
        <f>IF($B40=$F$65,+'7. Weather Senstive Class'!$G$29,IF($B40=$F$66,+'7. Weather Senstive Class'!$O$29,IF($B40=$F$67,+'7. Weather Senstive Class'!$W$29,IF($B40=$F$68,+'7. Weather Senstive Class'!$AE$29,IF($B40=$F$69,+'7. Weather Senstive Class'!$AM$29,IF($B40=$F$70,+'8. KW and Non-Weather Sensitive'!$E$29,IF($B40=$F$71,+'8. KW and Non-Weather Sensitive'!$P$29,IF($B40=$F$72,+'8. KW and Non-Weather Sensitive'!$Z$29,IF($B40=$F$73,+'8. KW and Non-Weather Sensitive'!$AJ$29,IF($B40=$F$74,+'8. KW and Non-Weather Sensitive'!$AT$29))))))))))</f>
        <v>0</v>
      </c>
      <c r="N41" s="509">
        <f>IF($B40=$F$65,+'7. Weather Senstive Class'!$G$30,IF($B40=$F$66,+'7. Weather Senstive Class'!$O$30,IF($B40=$F$67,+'7. Weather Senstive Class'!$W$30,IF($B40=$F$68,+'7. Weather Senstive Class'!$AE$30,IF($B40=$F$69,+'7. Weather Senstive Class'!$AM$30,IF($B40=$F$70,+'8. KW and Non-Weather Sensitive'!$E$30,IF($B40=$F$71,+'8. KW and Non-Weather Sensitive'!$P$30,IF($B40=$F$72,+'8. KW and Non-Weather Sensitive'!$Z$30,IF($B40=$F$73,+'8. KW and Non-Weather Sensitive'!$AJ$30,IF($B40=$F$74,+'8. KW and Non-Weather Sensitive'!$AT$30))))))))))</f>
        <v>0</v>
      </c>
      <c r="O41" s="512">
        <f>IF($B40=$F$65,+'7. Weather Senstive Class'!$H$42,IF($B40=$F$66,+'7. Weather Senstive Class'!$P$42,IF($B40=$F$67,+'7. Weather Senstive Class'!$X$42,IF($B40=$F$68,+'7. Weather Senstive Class'!$AF$42,IF($B40=$F$69,+'7. Weather Senstive Class'!$AN$42,IF($B40=$F$70,+'8. KW and Non-Weather Sensitive'!$I$49,IF($B40=$F$71,+'8. KW and Non-Weather Sensitive'!$T$49,IF($B40=$F$72,+'8. KW and Non-Weather Sensitive'!$AD$49,IF($B40=$F$73,+'8. KW and Non-Weather Sensitive'!$AN$49,IF($B40=$F$74,+'8. KW and Non-Weather Sensitive'!$AX$49))))))))))</f>
        <v>0</v>
      </c>
      <c r="P41" s="513">
        <f>IF($B40=$F$65,+'7. Weather Senstive Class'!$H$43,IF($B40=$F$66,+'7. Weather Senstive Class'!$P$43,IF($B40=$F$67,+'7. Weather Senstive Class'!$X$43,IF($B40=$F$68,+'7. Weather Senstive Class'!$AF$43,IF($B40=$F$69,+'7. Weather Senstive Class'!$AN$43,IF($B40=$F$70,+'8. KW and Non-Weather Sensitive'!$I$50,IF($B40=$F$71,+'8. KW and Non-Weather Sensitive'!$T$50,IF($B40=$F$72,+'8. KW and Non-Weather Sensitive'!$AD$50,IF($B40=$F$73,+'8. KW and Non-Weather Sensitive'!$AN$50,IF($B40=$F$74,+'8. KW and Non-Weather Sensitive'!$AX$50))))))))))</f>
        <v>0</v>
      </c>
    </row>
    <row r="42" spans="2:16" x14ac:dyDescent="0.2">
      <c r="B42" s="89"/>
      <c r="C42" s="778"/>
      <c r="D42" s="59" t="s">
        <v>37</v>
      </c>
      <c r="E42" s="407">
        <f>IF(B$16=$F$70,+'8. KW and Non-Weather Sensitive'!$F$21,IF($B40=$F$71,+'8. KW and Non-Weather Sensitive'!$Q$21,IF($B40=$F$72,+'8. KW and Non-Weather Sensitive'!$AA$21,IF($B40=$F$73,+'8. KW and Non-Weather Sensitive'!$AK$21,+IF($B40=$F$74,+'8. KW and Non-Weather Sensitive'!$AU$21,0)))))</f>
        <v>0</v>
      </c>
      <c r="F42" s="407">
        <f>IF($B40=$F$70,+'8. KW and Non-Weather Sensitive'!$F$22,IF($B40=$F$71,+'8. KW and Non-Weather Sensitive'!$Q$22,IF($B40=$F$72,+'8. KW and Non-Weather Sensitive'!$AA$22,IF($B40=$F$73,+'8. KW and Non-Weather Sensitive'!$AK$22,+IF($B40=$F$74,+'8. KW and Non-Weather Sensitive'!$AU$22,0)))))</f>
        <v>0</v>
      </c>
      <c r="G42" s="407">
        <f>IF($B40=$F$70,+'8. KW and Non-Weather Sensitive'!$F$23,IF($B40=$F$71,+'8. KW and Non-Weather Sensitive'!$Q$23,IF($B40=$F$72,+'8. KW and Non-Weather Sensitive'!$AA$23,IF($B40=$F$73,+'8. KW and Non-Weather Sensitive'!$AK$23,+IF($B40=$F$74,+'8. KW and Non-Weather Sensitive'!$AU$23,0)))))</f>
        <v>0</v>
      </c>
      <c r="H42" s="407">
        <f>IF($B40=$F$70,+'8. KW and Non-Weather Sensitive'!$F$24,IF($B40=$F$71,+'8. KW and Non-Weather Sensitive'!$Q$24,IF($B40=$F$72,+'8. KW and Non-Weather Sensitive'!$AA$24,IF($B40=$F$73,+'8. KW and Non-Weather Sensitive'!$AK$24,+IF($B40=$F$74,+'8. KW and Non-Weather Sensitive'!$AU$24,0)))))</f>
        <v>0</v>
      </c>
      <c r="I42" s="407">
        <f>IF($B40=$F$70,+'8. KW and Non-Weather Sensitive'!$F$25,IF($B40=$F$71,+'8. KW and Non-Weather Sensitive'!$Q$25,IF($B40=$F$72,+'8. KW and Non-Weather Sensitive'!$AA$25,IF($B40=$F$73,+'8. KW and Non-Weather Sensitive'!$AK$25,+IF($B40=$F$74,+'8. KW and Non-Weather Sensitive'!$AU$25,0)))))</f>
        <v>0</v>
      </c>
      <c r="J42" s="407">
        <f>IF($B40=$F$70,+'8. KW and Non-Weather Sensitive'!$F$26,IF($B40=$F$71,+'8. KW and Non-Weather Sensitive'!$Q$26,IF($B40=$F$72,+'8. KW and Non-Weather Sensitive'!$AA$26,IF($B40=$F$73,+'8. KW and Non-Weather Sensitive'!$AK$26,+IF($B40=$F$74,+'8. KW and Non-Weather Sensitive'!$AU$26,0)))))</f>
        <v>0</v>
      </c>
      <c r="K42" s="407">
        <f>IF($B40=$F$70,+'8. KW and Non-Weather Sensitive'!$F$27,IF($B40=$F$71,+'8. KW and Non-Weather Sensitive'!$Q$27,IF($B40=$F$72,+'8. KW and Non-Weather Sensitive'!$AA$27,IF($B40=$F$73,+'8. KW and Non-Weather Sensitive'!$AK$27,+IF($B40=$F$74,+'8. KW and Non-Weather Sensitive'!$AU$27,0)))))</f>
        <v>0</v>
      </c>
      <c r="L42" s="407">
        <f>IF($B40=$F$70,+'8. KW and Non-Weather Sensitive'!$F$28,IF($B40=$F$71,+'8. KW and Non-Weather Sensitive'!$Q$28,IF($B40=$F$72,+'8. KW and Non-Weather Sensitive'!$AA$28,IF($B40=$F$73,+'8. KW and Non-Weather Sensitive'!$AK$28,+IF($B40=$F$74,+'8. KW and Non-Weather Sensitive'!$AU$28,0)))))</f>
        <v>0</v>
      </c>
      <c r="M42" s="407">
        <f>IF($B40=$F$70,+'8. KW and Non-Weather Sensitive'!$F$29,IF($B40=$F$71,+'8. KW and Non-Weather Sensitive'!$Q$29,IF($B40=$F$72,+'8. KW and Non-Weather Sensitive'!$AA$29,IF($B40=$F$73,+'8. KW and Non-Weather Sensitive'!$AK$29,+IF($B40=$F$74,+'8. KW and Non-Weather Sensitive'!$AU$29,0)))))</f>
        <v>0</v>
      </c>
      <c r="N42" s="407">
        <f>IF($B40=$F$70,+'8. KW and Non-Weather Sensitive'!$F$30,IF($B40=$F$71,+'8. KW and Non-Weather Sensitive'!$Q$30,IF($B40=$F$72,+'8. KW and Non-Weather Sensitive'!$AA$30,IF($B40=$F$73,+'8. KW and Non-Weather Sensitive'!$AK$30,+IF($B40=$F$74,+'8. KW and Non-Weather Sensitive'!$AU$30,0)))))</f>
        <v>0</v>
      </c>
      <c r="O42" s="407">
        <f>IF($B40=$F$70,+'8. KW and Non-Weather Sensitive'!$J$49,IF($B40=$F$71,+'8. KW and Non-Weather Sensitive'!$U$49,IF($B40=$F$72,+'8. KW and Non-Weather Sensitive'!$AE$49,IF($B40=$F$73,+'8. KW and Non-Weather Sensitive'!$AO$49,+IF($B40=$F$74,+'8. KW and Non-Weather Sensitive'!$AY$49,0)))))</f>
        <v>0</v>
      </c>
      <c r="P42" s="511">
        <f>IF($B40=$F$70,+'8. KW and Non-Weather Sensitive'!$J$50,IF($B40=$F$71,+'8. KW and Non-Weather Sensitive'!$U$50,IF($B40=$F$72,+'8. KW and Non-Weather Sensitive'!$AE$50,IF($B40=$F$73,+'8. KW and Non-Weather Sensitive'!$AO$50,+IF($B40=$F$74,+'8. KW and Non-Weather Sensitive'!$AY$50,0)))))</f>
        <v>0</v>
      </c>
    </row>
    <row r="43" spans="2:16" x14ac:dyDescent="0.2">
      <c r="B43" s="89"/>
      <c r="C43" s="779"/>
      <c r="D43" s="59"/>
      <c r="E43" s="410"/>
      <c r="F43" s="410"/>
      <c r="G43" s="410"/>
      <c r="H43" s="410"/>
      <c r="I43" s="410"/>
      <c r="J43" s="410"/>
      <c r="K43" s="410"/>
      <c r="L43" s="410"/>
      <c r="M43" s="410"/>
      <c r="N43" s="410"/>
      <c r="O43" s="411"/>
      <c r="P43" s="412"/>
    </row>
    <row r="44" spans="2:16" hidden="1" x14ac:dyDescent="0.2">
      <c r="B44" s="199">
        <f>'2. Customer Classes'!B21</f>
        <v>0</v>
      </c>
      <c r="C44" s="780"/>
      <c r="D44" s="59" t="s">
        <v>131</v>
      </c>
      <c r="E44" s="410"/>
      <c r="F44" s="410"/>
      <c r="G44" s="410"/>
      <c r="H44" s="410"/>
      <c r="I44" s="410"/>
      <c r="J44" s="410"/>
      <c r="K44" s="410"/>
      <c r="L44" s="410"/>
      <c r="M44" s="410"/>
      <c r="N44" s="410"/>
      <c r="O44" s="411"/>
      <c r="P44" s="412"/>
    </row>
    <row r="45" spans="2:16" hidden="1" x14ac:dyDescent="0.2">
      <c r="B45" s="197"/>
      <c r="C45" s="781"/>
      <c r="D45" s="59" t="s">
        <v>36</v>
      </c>
      <c r="E45" s="410"/>
      <c r="F45" s="410"/>
      <c r="G45" s="410"/>
      <c r="H45" s="410"/>
      <c r="I45" s="410"/>
      <c r="J45" s="410"/>
      <c r="K45" s="410"/>
      <c r="L45" s="410"/>
      <c r="M45" s="410"/>
      <c r="N45" s="410"/>
      <c r="O45" s="411"/>
      <c r="P45" s="412"/>
    </row>
    <row r="46" spans="2:16" hidden="1" x14ac:dyDescent="0.2">
      <c r="B46" s="197"/>
      <c r="C46" s="781"/>
      <c r="D46" s="59" t="s">
        <v>37</v>
      </c>
      <c r="E46" s="410"/>
      <c r="F46" s="410"/>
      <c r="G46" s="410"/>
      <c r="H46" s="410"/>
      <c r="I46" s="410"/>
      <c r="J46" s="410"/>
      <c r="K46" s="410"/>
      <c r="L46" s="410"/>
      <c r="M46" s="410"/>
      <c r="N46" s="410"/>
      <c r="O46" s="411"/>
      <c r="P46" s="412"/>
    </row>
    <row r="47" spans="2:16" hidden="1" x14ac:dyDescent="0.2">
      <c r="B47" s="197"/>
      <c r="C47" s="781"/>
      <c r="D47" s="59"/>
      <c r="E47" s="410"/>
      <c r="F47" s="410"/>
      <c r="G47" s="410"/>
      <c r="H47" s="410"/>
      <c r="I47" s="410"/>
      <c r="J47" s="410"/>
      <c r="K47" s="410"/>
      <c r="L47" s="410"/>
      <c r="M47" s="410"/>
      <c r="N47" s="410"/>
      <c r="O47" s="411"/>
      <c r="P47" s="412"/>
    </row>
    <row r="48" spans="2:16" hidden="1" x14ac:dyDescent="0.2">
      <c r="B48" s="199" t="str">
        <f>'2. Customer Classes'!B22</f>
        <v>other</v>
      </c>
      <c r="C48" s="780"/>
      <c r="D48" s="59" t="s">
        <v>131</v>
      </c>
      <c r="E48" s="410"/>
      <c r="F48" s="410"/>
      <c r="G48" s="410"/>
      <c r="H48" s="410"/>
      <c r="I48" s="410"/>
      <c r="J48" s="410"/>
      <c r="K48" s="410"/>
      <c r="L48" s="410"/>
      <c r="M48" s="410"/>
      <c r="N48" s="410"/>
      <c r="O48" s="411"/>
      <c r="P48" s="412"/>
    </row>
    <row r="49" spans="2:16" hidden="1" x14ac:dyDescent="0.2">
      <c r="B49" s="197"/>
      <c r="C49" s="781"/>
      <c r="D49" s="59" t="s">
        <v>36</v>
      </c>
      <c r="E49" s="410"/>
      <c r="F49" s="410"/>
      <c r="G49" s="410"/>
      <c r="H49" s="410"/>
      <c r="I49" s="410"/>
      <c r="J49" s="410"/>
      <c r="K49" s="410"/>
      <c r="L49" s="410"/>
      <c r="M49" s="410"/>
      <c r="N49" s="410"/>
      <c r="O49" s="411"/>
      <c r="P49" s="412"/>
    </row>
    <row r="50" spans="2:16" hidden="1" x14ac:dyDescent="0.2">
      <c r="B50" s="197"/>
      <c r="C50" s="781"/>
      <c r="D50" s="59" t="s">
        <v>37</v>
      </c>
      <c r="E50" s="410"/>
      <c r="F50" s="410"/>
      <c r="G50" s="410"/>
      <c r="H50" s="410"/>
      <c r="I50" s="410"/>
      <c r="J50" s="410"/>
      <c r="K50" s="410"/>
      <c r="L50" s="410"/>
      <c r="M50" s="410"/>
      <c r="N50" s="410"/>
      <c r="O50" s="411"/>
      <c r="P50" s="412"/>
    </row>
    <row r="51" spans="2:16" hidden="1" x14ac:dyDescent="0.2">
      <c r="B51" s="197"/>
      <c r="C51" s="781"/>
      <c r="D51" s="59"/>
      <c r="E51" s="410"/>
      <c r="F51" s="410"/>
      <c r="G51" s="410"/>
      <c r="H51" s="410"/>
      <c r="I51" s="410"/>
      <c r="J51" s="410"/>
      <c r="K51" s="410"/>
      <c r="L51" s="410"/>
      <c r="M51" s="410"/>
      <c r="N51" s="410"/>
      <c r="O51" s="411"/>
      <c r="P51" s="412"/>
    </row>
    <row r="52" spans="2:16" hidden="1" x14ac:dyDescent="0.2">
      <c r="B52" s="199" t="str">
        <f>'2. Customer Classes'!B23</f>
        <v>other</v>
      </c>
      <c r="C52" s="780"/>
      <c r="D52" s="59" t="s">
        <v>131</v>
      </c>
      <c r="E52" s="410"/>
      <c r="F52" s="410"/>
      <c r="G52" s="410"/>
      <c r="H52" s="410"/>
      <c r="I52" s="410"/>
      <c r="J52" s="410"/>
      <c r="K52" s="410"/>
      <c r="L52" s="410"/>
      <c r="M52" s="410"/>
      <c r="N52" s="410"/>
      <c r="O52" s="411"/>
      <c r="P52" s="412"/>
    </row>
    <row r="53" spans="2:16" hidden="1" x14ac:dyDescent="0.2">
      <c r="B53" s="197"/>
      <c r="C53" s="781"/>
      <c r="D53" s="59" t="s">
        <v>36</v>
      </c>
      <c r="E53" s="407"/>
      <c r="F53" s="407"/>
      <c r="G53" s="407"/>
      <c r="H53" s="407"/>
      <c r="I53" s="407"/>
      <c r="J53" s="407"/>
      <c r="K53" s="407"/>
      <c r="L53" s="407"/>
      <c r="M53" s="407"/>
      <c r="N53" s="407"/>
      <c r="O53" s="408"/>
      <c r="P53" s="409"/>
    </row>
    <row r="54" spans="2:16" hidden="1" x14ac:dyDescent="0.2">
      <c r="B54" s="197"/>
      <c r="C54" s="781"/>
      <c r="D54" s="59" t="s">
        <v>37</v>
      </c>
      <c r="E54" s="410"/>
      <c r="F54" s="410"/>
      <c r="G54" s="410"/>
      <c r="H54" s="410"/>
      <c r="I54" s="410"/>
      <c r="J54" s="410"/>
      <c r="K54" s="410"/>
      <c r="L54" s="410"/>
      <c r="M54" s="410"/>
      <c r="N54" s="410"/>
      <c r="O54" s="411"/>
      <c r="P54" s="412"/>
    </row>
    <row r="55" spans="2:16" ht="13.5" thickBot="1" x14ac:dyDescent="0.25">
      <c r="B55" s="90"/>
      <c r="C55" s="782"/>
      <c r="D55" s="91"/>
      <c r="E55" s="481"/>
      <c r="F55" s="481"/>
      <c r="G55" s="481"/>
      <c r="H55" s="481"/>
      <c r="I55" s="481"/>
      <c r="J55" s="481"/>
      <c r="K55" s="481"/>
      <c r="L55" s="481"/>
      <c r="M55" s="481"/>
      <c r="N55" s="481"/>
      <c r="O55" s="482"/>
      <c r="P55" s="483"/>
    </row>
    <row r="56" spans="2:16" x14ac:dyDescent="0.2">
      <c r="B56" s="475" t="s">
        <v>16</v>
      </c>
      <c r="C56" s="476"/>
      <c r="D56" s="477" t="s">
        <v>131</v>
      </c>
      <c r="E56" s="478">
        <f>E16+E20+E24+E28+E32+E36+E40+E44+E48+E52</f>
        <v>13126</v>
      </c>
      <c r="F56" s="478">
        <f>F16+F20+F24+F28+F32+F36+F40+F44+F48+F52</f>
        <v>13161</v>
      </c>
      <c r="G56" s="478">
        <f t="shared" ref="G56:P56" si="0">G16+G20+G24+G28+G32+G36+G40+G44+G48+G52</f>
        <v>13280</v>
      </c>
      <c r="H56" s="478">
        <f t="shared" si="0"/>
        <v>13260</v>
      </c>
      <c r="I56" s="478">
        <f t="shared" si="0"/>
        <v>13426</v>
      </c>
      <c r="J56" s="478">
        <f t="shared" si="0"/>
        <v>13424</v>
      </c>
      <c r="K56" s="478">
        <f t="shared" si="0"/>
        <v>13543</v>
      </c>
      <c r="L56" s="478">
        <f t="shared" si="0"/>
        <v>13596</v>
      </c>
      <c r="M56" s="478">
        <f t="shared" si="0"/>
        <v>13686.5</v>
      </c>
      <c r="N56" s="478">
        <f t="shared" si="0"/>
        <v>13796</v>
      </c>
      <c r="O56" s="478">
        <f t="shared" si="0"/>
        <v>13874.280651098334</v>
      </c>
      <c r="P56" s="479">
        <f t="shared" si="0"/>
        <v>13956.276005704729</v>
      </c>
    </row>
    <row r="57" spans="2:16" x14ac:dyDescent="0.2">
      <c r="B57" s="214"/>
      <c r="C57" s="405"/>
      <c r="D57" s="215" t="s">
        <v>36</v>
      </c>
      <c r="E57" s="415">
        <f>E17+E21+E25+E29+E33+E37+E41+E45+E49+E53</f>
        <v>198415548</v>
      </c>
      <c r="F57" s="413">
        <f t="shared" ref="F57:P57" si="1">F17+F21+F25+F29+F33+F37+F41+F45+F49+F53</f>
        <v>198466779</v>
      </c>
      <c r="G57" s="413">
        <f t="shared" si="1"/>
        <v>196184705</v>
      </c>
      <c r="H57" s="413">
        <f t="shared" si="1"/>
        <v>196409498</v>
      </c>
      <c r="I57" s="413">
        <f t="shared" si="1"/>
        <v>191997484.59</v>
      </c>
      <c r="J57" s="413">
        <f t="shared" si="1"/>
        <v>188245382.64000002</v>
      </c>
      <c r="K57" s="413">
        <f t="shared" si="1"/>
        <v>189602694.52000001</v>
      </c>
      <c r="L57" s="413">
        <f t="shared" si="1"/>
        <v>188143154.71000001</v>
      </c>
      <c r="M57" s="413">
        <f t="shared" si="1"/>
        <v>188591795.03</v>
      </c>
      <c r="N57" s="413">
        <f t="shared" si="1"/>
        <v>186786341.61999997</v>
      </c>
      <c r="O57" s="413">
        <f t="shared" si="1"/>
        <v>188822394.80606616</v>
      </c>
      <c r="P57" s="414">
        <f t="shared" si="1"/>
        <v>187256920.11024198</v>
      </c>
    </row>
    <row r="58" spans="2:16" ht="13.5" thickBot="1" x14ac:dyDescent="0.25">
      <c r="B58" s="216"/>
      <c r="C58" s="406"/>
      <c r="D58" s="217" t="s">
        <v>37</v>
      </c>
      <c r="E58" s="416">
        <f>E18+E22+E26+E30+E34+E38+E42+E46+E50+E54</f>
        <v>220500</v>
      </c>
      <c r="F58" s="416">
        <f t="shared" ref="F58:P58" si="2">F18+F22+F26+F30+F34+F38+F42+F46+F50+F54</f>
        <v>214551</v>
      </c>
      <c r="G58" s="416">
        <f t="shared" si="2"/>
        <v>220583</v>
      </c>
      <c r="H58" s="416">
        <f t="shared" si="2"/>
        <v>210334</v>
      </c>
      <c r="I58" s="416">
        <f t="shared" si="2"/>
        <v>217261</v>
      </c>
      <c r="J58" s="416">
        <f>J18+J22+J26+J30+J34+J38+J42+J46+J50+J54</f>
        <v>210307</v>
      </c>
      <c r="K58" s="416">
        <f t="shared" si="2"/>
        <v>211149</v>
      </c>
      <c r="L58" s="416">
        <f t="shared" si="2"/>
        <v>215397.4</v>
      </c>
      <c r="M58" s="416">
        <f t="shared" si="2"/>
        <v>223966.9</v>
      </c>
      <c r="N58" s="416">
        <f t="shared" si="2"/>
        <v>213852.46</v>
      </c>
      <c r="O58" s="416">
        <f t="shared" si="2"/>
        <v>206388.18231484928</v>
      </c>
      <c r="P58" s="417">
        <f t="shared" si="2"/>
        <v>202722.19461488427</v>
      </c>
    </row>
    <row r="64" spans="2:16" hidden="1" x14ac:dyDescent="0.2">
      <c r="B64" s="875" t="s">
        <v>193</v>
      </c>
      <c r="C64" s="876"/>
      <c r="D64" s="876"/>
      <c r="E64" s="876"/>
      <c r="F64" s="876"/>
      <c r="G64" s="876"/>
      <c r="H64" s="877"/>
    </row>
    <row r="65" spans="2:8" hidden="1" x14ac:dyDescent="0.2">
      <c r="B65" s="360" t="str">
        <f>+'7. Weather Senstive Class'!B19</f>
        <v>Residential</v>
      </c>
      <c r="C65" s="362"/>
      <c r="D65" s="361" t="s">
        <v>192</v>
      </c>
      <c r="E65" s="362" t="s">
        <v>191</v>
      </c>
      <c r="F65" s="362" t="str">
        <f t="shared" ref="F65:F73" si="3">+CONCATENATE(B65,D65,E65)</f>
        <v>Residential-WN</v>
      </c>
      <c r="G65" s="363"/>
      <c r="H65" s="364"/>
    </row>
    <row r="66" spans="2:8" hidden="1" x14ac:dyDescent="0.2">
      <c r="B66" s="365" t="str">
        <f>+'7. Weather Senstive Class'!J19</f>
        <v>General Service &lt; 50 kW</v>
      </c>
      <c r="C66" s="367"/>
      <c r="D66" s="366" t="s">
        <v>192</v>
      </c>
      <c r="E66" s="367" t="s">
        <v>191</v>
      </c>
      <c r="F66" s="367" t="str">
        <f t="shared" si="3"/>
        <v>General Service &lt; 50 kW-WN</v>
      </c>
      <c r="G66" s="368"/>
      <c r="H66" s="369"/>
    </row>
    <row r="67" spans="2:8" hidden="1" x14ac:dyDescent="0.2">
      <c r="B67" s="365" t="str">
        <f>+'7. Weather Senstive Class'!R19</f>
        <v>General Service &gt; 50 kW - 4999 kW</v>
      </c>
      <c r="C67" s="367"/>
      <c r="D67" s="366" t="s">
        <v>192</v>
      </c>
      <c r="E67" s="367" t="s">
        <v>191</v>
      </c>
      <c r="F67" s="367" t="str">
        <f t="shared" si="3"/>
        <v>General Service &gt; 50 kW - 4999 kW-WN</v>
      </c>
      <c r="G67" s="368"/>
      <c r="H67" s="369"/>
    </row>
    <row r="68" spans="2:8" hidden="1" x14ac:dyDescent="0.2">
      <c r="B68" s="365">
        <f>+'7. Weather Senstive Class'!Z19</f>
        <v>0</v>
      </c>
      <c r="C68" s="367"/>
      <c r="D68" s="366" t="s">
        <v>192</v>
      </c>
      <c r="E68" s="367" t="s">
        <v>191</v>
      </c>
      <c r="F68" s="367" t="str">
        <f t="shared" si="3"/>
        <v>0-WN</v>
      </c>
      <c r="G68" s="368"/>
      <c r="H68" s="369"/>
    </row>
    <row r="69" spans="2:8" hidden="1" x14ac:dyDescent="0.2">
      <c r="B69" s="365">
        <f>+'7. Weather Senstive Class'!AH19</f>
        <v>0</v>
      </c>
      <c r="C69" s="367"/>
      <c r="D69" s="366" t="s">
        <v>192</v>
      </c>
      <c r="E69" s="367" t="s">
        <v>191</v>
      </c>
      <c r="F69" s="367" t="str">
        <f t="shared" si="3"/>
        <v>0-WN</v>
      </c>
      <c r="G69" s="368"/>
      <c r="H69" s="369"/>
    </row>
    <row r="70" spans="2:8" hidden="1" x14ac:dyDescent="0.2">
      <c r="B70" s="365" t="str">
        <f>+'8. KW and Non-Weather Sensitive'!B18</f>
        <v>General Service &gt; 50 kW - 4999 kW</v>
      </c>
      <c r="C70" s="367"/>
      <c r="D70" s="366" t="s">
        <v>192</v>
      </c>
      <c r="E70" s="367" t="s">
        <v>240</v>
      </c>
      <c r="F70" s="367" t="str">
        <f t="shared" si="3"/>
        <v>General Service &gt; 50 kW - 4999 kW-Non-WN/kW</v>
      </c>
      <c r="G70" s="368"/>
      <c r="H70" s="369"/>
    </row>
    <row r="71" spans="2:8" hidden="1" x14ac:dyDescent="0.2">
      <c r="B71" s="365" t="str">
        <f>+'8. KW and Non-Weather Sensitive'!M18</f>
        <v>Streetlighting</v>
      </c>
      <c r="C71" s="367"/>
      <c r="D71" s="366" t="s">
        <v>192</v>
      </c>
      <c r="E71" s="367" t="s">
        <v>240</v>
      </c>
      <c r="F71" s="367" t="str">
        <f t="shared" si="3"/>
        <v>Streetlighting-Non-WN/kW</v>
      </c>
      <c r="G71" s="368"/>
      <c r="H71" s="369"/>
    </row>
    <row r="72" spans="2:8" hidden="1" x14ac:dyDescent="0.2">
      <c r="B72" s="365" t="str">
        <f>+'8. KW and Non-Weather Sensitive'!W18</f>
        <v>Sentinel Lighting</v>
      </c>
      <c r="C72" s="367"/>
      <c r="D72" s="366" t="s">
        <v>192</v>
      </c>
      <c r="E72" s="367" t="s">
        <v>240</v>
      </c>
      <c r="F72" s="367" t="str">
        <f t="shared" si="3"/>
        <v>Sentinel Lighting-Non-WN/kW</v>
      </c>
      <c r="G72" s="368"/>
      <c r="H72" s="369"/>
    </row>
    <row r="73" spans="2:8" hidden="1" x14ac:dyDescent="0.2">
      <c r="B73" s="365" t="str">
        <f>+'8. KW and Non-Weather Sensitive'!AG18</f>
        <v>Unmetered Scattered Load</v>
      </c>
      <c r="C73" s="367"/>
      <c r="D73" s="366" t="s">
        <v>192</v>
      </c>
      <c r="E73" s="367" t="s">
        <v>240</v>
      </c>
      <c r="F73" s="367" t="str">
        <f t="shared" si="3"/>
        <v>Unmetered Scattered Load-Non-WN/kW</v>
      </c>
      <c r="G73" s="368"/>
      <c r="H73" s="369"/>
    </row>
    <row r="74" spans="2:8" hidden="1" x14ac:dyDescent="0.2">
      <c r="B74" s="370">
        <f>+'8. KW and Non-Weather Sensitive'!AQ18</f>
        <v>0</v>
      </c>
      <c r="C74" s="372"/>
      <c r="D74" s="371" t="s">
        <v>192</v>
      </c>
      <c r="E74" s="372" t="s">
        <v>240</v>
      </c>
      <c r="F74" s="372" t="str">
        <f>+CONCATENATE(B74,D74,E74)</f>
        <v>0-Non-WN/kW</v>
      </c>
      <c r="G74" s="373"/>
      <c r="H74" s="374"/>
    </row>
  </sheetData>
  <mergeCells count="1">
    <mergeCell ref="B64:H64"/>
  </mergeCells>
  <dataValidations count="1">
    <dataValidation type="list" allowBlank="1" showInputMessage="1" showErrorMessage="1" sqref="B16 B36 B32 B28 B24 B20 B40">
      <formula1>$F$65:$F$74</formula1>
    </dataValidation>
  </dataValidations>
  <pageMargins left="0.7" right="0.7" top="0.75" bottom="0.75" header="0.3" footer="0.3"/>
  <pageSetup scale="44" orientation="landscape" horizontalDpi="4294967293" r:id="rId1"/>
  <colBreaks count="1" manualBreakCount="1">
    <brk id="1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3"/>
  <sheetViews>
    <sheetView showGridLines="0" topLeftCell="A50" workbookViewId="0">
      <selection activeCell="L32" sqref="L32"/>
    </sheetView>
  </sheetViews>
  <sheetFormatPr defaultColWidth="17.5" defaultRowHeight="12.75" x14ac:dyDescent="0.2"/>
  <cols>
    <col min="1" max="1" width="13.6640625" style="384" customWidth="1"/>
    <col min="2" max="2" width="30.83203125" style="384" bestFit="1" customWidth="1"/>
    <col min="3" max="9" width="19.83203125" style="384" customWidth="1"/>
    <col min="10" max="10" width="13.1640625" style="384" customWidth="1"/>
    <col min="11" max="13" width="17.5" style="384"/>
    <col min="14" max="14" width="21" style="384" bestFit="1" customWidth="1"/>
    <col min="15" max="16384" width="17.5" style="384"/>
  </cols>
  <sheetData>
    <row r="1" spans="1:13" x14ac:dyDescent="0.2">
      <c r="A1" s="758" t="s">
        <v>272</v>
      </c>
    </row>
    <row r="10" spans="1:13" s="102" customFormat="1" x14ac:dyDescent="0.2">
      <c r="H10" s="104"/>
    </row>
    <row r="11" spans="1:13" ht="23.25" x14ac:dyDescent="0.35">
      <c r="B11" s="878" t="s">
        <v>211</v>
      </c>
      <c r="C11" s="878"/>
      <c r="D11" s="878"/>
      <c r="E11" s="878"/>
      <c r="F11" s="878"/>
      <c r="G11" s="878"/>
      <c r="H11" s="878"/>
      <c r="I11" s="878"/>
    </row>
    <row r="12" spans="1:13" ht="14.25" x14ac:dyDescent="0.2">
      <c r="B12" s="569"/>
      <c r="C12" s="569"/>
      <c r="D12" s="569"/>
      <c r="E12" s="569"/>
      <c r="F12" s="569"/>
      <c r="G12" s="569"/>
      <c r="H12" s="569"/>
      <c r="I12" s="569"/>
    </row>
    <row r="13" spans="1:13" ht="75" customHeight="1" x14ac:dyDescent="0.2">
      <c r="B13" s="879" t="s">
        <v>227</v>
      </c>
      <c r="C13" s="879"/>
      <c r="D13" s="879"/>
      <c r="E13" s="879"/>
      <c r="F13" s="879"/>
      <c r="G13" s="879"/>
      <c r="H13" s="879"/>
      <c r="I13" s="879"/>
      <c r="J13" s="106"/>
      <c r="K13" s="107"/>
      <c r="L13" s="108"/>
      <c r="M13" s="108"/>
    </row>
    <row r="14" spans="1:13" ht="14.25" x14ac:dyDescent="0.2">
      <c r="B14" s="569"/>
      <c r="C14" s="569"/>
      <c r="D14" s="569"/>
      <c r="E14" s="569"/>
      <c r="F14" s="569"/>
      <c r="G14" s="569"/>
      <c r="H14" s="569"/>
      <c r="I14" s="569"/>
      <c r="J14" s="103"/>
      <c r="K14" s="107"/>
      <c r="L14" s="108"/>
      <c r="M14" s="108"/>
    </row>
    <row r="15" spans="1:13" ht="23.25" x14ac:dyDescent="0.2">
      <c r="B15" s="904" t="s">
        <v>212</v>
      </c>
      <c r="C15" s="904"/>
      <c r="D15" s="904"/>
      <c r="E15" s="904"/>
      <c r="F15" s="904"/>
      <c r="G15" s="904"/>
      <c r="H15" s="904"/>
      <c r="I15" s="904"/>
    </row>
    <row r="16" spans="1:13" ht="15" thickBot="1" x14ac:dyDescent="0.25">
      <c r="B16" s="570"/>
      <c r="C16" s="571"/>
      <c r="D16" s="571"/>
      <c r="E16" s="571"/>
      <c r="F16" s="571"/>
      <c r="G16" s="571"/>
      <c r="H16" s="569"/>
      <c r="I16" s="569"/>
    </row>
    <row r="17" spans="2:9" ht="15" x14ac:dyDescent="0.25">
      <c r="B17" s="892" t="s">
        <v>50</v>
      </c>
      <c r="C17" s="893"/>
      <c r="D17" s="893"/>
      <c r="E17" s="893"/>
      <c r="F17" s="893"/>
      <c r="G17" s="894"/>
      <c r="H17" s="569"/>
      <c r="I17" s="569"/>
    </row>
    <row r="18" spans="2:9" ht="12.75" customHeight="1" x14ac:dyDescent="0.2">
      <c r="B18" s="908">
        <v>8970000</v>
      </c>
      <c r="C18" s="909"/>
      <c r="D18" s="909"/>
      <c r="E18" s="909"/>
      <c r="F18" s="909"/>
      <c r="G18" s="910"/>
      <c r="H18" s="569"/>
      <c r="I18" s="569"/>
    </row>
    <row r="19" spans="2:9" ht="15" x14ac:dyDescent="0.25">
      <c r="B19" s="572"/>
      <c r="C19" s="573">
        <v>2011</v>
      </c>
      <c r="D19" s="573">
        <v>2012</v>
      </c>
      <c r="E19" s="573">
        <v>2013</v>
      </c>
      <c r="F19" s="573">
        <v>2014</v>
      </c>
      <c r="G19" s="574" t="s">
        <v>16</v>
      </c>
      <c r="H19" s="569"/>
      <c r="I19" s="569"/>
    </row>
    <row r="20" spans="2:9" ht="14.25" x14ac:dyDescent="0.2">
      <c r="B20" s="575" t="s">
        <v>51</v>
      </c>
      <c r="C20" s="747">
        <f>C26/$G$30</f>
        <v>8.8963210702341131E-2</v>
      </c>
      <c r="D20" s="576">
        <f>D26/$G$30</f>
        <v>8.8963210702341131E-2</v>
      </c>
      <c r="E20" s="576">
        <f>E26/$G$30</f>
        <v>8.7959866220735788E-2</v>
      </c>
      <c r="F20" s="577">
        <f>F26/$G$30</f>
        <v>7.8149386845039012E-2</v>
      </c>
      <c r="G20" s="578">
        <f>SUM(C20:F20)</f>
        <v>0.34403567447045708</v>
      </c>
      <c r="H20" s="569"/>
      <c r="I20" s="569"/>
    </row>
    <row r="21" spans="2:9" ht="14.25" x14ac:dyDescent="0.2">
      <c r="B21" s="575" t="s">
        <v>52</v>
      </c>
      <c r="C21" s="579"/>
      <c r="D21" s="576">
        <f>D27/$G$30</f>
        <v>8.6510590858416947E-2</v>
      </c>
      <c r="E21" s="576">
        <f>E27/$G$30</f>
        <v>8.6510590858416947E-2</v>
      </c>
      <c r="F21" s="577">
        <f>F27/$G$30</f>
        <v>8.595317725752509E-2</v>
      </c>
      <c r="G21" s="578">
        <f>SUM(C21:F21)</f>
        <v>0.258974358974359</v>
      </c>
      <c r="H21" s="569"/>
      <c r="I21" s="569"/>
    </row>
    <row r="22" spans="2:9" ht="14.25" x14ac:dyDescent="0.2">
      <c r="B22" s="575" t="s">
        <v>53</v>
      </c>
      <c r="C22" s="579"/>
      <c r="D22" s="579"/>
      <c r="E22" s="576">
        <f>E28/$G$30</f>
        <v>8.0713489409141581E-2</v>
      </c>
      <c r="F22" s="577">
        <f>F28/$G$30</f>
        <v>8.0713489409141581E-2</v>
      </c>
      <c r="G22" s="578">
        <f>SUM(C22:F22)</f>
        <v>0.16142697881828316</v>
      </c>
      <c r="H22" s="569"/>
      <c r="I22" s="569"/>
    </row>
    <row r="23" spans="2:9" ht="15" thickBot="1" x14ac:dyDescent="0.25">
      <c r="B23" s="580" t="s">
        <v>54</v>
      </c>
      <c r="C23" s="581"/>
      <c r="D23" s="581"/>
      <c r="E23" s="581"/>
      <c r="F23" s="582">
        <f>F29/$G$30</f>
        <v>0.22630992196209587</v>
      </c>
      <c r="G23" s="583">
        <f>SUM(C23:F23)</f>
        <v>0.22630992196209587</v>
      </c>
      <c r="H23" s="569"/>
      <c r="I23" s="569"/>
    </row>
    <row r="24" spans="2:9" ht="12.75" customHeight="1" thickTop="1" x14ac:dyDescent="0.25">
      <c r="B24" s="584" t="s">
        <v>55</v>
      </c>
      <c r="C24" s="585">
        <f>SUM(C20:C23)</f>
        <v>8.8963210702341131E-2</v>
      </c>
      <c r="D24" s="585">
        <f>SUM(D20:D23)</f>
        <v>0.17547380156075809</v>
      </c>
      <c r="E24" s="585">
        <f>SUM(E20:E23)</f>
        <v>0.25518394648829434</v>
      </c>
      <c r="F24" s="586">
        <f>SUM(F20:F23)</f>
        <v>0.47112597547380153</v>
      </c>
      <c r="G24" s="587">
        <f>SUM(C24:F24)</f>
        <v>0.99074693422519511</v>
      </c>
      <c r="H24" s="569"/>
      <c r="I24" s="569"/>
    </row>
    <row r="25" spans="2:9" ht="12.75" customHeight="1" x14ac:dyDescent="0.2">
      <c r="B25" s="887" t="s">
        <v>36</v>
      </c>
      <c r="C25" s="888"/>
      <c r="D25" s="888"/>
      <c r="E25" s="888"/>
      <c r="F25" s="888"/>
      <c r="G25" s="889"/>
      <c r="H25" s="569"/>
      <c r="I25" s="569"/>
    </row>
    <row r="26" spans="2:9" ht="14.25" x14ac:dyDescent="0.2">
      <c r="B26" s="575" t="s">
        <v>51</v>
      </c>
      <c r="C26" s="588">
        <v>798000</v>
      </c>
      <c r="D26" s="588">
        <v>798000</v>
      </c>
      <c r="E26" s="588">
        <v>789000</v>
      </c>
      <c r="F26" s="589">
        <v>701000</v>
      </c>
      <c r="G26" s="590">
        <v>3086000</v>
      </c>
      <c r="H26" s="569"/>
      <c r="I26" s="569"/>
    </row>
    <row r="27" spans="2:9" ht="14.25" x14ac:dyDescent="0.2">
      <c r="B27" s="575" t="s">
        <v>52</v>
      </c>
      <c r="C27" s="591">
        <v>-16000</v>
      </c>
      <c r="D27" s="592">
        <v>776000</v>
      </c>
      <c r="E27" s="592">
        <v>776000</v>
      </c>
      <c r="F27" s="593">
        <v>771000</v>
      </c>
      <c r="G27" s="590">
        <v>2307000</v>
      </c>
      <c r="H27" s="569"/>
      <c r="I27" s="569"/>
    </row>
    <row r="28" spans="2:9" ht="14.25" x14ac:dyDescent="0.2">
      <c r="B28" s="575" t="s">
        <v>53</v>
      </c>
      <c r="C28" s="591"/>
      <c r="D28" s="591">
        <v>99000</v>
      </c>
      <c r="E28" s="592">
        <v>724000</v>
      </c>
      <c r="F28" s="593">
        <v>724000</v>
      </c>
      <c r="G28" s="590">
        <v>1547000</v>
      </c>
      <c r="H28" s="569"/>
      <c r="I28" s="569"/>
    </row>
    <row r="29" spans="2:9" ht="15" thickBot="1" x14ac:dyDescent="0.25">
      <c r="B29" s="580" t="s">
        <v>54</v>
      </c>
      <c r="C29" s="594"/>
      <c r="D29" s="594"/>
      <c r="E29" s="594"/>
      <c r="F29" s="595">
        <f>MAX(0,B18-SUM(C26:F28))</f>
        <v>2030000</v>
      </c>
      <c r="G29" s="596">
        <f>SUM(C29:F29)</f>
        <v>2030000</v>
      </c>
      <c r="H29" s="569"/>
      <c r="I29" s="569"/>
    </row>
    <row r="30" spans="2:9" ht="16.5" thickTop="1" thickBot="1" x14ac:dyDescent="0.3">
      <c r="B30" s="597" t="s">
        <v>55</v>
      </c>
      <c r="C30" s="598">
        <f>SUM(C26:C29)</f>
        <v>782000</v>
      </c>
      <c r="D30" s="598">
        <f>SUM(D26:D29)</f>
        <v>1673000</v>
      </c>
      <c r="E30" s="598">
        <f>SUM(E26:E29)</f>
        <v>2289000</v>
      </c>
      <c r="F30" s="599">
        <f>SUM(F26:F29)</f>
        <v>4226000</v>
      </c>
      <c r="G30" s="600">
        <f>SUM(G26:G29)</f>
        <v>8970000</v>
      </c>
      <c r="H30" s="569"/>
      <c r="I30" s="569"/>
    </row>
    <row r="31" spans="2:9" ht="15" x14ac:dyDescent="0.25">
      <c r="B31" s="601"/>
      <c r="C31" s="602"/>
      <c r="D31" s="602"/>
      <c r="E31" s="602"/>
      <c r="F31" s="602"/>
      <c r="G31" s="602"/>
      <c r="H31" s="569"/>
      <c r="I31" s="569"/>
    </row>
    <row r="32" spans="2:9" ht="23.25" x14ac:dyDescent="0.2">
      <c r="B32" s="904" t="s">
        <v>196</v>
      </c>
      <c r="C32" s="904"/>
      <c r="D32" s="904"/>
      <c r="E32" s="904"/>
      <c r="F32" s="904"/>
      <c r="G32" s="904"/>
      <c r="H32" s="569"/>
      <c r="I32" s="569"/>
    </row>
    <row r="33" spans="2:9" ht="15" x14ac:dyDescent="0.25">
      <c r="B33" s="601"/>
      <c r="C33" s="602"/>
      <c r="D33" s="602"/>
      <c r="E33" s="602"/>
      <c r="F33" s="602"/>
      <c r="G33" s="602"/>
      <c r="H33" s="569"/>
      <c r="I33" s="569"/>
    </row>
    <row r="34" spans="2:9" ht="86.25" customHeight="1" x14ac:dyDescent="0.2">
      <c r="B34" s="883" t="s">
        <v>197</v>
      </c>
      <c r="C34" s="883"/>
      <c r="D34" s="883"/>
      <c r="E34" s="883"/>
      <c r="F34" s="883"/>
      <c r="G34" s="883"/>
      <c r="H34" s="883"/>
      <c r="I34" s="883"/>
    </row>
    <row r="35" spans="2:9" ht="15.75" thickBot="1" x14ac:dyDescent="0.3">
      <c r="B35" s="601"/>
      <c r="C35" s="602"/>
      <c r="D35" s="602"/>
      <c r="E35" s="602"/>
      <c r="F35" s="602"/>
      <c r="G35" s="602"/>
      <c r="H35" s="569"/>
      <c r="I35" s="569"/>
    </row>
    <row r="36" spans="2:9" ht="15" x14ac:dyDescent="0.2">
      <c r="B36" s="905" t="s">
        <v>198</v>
      </c>
      <c r="C36" s="906"/>
      <c r="D36" s="906"/>
      <c r="E36" s="906"/>
      <c r="F36" s="906"/>
      <c r="G36" s="906"/>
      <c r="H36" s="906"/>
      <c r="I36" s="907"/>
    </row>
    <row r="37" spans="2:9" ht="14.25" x14ac:dyDescent="0.2">
      <c r="B37" s="901">
        <v>10000000</v>
      </c>
      <c r="C37" s="902"/>
      <c r="D37" s="902"/>
      <c r="E37" s="902"/>
      <c r="F37" s="902"/>
      <c r="G37" s="902"/>
      <c r="H37" s="902"/>
      <c r="I37" s="903"/>
    </row>
    <row r="38" spans="2:9" ht="15" x14ac:dyDescent="0.25">
      <c r="B38" s="603"/>
      <c r="C38" s="604">
        <v>2015</v>
      </c>
      <c r="D38" s="604">
        <v>2016</v>
      </c>
      <c r="E38" s="604">
        <v>2017</v>
      </c>
      <c r="F38" s="604">
        <v>2018</v>
      </c>
      <c r="G38" s="604">
        <v>2019</v>
      </c>
      <c r="H38" s="604">
        <v>2020</v>
      </c>
      <c r="I38" s="605" t="s">
        <v>16</v>
      </c>
    </row>
    <row r="39" spans="2:9" ht="15" customHeight="1" x14ac:dyDescent="0.2">
      <c r="B39" s="884" t="s">
        <v>199</v>
      </c>
      <c r="C39" s="885"/>
      <c r="D39" s="885"/>
      <c r="E39" s="885"/>
      <c r="F39" s="885"/>
      <c r="G39" s="885"/>
      <c r="H39" s="885"/>
      <c r="I39" s="886"/>
    </row>
    <row r="40" spans="2:9" ht="14.25" x14ac:dyDescent="0.2">
      <c r="B40" s="575" t="s">
        <v>200</v>
      </c>
      <c r="C40" s="576">
        <f>C48/$I$54</f>
        <v>0.16666666666666666</v>
      </c>
      <c r="D40" s="606"/>
      <c r="E40" s="606"/>
      <c r="F40" s="606"/>
      <c r="G40" s="606"/>
      <c r="H40" s="607"/>
      <c r="I40" s="578">
        <f>SUM(C40:H40)</f>
        <v>0.16666666666666666</v>
      </c>
    </row>
    <row r="41" spans="2:9" ht="15" customHeight="1" x14ac:dyDescent="0.2">
      <c r="B41" s="575" t="s">
        <v>201</v>
      </c>
      <c r="C41" s="579"/>
      <c r="D41" s="576">
        <f>D49/$I$54</f>
        <v>0.16666666666666666</v>
      </c>
      <c r="E41" s="606"/>
      <c r="F41" s="606"/>
      <c r="G41" s="606"/>
      <c r="H41" s="607"/>
      <c r="I41" s="578">
        <f>SUM(C41:H41)</f>
        <v>0.16666666666666666</v>
      </c>
    </row>
    <row r="42" spans="2:9" ht="14.25" x14ac:dyDescent="0.2">
      <c r="B42" s="575" t="s">
        <v>202</v>
      </c>
      <c r="C42" s="579"/>
      <c r="D42" s="579"/>
      <c r="E42" s="576">
        <f>E50/$I$54</f>
        <v>0.16666666666666666</v>
      </c>
      <c r="F42" s="606"/>
      <c r="G42" s="606"/>
      <c r="H42" s="607"/>
      <c r="I42" s="578">
        <f>SUM(C42:H42)</f>
        <v>0.16666666666666666</v>
      </c>
    </row>
    <row r="43" spans="2:9" ht="14.25" x14ac:dyDescent="0.2">
      <c r="B43" s="575" t="s">
        <v>203</v>
      </c>
      <c r="C43" s="579"/>
      <c r="D43" s="579"/>
      <c r="E43" s="576"/>
      <c r="F43" s="576">
        <f>F51/$I$54</f>
        <v>0.16666666666666666</v>
      </c>
      <c r="G43" s="606"/>
      <c r="H43" s="607"/>
      <c r="I43" s="578">
        <f>SUM(F43:H43)</f>
        <v>0.16666666666666666</v>
      </c>
    </row>
    <row r="44" spans="2:9" ht="14.25" x14ac:dyDescent="0.2">
      <c r="B44" s="575" t="s">
        <v>204</v>
      </c>
      <c r="C44" s="579"/>
      <c r="D44" s="579"/>
      <c r="E44" s="576"/>
      <c r="F44" s="576"/>
      <c r="G44" s="576">
        <f>G52/$I$54</f>
        <v>0.16666666666666666</v>
      </c>
      <c r="H44" s="607"/>
      <c r="I44" s="578">
        <f>SUM(G44:H44)</f>
        <v>0.16666666666666666</v>
      </c>
    </row>
    <row r="45" spans="2:9" ht="15" thickBot="1" x14ac:dyDescent="0.25">
      <c r="B45" s="580" t="s">
        <v>205</v>
      </c>
      <c r="C45" s="581"/>
      <c r="D45" s="581"/>
      <c r="E45" s="581"/>
      <c r="F45" s="581"/>
      <c r="G45" s="581"/>
      <c r="H45" s="582">
        <f>H53/$I$54</f>
        <v>0.16666666666666666</v>
      </c>
      <c r="I45" s="583">
        <f>SUM(C45:H45)</f>
        <v>0.16666666666666666</v>
      </c>
    </row>
    <row r="46" spans="2:9" ht="15.75" thickTop="1" x14ac:dyDescent="0.25">
      <c r="B46" s="608" t="s">
        <v>55</v>
      </c>
      <c r="C46" s="609">
        <f>SUM(C40:C45)</f>
        <v>0.16666666666666666</v>
      </c>
      <c r="D46" s="609">
        <f>SUM(D40:D45)</f>
        <v>0.16666666666666666</v>
      </c>
      <c r="E46" s="609">
        <f>SUM(E40:E45)</f>
        <v>0.16666666666666666</v>
      </c>
      <c r="F46" s="609">
        <f>SUM(F40:F43)</f>
        <v>0.16666666666666666</v>
      </c>
      <c r="G46" s="609">
        <f>SUM(G40:G44)</f>
        <v>0.16666666666666666</v>
      </c>
      <c r="H46" s="610">
        <f>SUM(H40:H45)</f>
        <v>0.16666666666666666</v>
      </c>
      <c r="I46" s="611">
        <f>SUM(C46:H46)</f>
        <v>0.99999999999999989</v>
      </c>
    </row>
    <row r="47" spans="2:9" ht="15" x14ac:dyDescent="0.2">
      <c r="B47" s="887" t="s">
        <v>36</v>
      </c>
      <c r="C47" s="888"/>
      <c r="D47" s="888"/>
      <c r="E47" s="888"/>
      <c r="F47" s="888"/>
      <c r="G47" s="888"/>
      <c r="H47" s="888"/>
      <c r="I47" s="889"/>
    </row>
    <row r="48" spans="2:9" ht="15" customHeight="1" x14ac:dyDescent="0.2">
      <c r="B48" s="575" t="str">
        <f t="shared" ref="B48:B53" si="0">B40</f>
        <v>2015 CDM Programs</v>
      </c>
      <c r="C48" s="588">
        <f>1/6*B37</f>
        <v>1666666.6666666665</v>
      </c>
      <c r="D48" s="612"/>
      <c r="E48" s="606"/>
      <c r="F48" s="612"/>
      <c r="G48" s="612"/>
      <c r="H48" s="613"/>
      <c r="I48" s="590">
        <f>SUM(C48:H48)</f>
        <v>1666666.6666666665</v>
      </c>
    </row>
    <row r="49" spans="2:9" ht="14.25" x14ac:dyDescent="0.2">
      <c r="B49" s="575" t="str">
        <f t="shared" si="0"/>
        <v>2016 CDM Programs</v>
      </c>
      <c r="C49" s="591"/>
      <c r="D49" s="592">
        <f>C48</f>
        <v>1666666.6666666665</v>
      </c>
      <c r="E49" s="614"/>
      <c r="F49" s="614"/>
      <c r="G49" s="614"/>
      <c r="H49" s="615"/>
      <c r="I49" s="590">
        <f>SUM(C49:H49)</f>
        <v>1666666.6666666665</v>
      </c>
    </row>
    <row r="50" spans="2:9" ht="14.25" x14ac:dyDescent="0.2">
      <c r="B50" s="575" t="str">
        <f t="shared" si="0"/>
        <v>2017 CDM Programs</v>
      </c>
      <c r="C50" s="591"/>
      <c r="D50" s="591"/>
      <c r="E50" s="592">
        <f>D49</f>
        <v>1666666.6666666665</v>
      </c>
      <c r="F50" s="614"/>
      <c r="G50" s="614"/>
      <c r="H50" s="615"/>
      <c r="I50" s="590">
        <f>SUM(C50:H50)</f>
        <v>1666666.6666666665</v>
      </c>
    </row>
    <row r="51" spans="2:9" ht="14.25" x14ac:dyDescent="0.2">
      <c r="B51" s="575" t="str">
        <f t="shared" si="0"/>
        <v>2018 CDM Programs</v>
      </c>
      <c r="C51" s="591"/>
      <c r="D51" s="591"/>
      <c r="E51" s="616"/>
      <c r="F51" s="588">
        <f>E50</f>
        <v>1666666.6666666665</v>
      </c>
      <c r="G51" s="612"/>
      <c r="H51" s="613"/>
      <c r="I51" s="590">
        <f>SUM(F51:H51)</f>
        <v>1666666.6666666665</v>
      </c>
    </row>
    <row r="52" spans="2:9" ht="14.25" x14ac:dyDescent="0.2">
      <c r="B52" s="575" t="str">
        <f t="shared" si="0"/>
        <v>2019 CDM Programs</v>
      </c>
      <c r="C52" s="591"/>
      <c r="D52" s="591"/>
      <c r="E52" s="616"/>
      <c r="F52" s="616"/>
      <c r="G52" s="588">
        <f>F51</f>
        <v>1666666.6666666665</v>
      </c>
      <c r="H52" s="613"/>
      <c r="I52" s="590">
        <f>SUM(G52:H52)</f>
        <v>1666666.6666666665</v>
      </c>
    </row>
    <row r="53" spans="2:9" ht="16.5" customHeight="1" thickBot="1" x14ac:dyDescent="0.25">
      <c r="B53" s="580" t="str">
        <f t="shared" si="0"/>
        <v>2020 CDM Programs</v>
      </c>
      <c r="C53" s="594"/>
      <c r="D53" s="594"/>
      <c r="E53" s="594"/>
      <c r="F53" s="594"/>
      <c r="G53" s="594"/>
      <c r="H53" s="617">
        <f>G52</f>
        <v>1666666.6666666665</v>
      </c>
      <c r="I53" s="596">
        <f>SUM(C53:H53)</f>
        <v>1666666.6666666665</v>
      </c>
    </row>
    <row r="54" spans="2:9" ht="16.5" thickTop="1" thickBot="1" x14ac:dyDescent="0.3">
      <c r="B54" s="597" t="s">
        <v>55</v>
      </c>
      <c r="C54" s="598">
        <f>SUM(C48:C53)</f>
        <v>1666666.6666666665</v>
      </c>
      <c r="D54" s="598">
        <f>SUM(D48:D53)</f>
        <v>1666666.6666666665</v>
      </c>
      <c r="E54" s="598">
        <f>SUM(E48:E53)</f>
        <v>1666666.6666666665</v>
      </c>
      <c r="F54" s="598">
        <f>SUM(F48:F51)</f>
        <v>1666666.6666666665</v>
      </c>
      <c r="G54" s="598">
        <f>SUM(G48:G52)</f>
        <v>1666666.6666666665</v>
      </c>
      <c r="H54" s="599">
        <f>SUM(H48:H53)</f>
        <v>1666666.6666666665</v>
      </c>
      <c r="I54" s="600">
        <f>B37</f>
        <v>10000000</v>
      </c>
    </row>
    <row r="55" spans="2:9" ht="15" x14ac:dyDescent="0.25">
      <c r="B55" s="601"/>
      <c r="C55" s="602"/>
      <c r="D55" s="602"/>
      <c r="E55" s="602"/>
      <c r="F55" s="602"/>
      <c r="G55" s="602"/>
      <c r="H55" s="569"/>
      <c r="I55" s="569"/>
    </row>
    <row r="56" spans="2:9" ht="23.25" x14ac:dyDescent="0.35">
      <c r="B56" s="890" t="s">
        <v>206</v>
      </c>
      <c r="C56" s="890"/>
      <c r="D56" s="890"/>
      <c r="E56" s="890"/>
      <c r="F56" s="890"/>
      <c r="G56" s="890"/>
      <c r="H56" s="890"/>
      <c r="I56" s="890"/>
    </row>
    <row r="57" spans="2:9" ht="15" x14ac:dyDescent="0.25">
      <c r="B57" s="601"/>
      <c r="C57" s="602"/>
      <c r="D57" s="602"/>
      <c r="E57" s="602"/>
      <c r="F57" s="602"/>
      <c r="G57" s="602"/>
      <c r="H57" s="569"/>
      <c r="I57" s="569"/>
    </row>
    <row r="58" spans="2:9" ht="60" customHeight="1" x14ac:dyDescent="0.2">
      <c r="B58" s="883" t="s">
        <v>207</v>
      </c>
      <c r="C58" s="883"/>
      <c r="D58" s="883"/>
      <c r="E58" s="883"/>
      <c r="F58" s="883"/>
      <c r="G58" s="883"/>
      <c r="H58" s="883"/>
      <c r="I58" s="883"/>
    </row>
    <row r="59" spans="2:9" ht="15" customHeight="1" x14ac:dyDescent="0.2">
      <c r="B59" s="883" t="s">
        <v>208</v>
      </c>
      <c r="C59" s="883"/>
      <c r="D59" s="883"/>
      <c r="E59" s="883"/>
      <c r="F59" s="883"/>
      <c r="G59" s="883"/>
      <c r="H59" s="883"/>
      <c r="I59" s="883"/>
    </row>
    <row r="60" spans="2:9" ht="15" thickBot="1" x14ac:dyDescent="0.25">
      <c r="B60" s="618"/>
      <c r="C60" s="619"/>
      <c r="D60" s="619"/>
      <c r="E60" s="619"/>
      <c r="F60" s="619"/>
      <c r="G60" s="619"/>
      <c r="H60" s="569"/>
      <c r="I60" s="569"/>
    </row>
    <row r="61" spans="2:9" ht="15" x14ac:dyDescent="0.25">
      <c r="B61" s="892" t="s">
        <v>70</v>
      </c>
      <c r="C61" s="893"/>
      <c r="D61" s="893"/>
      <c r="E61" s="893"/>
      <c r="F61" s="893"/>
      <c r="G61" s="894"/>
      <c r="H61" s="569"/>
      <c r="I61" s="569"/>
    </row>
    <row r="62" spans="2:9" ht="15" x14ac:dyDescent="0.25">
      <c r="B62" s="620"/>
      <c r="C62" s="621"/>
      <c r="D62" s="621"/>
      <c r="E62" s="621"/>
      <c r="F62" s="621"/>
      <c r="G62" s="622"/>
      <c r="H62" s="569"/>
      <c r="I62" s="569"/>
    </row>
    <row r="63" spans="2:9" ht="15" x14ac:dyDescent="0.25">
      <c r="B63" s="895" t="s">
        <v>71</v>
      </c>
      <c r="C63" s="896"/>
      <c r="D63" s="896"/>
      <c r="E63" s="896"/>
      <c r="F63" s="896"/>
      <c r="G63" s="623" t="s">
        <v>72</v>
      </c>
      <c r="H63" s="569"/>
      <c r="I63" s="569"/>
    </row>
    <row r="64" spans="2:9" ht="15" x14ac:dyDescent="0.25">
      <c r="B64" s="624"/>
      <c r="C64" s="625"/>
      <c r="D64" s="625"/>
      <c r="E64" s="625"/>
      <c r="F64" s="625"/>
      <c r="G64" s="626"/>
      <c r="H64" s="569"/>
      <c r="I64" s="569"/>
    </row>
    <row r="65" spans="2:9" ht="45" x14ac:dyDescent="0.25">
      <c r="B65" s="627"/>
      <c r="C65" s="628"/>
      <c r="D65" s="621" t="s">
        <v>56</v>
      </c>
      <c r="E65" s="621" t="s">
        <v>57</v>
      </c>
      <c r="F65" s="621" t="s">
        <v>58</v>
      </c>
      <c r="G65" s="629" t="s">
        <v>73</v>
      </c>
      <c r="H65" s="569"/>
      <c r="I65" s="569"/>
    </row>
    <row r="66" spans="2:9" ht="15" customHeight="1" x14ac:dyDescent="0.2">
      <c r="B66" s="897" t="s">
        <v>74</v>
      </c>
      <c r="C66" s="898"/>
      <c r="D66" s="630" t="s">
        <v>36</v>
      </c>
      <c r="E66" s="630" t="s">
        <v>36</v>
      </c>
      <c r="F66" s="630" t="s">
        <v>36</v>
      </c>
      <c r="G66" s="631" t="s">
        <v>75</v>
      </c>
      <c r="H66" s="569"/>
      <c r="I66" s="569"/>
    </row>
    <row r="67" spans="2:9" ht="15" x14ac:dyDescent="0.2">
      <c r="B67" s="632" t="s">
        <v>76</v>
      </c>
      <c r="C67" s="633"/>
      <c r="D67" s="634"/>
      <c r="E67" s="634"/>
      <c r="F67" s="635"/>
      <c r="G67" s="636"/>
      <c r="H67" s="569"/>
      <c r="I67" s="569"/>
    </row>
    <row r="68" spans="2:9" ht="15" x14ac:dyDescent="0.2">
      <c r="B68" s="632" t="s">
        <v>77</v>
      </c>
      <c r="C68" s="633"/>
      <c r="D68" s="634"/>
      <c r="E68" s="634"/>
      <c r="F68" s="635"/>
      <c r="G68" s="636"/>
      <c r="H68" s="569"/>
      <c r="I68" s="569"/>
    </row>
    <row r="69" spans="2:9" ht="15" x14ac:dyDescent="0.2">
      <c r="B69" s="632" t="s">
        <v>78</v>
      </c>
      <c r="C69" s="633"/>
      <c r="D69" s="634"/>
      <c r="E69" s="634"/>
      <c r="F69" s="635"/>
      <c r="G69" s="636"/>
      <c r="H69" s="569"/>
      <c r="I69" s="569"/>
    </row>
    <row r="70" spans="2:9" ht="15.75" thickBot="1" x14ac:dyDescent="0.25">
      <c r="B70" s="637" t="s">
        <v>209</v>
      </c>
      <c r="C70" s="638"/>
      <c r="D70" s="639"/>
      <c r="E70" s="639"/>
      <c r="F70" s="635"/>
      <c r="G70" s="636"/>
      <c r="H70" s="569"/>
      <c r="I70" s="569"/>
    </row>
    <row r="71" spans="2:9" ht="16.5" customHeight="1" thickTop="1" thickBot="1" x14ac:dyDescent="0.25">
      <c r="B71" s="899" t="s">
        <v>210</v>
      </c>
      <c r="C71" s="900"/>
      <c r="D71" s="640">
        <f>SUM(D67:D70)</f>
        <v>0</v>
      </c>
      <c r="E71" s="640">
        <f>SUM(E67:E70)</f>
        <v>0</v>
      </c>
      <c r="F71" s="641">
        <f>D71-E71</f>
        <v>0</v>
      </c>
      <c r="G71" s="642">
        <f>IF(E71=0,0,IF(G63="net",0,F71/E71))</f>
        <v>0</v>
      </c>
      <c r="H71" s="569"/>
      <c r="I71" s="569"/>
    </row>
    <row r="72" spans="2:9" ht="15" x14ac:dyDescent="0.2">
      <c r="B72" s="643"/>
      <c r="C72" s="643"/>
      <c r="D72" s="644"/>
      <c r="E72" s="644"/>
      <c r="F72" s="579"/>
      <c r="G72" s="645"/>
      <c r="H72" s="569"/>
      <c r="I72" s="569"/>
    </row>
    <row r="73" spans="2:9" ht="38.25" customHeight="1" x14ac:dyDescent="0.2">
      <c r="B73" s="883" t="s">
        <v>79</v>
      </c>
      <c r="C73" s="883"/>
      <c r="D73" s="883"/>
      <c r="E73" s="883"/>
      <c r="F73" s="883"/>
      <c r="G73" s="883"/>
      <c r="H73" s="883"/>
      <c r="I73" s="883"/>
    </row>
    <row r="74" spans="2:9" ht="33.75" customHeight="1" x14ac:dyDescent="0.2">
      <c r="B74" s="883" t="s">
        <v>80</v>
      </c>
      <c r="C74" s="883"/>
      <c r="D74" s="883"/>
      <c r="E74" s="883"/>
      <c r="F74" s="883"/>
      <c r="G74" s="883"/>
      <c r="H74" s="883"/>
      <c r="I74" s="883"/>
    </row>
    <row r="75" spans="2:9" ht="15" x14ac:dyDescent="0.2">
      <c r="B75" s="643"/>
      <c r="C75" s="646"/>
      <c r="D75" s="644"/>
      <c r="E75" s="644"/>
      <c r="F75" s="644"/>
      <c r="G75" s="645"/>
      <c r="H75" s="569"/>
      <c r="I75" s="569"/>
    </row>
    <row r="76" spans="2:9" ht="15.75" customHeight="1" thickBot="1" x14ac:dyDescent="0.25">
      <c r="B76" s="891" t="s">
        <v>81</v>
      </c>
      <c r="C76" s="891"/>
      <c r="D76" s="891"/>
      <c r="E76" s="891"/>
      <c r="F76" s="891"/>
      <c r="G76" s="891"/>
      <c r="H76" s="579"/>
      <c r="I76" s="569"/>
    </row>
    <row r="77" spans="2:9" ht="15" x14ac:dyDescent="0.2">
      <c r="B77" s="647"/>
      <c r="C77" s="648">
        <v>2011</v>
      </c>
      <c r="D77" s="648">
        <v>2012</v>
      </c>
      <c r="E77" s="648">
        <v>2013</v>
      </c>
      <c r="F77" s="648">
        <v>2014</v>
      </c>
      <c r="G77" s="649">
        <v>2015</v>
      </c>
      <c r="H77" s="650"/>
      <c r="I77" s="569"/>
    </row>
    <row r="78" spans="2:9" ht="60" x14ac:dyDescent="0.2">
      <c r="B78" s="651" t="s">
        <v>82</v>
      </c>
      <c r="C78" s="652">
        <v>0</v>
      </c>
      <c r="D78" s="652">
        <v>0</v>
      </c>
      <c r="E78" s="652">
        <v>0.5</v>
      </c>
      <c r="F78" s="652">
        <v>1</v>
      </c>
      <c r="G78" s="652">
        <v>0.5</v>
      </c>
      <c r="H78" s="653" t="s">
        <v>213</v>
      </c>
      <c r="I78" s="569"/>
    </row>
    <row r="79" spans="2:9" ht="271.5" thickBot="1" x14ac:dyDescent="0.25">
      <c r="B79" s="654" t="s">
        <v>83</v>
      </c>
      <c r="C79" s="655" t="s">
        <v>214</v>
      </c>
      <c r="D79" s="655" t="s">
        <v>215</v>
      </c>
      <c r="E79" s="655" t="s">
        <v>216</v>
      </c>
      <c r="F79" s="655" t="s">
        <v>217</v>
      </c>
      <c r="G79" s="655" t="s">
        <v>218</v>
      </c>
      <c r="H79" s="642"/>
      <c r="I79" s="569"/>
    </row>
    <row r="80" spans="2:9" ht="14.25" x14ac:dyDescent="0.2">
      <c r="B80" s="656"/>
      <c r="C80" s="657"/>
      <c r="D80" s="657"/>
      <c r="E80" s="657"/>
      <c r="F80" s="657"/>
      <c r="G80" s="657"/>
      <c r="H80" s="645"/>
      <c r="I80" s="569"/>
    </row>
    <row r="81" spans="2:11" ht="23.25" x14ac:dyDescent="0.2">
      <c r="B81" s="882" t="s">
        <v>219</v>
      </c>
      <c r="C81" s="882"/>
      <c r="D81" s="882"/>
      <c r="E81" s="882"/>
      <c r="F81" s="882"/>
      <c r="G81" s="882"/>
      <c r="H81" s="882"/>
      <c r="I81" s="882"/>
    </row>
    <row r="82" spans="2:11" ht="18.75" x14ac:dyDescent="0.2">
      <c r="B82" s="658"/>
      <c r="C82" s="658"/>
      <c r="D82" s="658"/>
      <c r="E82" s="658"/>
      <c r="F82" s="658"/>
      <c r="G82" s="658"/>
      <c r="H82" s="658"/>
      <c r="I82" s="658"/>
    </row>
    <row r="83" spans="2:11" ht="34.5" customHeight="1" x14ac:dyDescent="0.2">
      <c r="B83" s="879" t="s">
        <v>220</v>
      </c>
      <c r="C83" s="879"/>
      <c r="D83" s="879"/>
      <c r="E83" s="879"/>
      <c r="F83" s="879"/>
      <c r="G83" s="879"/>
      <c r="H83" s="879"/>
      <c r="I83" s="879"/>
    </row>
    <row r="84" spans="2:11" ht="15.75" thickBot="1" x14ac:dyDescent="0.25">
      <c r="B84" s="643"/>
      <c r="C84" s="646"/>
      <c r="D84" s="644"/>
      <c r="E84" s="644"/>
      <c r="F84" s="644"/>
      <c r="G84" s="645"/>
      <c r="H84" s="569"/>
      <c r="I84" s="569"/>
    </row>
    <row r="85" spans="2:11" ht="15" x14ac:dyDescent="0.25">
      <c r="B85" s="659"/>
      <c r="C85" s="660">
        <v>2011</v>
      </c>
      <c r="D85" s="660">
        <v>2012</v>
      </c>
      <c r="E85" s="660">
        <v>2013</v>
      </c>
      <c r="F85" s="660">
        <v>2014</v>
      </c>
      <c r="G85" s="661">
        <v>2015</v>
      </c>
      <c r="H85" s="661" t="s">
        <v>221</v>
      </c>
      <c r="I85" s="662" t="s">
        <v>161</v>
      </c>
    </row>
    <row r="86" spans="2:11" ht="15" x14ac:dyDescent="0.2">
      <c r="B86" s="663"/>
      <c r="C86" s="880" t="s">
        <v>36</v>
      </c>
      <c r="D86" s="880"/>
      <c r="E86" s="880"/>
      <c r="F86" s="880"/>
      <c r="G86" s="880"/>
      <c r="H86" s="880"/>
      <c r="I86" s="881"/>
    </row>
    <row r="87" spans="2:11" ht="42.75" x14ac:dyDescent="0.2">
      <c r="B87" s="664" t="s">
        <v>84</v>
      </c>
      <c r="C87" s="665">
        <f>F26</f>
        <v>701000</v>
      </c>
      <c r="D87" s="665">
        <f>F27</f>
        <v>771000</v>
      </c>
      <c r="E87" s="665">
        <f>F28</f>
        <v>724000</v>
      </c>
      <c r="F87" s="665">
        <f>F29</f>
        <v>2030000</v>
      </c>
      <c r="G87" s="666"/>
      <c r="H87" s="667">
        <f>SUM(C87:F87)</f>
        <v>4226000</v>
      </c>
      <c r="I87" s="668"/>
    </row>
    <row r="88" spans="2:11" ht="14.25" x14ac:dyDescent="0.2">
      <c r="B88" s="664"/>
      <c r="C88" s="665"/>
      <c r="D88" s="665"/>
      <c r="E88" s="665"/>
      <c r="F88" s="665"/>
      <c r="G88" s="669"/>
      <c r="H88" s="670"/>
      <c r="I88" s="668"/>
    </row>
    <row r="89" spans="2:11" ht="57" x14ac:dyDescent="0.2">
      <c r="B89" s="671" t="s">
        <v>222</v>
      </c>
      <c r="C89" s="672">
        <v>100000</v>
      </c>
      <c r="D89" s="673">
        <f>C89</f>
        <v>100000</v>
      </c>
      <c r="E89" s="673">
        <f>C89</f>
        <v>100000</v>
      </c>
      <c r="F89" s="673">
        <f>C89</f>
        <v>100000</v>
      </c>
      <c r="G89" s="674"/>
      <c r="H89" s="675">
        <f>SUM(C89:F90)</f>
        <v>400000</v>
      </c>
      <c r="I89" s="676"/>
    </row>
    <row r="90" spans="2:11" ht="14.25" x14ac:dyDescent="0.2">
      <c r="B90" s="677"/>
      <c r="C90" s="678"/>
      <c r="D90" s="678"/>
      <c r="E90" s="678"/>
      <c r="F90" s="678"/>
      <c r="G90" s="678"/>
      <c r="H90" s="678"/>
      <c r="I90" s="679"/>
    </row>
    <row r="91" spans="2:11" ht="43.5" thickBot="1" x14ac:dyDescent="0.25">
      <c r="B91" s="680" t="s">
        <v>223</v>
      </c>
      <c r="C91" s="681"/>
      <c r="D91" s="682"/>
      <c r="E91" s="682"/>
      <c r="F91" s="682"/>
      <c r="G91" s="666">
        <f>C48</f>
        <v>1666666.6666666665</v>
      </c>
      <c r="H91" s="683"/>
      <c r="I91" s="684">
        <f>SUM(C91:G91)</f>
        <v>1666666.6666666665</v>
      </c>
    </row>
    <row r="92" spans="2:11" ht="15.75" thickTop="1" thickBot="1" x14ac:dyDescent="0.25">
      <c r="B92" s="685"/>
      <c r="C92" s="686"/>
      <c r="D92" s="687"/>
      <c r="E92" s="687"/>
      <c r="F92" s="687"/>
      <c r="G92" s="686"/>
      <c r="H92" s="687"/>
      <c r="I92" s="688"/>
    </row>
    <row r="93" spans="2:11" ht="43.5" thickTop="1" x14ac:dyDescent="0.2">
      <c r="B93" s="671" t="s">
        <v>224</v>
      </c>
      <c r="C93" s="689">
        <v>0</v>
      </c>
      <c r="D93" s="690">
        <f>D87*(1+G71)*D78</f>
        <v>0</v>
      </c>
      <c r="E93" s="690">
        <f>E87*(1+G71)*E78</f>
        <v>362000</v>
      </c>
      <c r="F93" s="690">
        <f>F87*(1+G71)*F78</f>
        <v>2030000</v>
      </c>
      <c r="G93" s="691">
        <f>G91*(1+G71)*G78</f>
        <v>833333.33333333326</v>
      </c>
      <c r="H93" s="692"/>
      <c r="I93" s="695">
        <f>SUM(C93:G93)</f>
        <v>3225333.333333333</v>
      </c>
      <c r="K93" s="423" t="s">
        <v>226</v>
      </c>
    </row>
    <row r="94" spans="2:11" ht="14.25" x14ac:dyDescent="0.2">
      <c r="B94" s="677"/>
      <c r="C94" s="693"/>
      <c r="D94" s="693"/>
      <c r="E94" s="693"/>
      <c r="F94" s="693"/>
      <c r="G94" s="693"/>
      <c r="H94" s="693"/>
      <c r="I94" s="694"/>
    </row>
    <row r="95" spans="2:11" x14ac:dyDescent="0.2">
      <c r="B95" s="386"/>
      <c r="C95" s="386"/>
      <c r="D95" s="387"/>
      <c r="E95" s="387"/>
      <c r="F95" s="387"/>
      <c r="G95" s="387"/>
      <c r="H95" s="385"/>
    </row>
    <row r="96" spans="2:11" x14ac:dyDescent="0.2">
      <c r="B96" s="386"/>
      <c r="C96" s="386"/>
      <c r="D96" s="387"/>
      <c r="E96" s="387"/>
      <c r="F96" s="387"/>
      <c r="G96" s="387"/>
      <c r="H96" s="385"/>
    </row>
    <row r="97" spans="1:15" ht="15" x14ac:dyDescent="0.25">
      <c r="A97" s="110"/>
    </row>
    <row r="98" spans="1:15" ht="14.25" x14ac:dyDescent="0.2">
      <c r="A98" s="109"/>
    </row>
    <row r="99" spans="1:15" ht="14.25" x14ac:dyDescent="0.2">
      <c r="A99" s="109"/>
    </row>
    <row r="100" spans="1:15" ht="14.25" x14ac:dyDescent="0.2">
      <c r="A100" s="109"/>
    </row>
    <row r="101" spans="1:15" ht="14.25" x14ac:dyDescent="0.2">
      <c r="A101" s="109"/>
      <c r="N101" s="227"/>
      <c r="O101" s="234"/>
    </row>
    <row r="102" spans="1:15" ht="14.25" x14ac:dyDescent="0.2">
      <c r="A102" s="109"/>
    </row>
    <row r="103" spans="1:15" ht="14.25" x14ac:dyDescent="0.2">
      <c r="A103" s="109"/>
    </row>
    <row r="104" spans="1:15" ht="14.25" x14ac:dyDescent="0.2">
      <c r="A104" s="109"/>
    </row>
    <row r="105" spans="1:15" ht="14.25" x14ac:dyDescent="0.2">
      <c r="A105" s="109"/>
    </row>
    <row r="106" spans="1:15" ht="14.25" x14ac:dyDescent="0.2">
      <c r="A106" s="109"/>
    </row>
    <row r="107" spans="1:15" ht="14.25" x14ac:dyDescent="0.2">
      <c r="A107" s="109"/>
    </row>
    <row r="108" spans="1:15" ht="14.25" x14ac:dyDescent="0.2">
      <c r="A108" s="109"/>
    </row>
    <row r="109" spans="1:15" ht="14.25" x14ac:dyDescent="0.2">
      <c r="A109" s="109"/>
    </row>
    <row r="110" spans="1:15" ht="14.25" x14ac:dyDescent="0.2">
      <c r="A110" s="109"/>
    </row>
    <row r="111" spans="1:15" ht="14.25" x14ac:dyDescent="0.2">
      <c r="A111" s="109"/>
    </row>
    <row r="113" spans="14:14" x14ac:dyDescent="0.2">
      <c r="N113" s="226"/>
    </row>
  </sheetData>
  <mergeCells count="25">
    <mergeCell ref="B58:I58"/>
    <mergeCell ref="B59:I59"/>
    <mergeCell ref="B32:G32"/>
    <mergeCell ref="B15:I15"/>
    <mergeCell ref="B36:I36"/>
    <mergeCell ref="B34:I34"/>
    <mergeCell ref="B18:G18"/>
    <mergeCell ref="B17:G17"/>
    <mergeCell ref="B25:G25"/>
    <mergeCell ref="B11:I11"/>
    <mergeCell ref="B13:I13"/>
    <mergeCell ref="B83:I83"/>
    <mergeCell ref="C86:I86"/>
    <mergeCell ref="B81:I81"/>
    <mergeCell ref="B74:I74"/>
    <mergeCell ref="B39:I39"/>
    <mergeCell ref="B47:I47"/>
    <mergeCell ref="B56:I56"/>
    <mergeCell ref="B76:G76"/>
    <mergeCell ref="B61:G61"/>
    <mergeCell ref="B63:F63"/>
    <mergeCell ref="B66:C66"/>
    <mergeCell ref="B71:C71"/>
    <mergeCell ref="B73:I73"/>
    <mergeCell ref="B37:I37"/>
  </mergeCells>
  <dataValidations count="2">
    <dataValidation type="list" allowBlank="1" showInputMessage="1" showErrorMessage="1" sqref="G63">
      <formula1>"net,gross"</formula1>
    </dataValidation>
    <dataValidation type="list" allowBlank="1" showInputMessage="1" showErrorMessage="1" sqref="C78:G78">
      <formula1>"0, 0.5, 1"</formula1>
    </dataValidation>
  </dataValidations>
  <pageMargins left="0.25" right="0.25" top="0.75" bottom="0.75" header="0.3" footer="0.3"/>
  <pageSetup scale="4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topLeftCell="A13" workbookViewId="0">
      <selection activeCell="K41" sqref="K41"/>
    </sheetView>
  </sheetViews>
  <sheetFormatPr defaultRowHeight="12.75" x14ac:dyDescent="0.2"/>
  <cols>
    <col min="1" max="1" width="13.6640625" customWidth="1"/>
    <col min="2" max="2" width="54.83203125" bestFit="1" customWidth="1"/>
    <col min="4" max="4" width="5.6640625" bestFit="1" customWidth="1"/>
    <col min="5" max="9" width="17.6640625" bestFit="1" customWidth="1"/>
    <col min="10" max="10" width="5.5" customWidth="1"/>
    <col min="11" max="15" width="17.33203125" customWidth="1"/>
  </cols>
  <sheetData>
    <row r="1" spans="1:2" x14ac:dyDescent="0.2">
      <c r="A1" s="758" t="s">
        <v>272</v>
      </c>
    </row>
    <row r="11" spans="1:2" ht="23.25" x14ac:dyDescent="0.2">
      <c r="B11" s="133" t="s">
        <v>225</v>
      </c>
    </row>
    <row r="12" spans="1:2" ht="15" x14ac:dyDescent="0.2">
      <c r="B12" s="63" t="s">
        <v>64</v>
      </c>
    </row>
    <row r="13" spans="1:2" ht="14.25" x14ac:dyDescent="0.2">
      <c r="B13" s="100" t="s">
        <v>263</v>
      </c>
    </row>
    <row r="14" spans="1:2" ht="14.25" x14ac:dyDescent="0.2">
      <c r="B14" s="100" t="s">
        <v>264</v>
      </c>
    </row>
    <row r="15" spans="1:2" ht="14.25" x14ac:dyDescent="0.2">
      <c r="B15" s="100" t="s">
        <v>265</v>
      </c>
    </row>
    <row r="17" spans="2:15" x14ac:dyDescent="0.2">
      <c r="B17" s="128" t="s">
        <v>228</v>
      </c>
      <c r="C17" s="128"/>
      <c r="D17" s="102"/>
      <c r="E17" s="102"/>
      <c r="F17" s="102"/>
      <c r="G17" s="102"/>
      <c r="H17" s="102"/>
      <c r="I17" s="102"/>
      <c r="J17" s="102"/>
      <c r="K17" s="102"/>
      <c r="L17" s="102"/>
      <c r="M17" s="102"/>
    </row>
    <row r="18" spans="2:15" ht="13.5" thickBot="1" x14ac:dyDescent="0.25">
      <c r="B18" s="102"/>
      <c r="C18" s="102"/>
      <c r="D18" s="102"/>
      <c r="E18" s="102"/>
      <c r="F18" s="102"/>
      <c r="G18" s="102"/>
      <c r="H18" s="102"/>
      <c r="I18" s="102"/>
      <c r="J18" s="102"/>
      <c r="K18" s="102"/>
      <c r="L18" s="102"/>
      <c r="M18" s="102"/>
    </row>
    <row r="19" spans="2:15" ht="27.75" customHeight="1" thickBot="1" x14ac:dyDescent="0.25">
      <c r="B19" s="111" t="s">
        <v>36</v>
      </c>
      <c r="C19" s="228"/>
      <c r="D19" s="112" t="s">
        <v>33</v>
      </c>
      <c r="E19" s="210">
        <f>'1. LDC Info'!$F$25-3</f>
        <v>2012</v>
      </c>
      <c r="F19" s="210">
        <f>'1. LDC Info'!$F$25-2</f>
        <v>2013</v>
      </c>
      <c r="G19" s="213">
        <f>'1. LDC Info'!$F$25-1</f>
        <v>2014</v>
      </c>
      <c r="H19" s="211" t="str">
        <f>'1. LDC Info'!F25</f>
        <v>2015</v>
      </c>
      <c r="I19" s="212" t="str">
        <f>'1. LDC Info'!F27</f>
        <v>2016</v>
      </c>
      <c r="J19" s="102"/>
      <c r="K19" s="440" t="s">
        <v>60</v>
      </c>
      <c r="L19" s="441" t="s">
        <v>61</v>
      </c>
      <c r="M19" s="442" t="s">
        <v>229</v>
      </c>
      <c r="N19" s="445" t="s">
        <v>231</v>
      </c>
      <c r="O19" s="446" t="s">
        <v>232</v>
      </c>
    </row>
    <row r="20" spans="2:15" x14ac:dyDescent="0.2">
      <c r="B20" s="428" t="str">
        <f>+'9. Weather Adj LF'!C16</f>
        <v>Residential</v>
      </c>
      <c r="C20" s="429"/>
      <c r="D20" s="430" t="s">
        <v>36</v>
      </c>
      <c r="E20" s="463">
        <f>+'9. Weather Adj LF'!L17</f>
        <v>78553743.920000002</v>
      </c>
      <c r="F20" s="463">
        <f>+'9. Weather Adj LF'!M17</f>
        <v>80138213.859999999</v>
      </c>
      <c r="G20" s="463">
        <f>+'9. Weather Adj LF'!N17</f>
        <v>79483998.230000004</v>
      </c>
      <c r="H20" s="463">
        <f>+'9. Weather Adj LF'!O17</f>
        <v>78438793.189758614</v>
      </c>
      <c r="I20" s="464">
        <f>+'9. Weather Adj LF'!P17</f>
        <v>78268693.128189206</v>
      </c>
      <c r="J20" s="102"/>
      <c r="K20" s="448">
        <f>I20/$I$34</f>
        <v>0.41797490358225919</v>
      </c>
      <c r="L20" s="449">
        <f>K20*$L$34</f>
        <v>1348108.3890206465</v>
      </c>
      <c r="M20" s="450">
        <f>I20-L20</f>
        <v>76920584.739168555</v>
      </c>
      <c r="N20" s="457"/>
      <c r="O20" s="451">
        <f>+M20-N20</f>
        <v>76920584.739168555</v>
      </c>
    </row>
    <row r="21" spans="2:15" x14ac:dyDescent="0.2">
      <c r="B21" s="114"/>
      <c r="C21" s="230"/>
      <c r="D21" s="129"/>
      <c r="E21" s="390"/>
      <c r="F21" s="390"/>
      <c r="G21" s="390"/>
      <c r="H21" s="390"/>
      <c r="I21" s="391"/>
      <c r="J21" s="102"/>
      <c r="K21" s="116"/>
      <c r="L21" s="437"/>
      <c r="M21" s="443"/>
      <c r="N21" s="458"/>
      <c r="O21" s="242"/>
    </row>
    <row r="22" spans="2:15" x14ac:dyDescent="0.2">
      <c r="B22" s="425" t="str">
        <f>+'9. Weather Adj LF'!C20</f>
        <v>General Service &lt; 50 kW</v>
      </c>
      <c r="C22" s="230"/>
      <c r="D22" s="129" t="s">
        <v>36</v>
      </c>
      <c r="E22" s="390">
        <f>+'9. Weather Adj LF'!L21</f>
        <v>31948521.120000001</v>
      </c>
      <c r="F22" s="390">
        <f>+'9. Weather Adj LF'!M21</f>
        <v>31708039.23</v>
      </c>
      <c r="G22" s="390">
        <f>+'9. Weather Adj LF'!N21</f>
        <v>31649726.120000001</v>
      </c>
      <c r="H22" s="390">
        <f>+'9. Weather Adj LF'!O21</f>
        <v>34953791.57291279</v>
      </c>
      <c r="I22" s="391">
        <f>+'9. Weather Adj LF'!P21</f>
        <v>34877991.807811193</v>
      </c>
      <c r="J22" s="102"/>
      <c r="K22" s="117">
        <f>I22/$I$34</f>
        <v>0.18625742529182795</v>
      </c>
      <c r="L22" s="438">
        <f>K22*$L$34</f>
        <v>600742.28237457573</v>
      </c>
      <c r="M22" s="443">
        <f>I22-L22</f>
        <v>34277249.525436617</v>
      </c>
      <c r="N22" s="458"/>
      <c r="O22" s="452">
        <f>+M22-N22</f>
        <v>34277249.525436617</v>
      </c>
    </row>
    <row r="23" spans="2:15" x14ac:dyDescent="0.2">
      <c r="B23" s="114"/>
      <c r="C23" s="230"/>
      <c r="D23" s="129"/>
      <c r="E23" s="390"/>
      <c r="F23" s="390"/>
      <c r="G23" s="390"/>
      <c r="H23" s="390"/>
      <c r="I23" s="391"/>
      <c r="J23" s="102"/>
      <c r="K23" s="117"/>
      <c r="L23" s="437"/>
      <c r="M23" s="443"/>
      <c r="N23" s="458"/>
      <c r="O23" s="242"/>
    </row>
    <row r="24" spans="2:15" x14ac:dyDescent="0.2">
      <c r="B24" s="425" t="str">
        <f>+'9. Weather Adj LF'!C24</f>
        <v>Unmetered Scattered Load</v>
      </c>
      <c r="C24" s="230"/>
      <c r="D24" s="129" t="s">
        <v>36</v>
      </c>
      <c r="E24" s="390">
        <f>+'9. Weather Adj LF'!L25</f>
        <v>448159.09</v>
      </c>
      <c r="F24" s="390">
        <f>+'9. Weather Adj LF'!M25</f>
        <v>453470.7</v>
      </c>
      <c r="G24" s="390">
        <f>+'9. Weather Adj LF'!N25</f>
        <v>454406.25</v>
      </c>
      <c r="H24" s="390">
        <f>+'9. Weather Adj LF'!O25</f>
        <v>453067.96191469493</v>
      </c>
      <c r="I24" s="391">
        <f>+'9. Weather Adj LF'!P25</f>
        <v>452085.45204830298</v>
      </c>
      <c r="J24" s="102"/>
      <c r="K24" s="117">
        <f>I24/$I$34</f>
        <v>2.4142523105803032E-3</v>
      </c>
      <c r="L24" s="438">
        <f>K24*$L$34</f>
        <v>7786.7684523916705</v>
      </c>
      <c r="M24" s="443">
        <f>I24-L24</f>
        <v>444298.68359591131</v>
      </c>
      <c r="N24" s="458"/>
      <c r="O24" s="452">
        <f>+M24-N24</f>
        <v>444298.68359591131</v>
      </c>
    </row>
    <row r="25" spans="2:15" x14ac:dyDescent="0.2">
      <c r="B25" s="114"/>
      <c r="C25" s="230"/>
      <c r="D25" s="129"/>
      <c r="E25" s="390"/>
      <c r="F25" s="390"/>
      <c r="G25" s="390"/>
      <c r="H25" s="390"/>
      <c r="I25" s="391"/>
      <c r="J25" s="102"/>
      <c r="K25" s="117"/>
      <c r="L25" s="438"/>
      <c r="M25" s="443"/>
      <c r="N25" s="458"/>
      <c r="O25" s="242"/>
    </row>
    <row r="26" spans="2:15" x14ac:dyDescent="0.2">
      <c r="B26" s="425" t="str">
        <f>+'9. Weather Adj LF'!C28</f>
        <v>General Service &gt; 50 kW - 4999 kW</v>
      </c>
      <c r="C26" s="230"/>
      <c r="D26" s="129" t="s">
        <v>36</v>
      </c>
      <c r="E26" s="390">
        <f>+'9. Weather Adj LF'!L29</f>
        <v>74516293.329999998</v>
      </c>
      <c r="F26" s="390">
        <f>+'9. Weather Adj LF'!M29</f>
        <v>73596923.409999996</v>
      </c>
      <c r="G26" s="390">
        <f>+'9. Weather Adj LF'!N29</f>
        <v>72512848.979999989</v>
      </c>
      <c r="H26" s="390">
        <f>+'9. Weather Adj LF'!O29</f>
        <v>72299288.797186792</v>
      </c>
      <c r="I26" s="391">
        <f>+'9. Weather Adj LF'!P29</f>
        <v>72142502.684401065</v>
      </c>
      <c r="J26" s="102"/>
      <c r="K26" s="117">
        <f>I26/$I$34</f>
        <v>0.3852594747469375</v>
      </c>
      <c r="L26" s="438">
        <f>K26*$L$34</f>
        <v>1242590.2258837889</v>
      </c>
      <c r="M26" s="443">
        <f>I26-L26</f>
        <v>70899912.458517283</v>
      </c>
      <c r="N26" s="458"/>
      <c r="O26" s="452">
        <f>+M26+N26</f>
        <v>70899912.458517283</v>
      </c>
    </row>
    <row r="27" spans="2:15" x14ac:dyDescent="0.2">
      <c r="B27" s="114"/>
      <c r="C27" s="230"/>
      <c r="D27" s="129"/>
      <c r="E27" s="390"/>
      <c r="F27" s="390"/>
      <c r="G27" s="390"/>
      <c r="H27" s="390"/>
      <c r="I27" s="391"/>
      <c r="J27" s="102"/>
      <c r="K27" s="117"/>
      <c r="L27" s="438"/>
      <c r="M27" s="443"/>
      <c r="N27" s="458"/>
      <c r="O27" s="242"/>
    </row>
    <row r="28" spans="2:15" x14ac:dyDescent="0.2">
      <c r="B28" s="425" t="str">
        <f>+'9. Weather Adj LF'!C32</f>
        <v>Streetlighting</v>
      </c>
      <c r="C28" s="230"/>
      <c r="D28" s="129" t="s">
        <v>36</v>
      </c>
      <c r="E28" s="390">
        <f>+'9. Weather Adj LF'!L33</f>
        <v>2432689.94</v>
      </c>
      <c r="F28" s="390">
        <f>+'9. Weather Adj LF'!M33</f>
        <v>2424248.81</v>
      </c>
      <c r="G28" s="390">
        <f>+'9. Weather Adj LF'!N33</f>
        <v>2439791.5699999998</v>
      </c>
      <c r="H28" s="390">
        <f>+'9. Weather Adj LF'!O33</f>
        <v>2432606.0526600452</v>
      </c>
      <c r="I28" s="391">
        <f>+'9. Weather Adj LF'!P33</f>
        <v>1271330.774669338</v>
      </c>
      <c r="J28" s="102"/>
      <c r="K28" s="117">
        <f>I28/$I$34</f>
        <v>6.7892325363510175E-3</v>
      </c>
      <c r="L28" s="438">
        <f>K28*$L$34</f>
        <v>21897.538007244148</v>
      </c>
      <c r="M28" s="443">
        <f>I28-L28</f>
        <v>1249433.2366620938</v>
      </c>
      <c r="N28" s="458"/>
      <c r="O28" s="452">
        <f>+M28-N28</f>
        <v>1249433.2366620938</v>
      </c>
    </row>
    <row r="29" spans="2:15" x14ac:dyDescent="0.2">
      <c r="B29" s="114"/>
      <c r="C29" s="230"/>
      <c r="D29" s="129"/>
      <c r="E29" s="390"/>
      <c r="F29" s="390"/>
      <c r="G29" s="390"/>
      <c r="H29" s="390"/>
      <c r="I29" s="391"/>
      <c r="J29" s="102"/>
      <c r="K29" s="117"/>
      <c r="L29" s="437"/>
      <c r="M29" s="443"/>
      <c r="N29" s="458"/>
      <c r="O29" s="242"/>
    </row>
    <row r="30" spans="2:15" x14ac:dyDescent="0.2">
      <c r="B30" s="425" t="str">
        <f>'9. Weather Adj LF'!C36</f>
        <v>Sentinel Lighting</v>
      </c>
      <c r="C30" s="231"/>
      <c r="D30" s="129" t="s">
        <v>36</v>
      </c>
      <c r="E30" s="390">
        <f>+'9. Weather Adj LF'!L37</f>
        <v>243747.31</v>
      </c>
      <c r="F30" s="390">
        <f>+'9. Weather Adj LF'!M37</f>
        <v>270899.02</v>
      </c>
      <c r="G30" s="390">
        <f>+'9. Weather Adj LF'!N37</f>
        <v>245570.47</v>
      </c>
      <c r="H30" s="390">
        <f>+'9. Weather Adj LF'!O37</f>
        <v>244847.23163322191</v>
      </c>
      <c r="I30" s="391">
        <f>+'9. Weather Adj LF'!P37</f>
        <v>244316.26312284268</v>
      </c>
      <c r="J30" s="102"/>
      <c r="K30" s="117">
        <f>I30/$I$34</f>
        <v>1.3047115320438288E-3</v>
      </c>
      <c r="L30" s="438">
        <f>K30*$L$34</f>
        <v>4208.1295946853616</v>
      </c>
      <c r="M30" s="443">
        <f>I30-L30</f>
        <v>240108.13352815731</v>
      </c>
      <c r="N30" s="458"/>
      <c r="O30" s="452">
        <f>+M30-N30</f>
        <v>240108.13352815731</v>
      </c>
    </row>
    <row r="31" spans="2:15" x14ac:dyDescent="0.2">
      <c r="B31" s="118"/>
      <c r="C31" s="232"/>
      <c r="D31" s="207"/>
      <c r="E31" s="393"/>
      <c r="F31" s="393"/>
      <c r="G31" s="393"/>
      <c r="H31" s="393"/>
      <c r="I31" s="431"/>
      <c r="J31" s="102"/>
      <c r="K31" s="117"/>
      <c r="L31" s="437"/>
      <c r="M31" s="443"/>
      <c r="N31" s="458"/>
      <c r="O31" s="242"/>
    </row>
    <row r="32" spans="2:15" x14ac:dyDescent="0.2">
      <c r="B32" s="426">
        <f>+'9. Weather Adj LF'!C40</f>
        <v>0</v>
      </c>
      <c r="C32" s="232"/>
      <c r="D32" s="129" t="s">
        <v>36</v>
      </c>
      <c r="E32" s="393">
        <f>+'9. Weather Adj LF'!L41</f>
        <v>0</v>
      </c>
      <c r="F32" s="393">
        <f>+'9. Weather Adj LF'!M41</f>
        <v>0</v>
      </c>
      <c r="G32" s="393">
        <f>+'9. Weather Adj LF'!N41</f>
        <v>0</v>
      </c>
      <c r="H32" s="393">
        <f>+'9. Weather Adj LF'!O41</f>
        <v>0</v>
      </c>
      <c r="I32" s="431">
        <f>+'9. Weather Adj LF'!P41</f>
        <v>0</v>
      </c>
      <c r="J32" s="102"/>
      <c r="K32" s="117">
        <f>I32/$I$34</f>
        <v>0</v>
      </c>
      <c r="L32" s="438">
        <f>K32*$L$34</f>
        <v>0</v>
      </c>
      <c r="M32" s="443">
        <f>I32-L32</f>
        <v>0</v>
      </c>
      <c r="N32" s="458"/>
      <c r="O32" s="452">
        <f>+M32-N32</f>
        <v>0</v>
      </c>
    </row>
    <row r="33" spans="2:18" ht="13.5" thickBot="1" x14ac:dyDescent="0.25">
      <c r="B33" s="119"/>
      <c r="C33" s="233"/>
      <c r="D33" s="208"/>
      <c r="E33" s="296"/>
      <c r="F33" s="296"/>
      <c r="G33" s="296"/>
      <c r="H33" s="296"/>
      <c r="I33" s="436"/>
      <c r="J33" s="102"/>
      <c r="K33" s="120"/>
      <c r="L33" s="439"/>
      <c r="M33" s="444"/>
      <c r="N33" s="470"/>
      <c r="O33" s="194"/>
    </row>
    <row r="34" spans="2:18" ht="20.25" thickTop="1" thickBot="1" x14ac:dyDescent="0.25">
      <c r="B34" s="793" t="s">
        <v>16</v>
      </c>
      <c r="C34" s="794"/>
      <c r="D34" s="795"/>
      <c r="E34" s="796">
        <f>SUM(E20:E33)</f>
        <v>188143154.71000001</v>
      </c>
      <c r="F34" s="796">
        <f>SUM(F20:F33)</f>
        <v>188591795.03</v>
      </c>
      <c r="G34" s="796">
        <f>SUM(G20:G33)</f>
        <v>186786341.61999997</v>
      </c>
      <c r="H34" s="796">
        <f>SUM(H20:H33)</f>
        <v>188822394.80606616</v>
      </c>
      <c r="I34" s="797">
        <f>SUM(I20:I33)</f>
        <v>187256920.11024198</v>
      </c>
      <c r="J34" s="798"/>
      <c r="K34" s="799">
        <f>I34/$I$34</f>
        <v>1</v>
      </c>
      <c r="L34" s="792">
        <f>+'10. CDM Adjustment'!I93</f>
        <v>3225333.333333333</v>
      </c>
      <c r="M34" s="800">
        <f>I34-L34</f>
        <v>184031586.77690864</v>
      </c>
      <c r="N34" s="801">
        <f>SUM(N20:N33)</f>
        <v>0</v>
      </c>
      <c r="O34" s="802">
        <f>SUM(O20:O33)</f>
        <v>184031586.77690861</v>
      </c>
      <c r="Q34" s="459">
        <f>+M34-O34</f>
        <v>0</v>
      </c>
      <c r="R34" s="460" t="s">
        <v>233</v>
      </c>
    </row>
    <row r="35" spans="2:18" x14ac:dyDescent="0.2">
      <c r="B35" s="121"/>
      <c r="C35" s="121"/>
      <c r="D35" s="125"/>
      <c r="E35" s="122"/>
      <c r="F35" s="122"/>
      <c r="G35" s="122"/>
      <c r="H35" s="123"/>
      <c r="I35" s="123"/>
      <c r="J35" s="124"/>
      <c r="K35" s="124"/>
      <c r="L35" s="124"/>
      <c r="M35" s="124"/>
    </row>
    <row r="36" spans="2:18" ht="13.5" thickBot="1" x14ac:dyDescent="0.25">
      <c r="B36" s="102"/>
      <c r="C36" s="102"/>
      <c r="D36" s="209"/>
      <c r="E36" s="102"/>
      <c r="F36" s="102"/>
      <c r="G36" s="102"/>
      <c r="H36" s="102"/>
      <c r="I36" s="102"/>
      <c r="J36" s="102"/>
      <c r="K36" s="102"/>
      <c r="L36" s="102"/>
      <c r="M36" s="124"/>
    </row>
    <row r="37" spans="2:18" ht="26.25" thickBot="1" x14ac:dyDescent="0.25">
      <c r="B37" s="111"/>
      <c r="C37" s="228"/>
      <c r="D37" s="112" t="s">
        <v>33</v>
      </c>
      <c r="E37" s="210">
        <f>E19</f>
        <v>2012</v>
      </c>
      <c r="F37" s="210">
        <f>F19</f>
        <v>2013</v>
      </c>
      <c r="G37" s="210">
        <f>G19</f>
        <v>2014</v>
      </c>
      <c r="H37" s="210" t="str">
        <f>H19</f>
        <v>2015</v>
      </c>
      <c r="I37" s="427" t="str">
        <f>I19</f>
        <v>2016</v>
      </c>
      <c r="J37" s="102"/>
      <c r="K37" s="125"/>
      <c r="L37" s="125"/>
      <c r="M37" s="462" t="s">
        <v>230</v>
      </c>
      <c r="N37" s="447" t="s">
        <v>231</v>
      </c>
      <c r="O37" s="453" t="s">
        <v>232</v>
      </c>
    </row>
    <row r="38" spans="2:18" x14ac:dyDescent="0.2">
      <c r="B38" s="428" t="str">
        <f>+B20</f>
        <v>Residential</v>
      </c>
      <c r="C38" s="429"/>
      <c r="D38" s="430" t="s">
        <v>37</v>
      </c>
      <c r="E38" s="432">
        <f>+'9. Weather Adj LF'!L18</f>
        <v>0</v>
      </c>
      <c r="F38" s="432">
        <f>+'9. Weather Adj LF'!M18</f>
        <v>0</v>
      </c>
      <c r="G38" s="432">
        <f>+'9. Weather Adj LF'!N18</f>
        <v>0</v>
      </c>
      <c r="H38" s="432">
        <f>+'9. Weather Adj LF'!O18</f>
        <v>0</v>
      </c>
      <c r="I38" s="433">
        <f>+'9. Weather Adj LF'!P18</f>
        <v>0</v>
      </c>
      <c r="J38" s="102"/>
      <c r="K38" s="126"/>
      <c r="L38" s="127"/>
      <c r="M38" s="454">
        <f>IF(I38&gt;0,+M20/I20*I38,0)</f>
        <v>0</v>
      </c>
      <c r="N38" s="461">
        <f>IF(I38&gt;0,+N20/I20*I38,0)</f>
        <v>0</v>
      </c>
      <c r="O38" s="451">
        <f>+M38-N38</f>
        <v>0</v>
      </c>
    </row>
    <row r="39" spans="2:18" x14ac:dyDescent="0.2">
      <c r="B39" s="113" t="s">
        <v>30</v>
      </c>
      <c r="C39" s="229"/>
      <c r="D39" s="129"/>
      <c r="E39" s="434"/>
      <c r="F39" s="434"/>
      <c r="G39" s="434"/>
      <c r="H39" s="434"/>
      <c r="I39" s="435"/>
      <c r="J39" s="102"/>
      <c r="K39" s="126"/>
      <c r="L39" s="127"/>
      <c r="M39" s="455"/>
      <c r="N39" s="59"/>
      <c r="O39" s="242"/>
    </row>
    <row r="40" spans="2:18" x14ac:dyDescent="0.2">
      <c r="B40" s="424" t="str">
        <f>+B22</f>
        <v>General Service &lt; 50 kW</v>
      </c>
      <c r="C40" s="229"/>
      <c r="D40" s="130" t="s">
        <v>37</v>
      </c>
      <c r="E40" s="434">
        <f>+'9. Weather Adj LF'!L22</f>
        <v>0</v>
      </c>
      <c r="F40" s="434">
        <f>+'9. Weather Adj LF'!M22</f>
        <v>0</v>
      </c>
      <c r="G40" s="434">
        <f>+'9. Weather Adj LF'!N22</f>
        <v>0</v>
      </c>
      <c r="H40" s="434">
        <f>+'9. Weather Adj LF'!O22</f>
        <v>0</v>
      </c>
      <c r="I40" s="435">
        <f>+'9. Weather Adj LF'!P22</f>
        <v>0</v>
      </c>
      <c r="J40" s="102"/>
      <c r="K40" s="126"/>
      <c r="L40" s="127"/>
      <c r="M40" s="455">
        <f>IF(I40&gt;0,+M22/I22*I40,0)</f>
        <v>0</v>
      </c>
      <c r="N40" s="115">
        <f>IF(I40&gt;0,+N22/I22*I40,0)</f>
        <v>0</v>
      </c>
      <c r="O40" s="452">
        <f>+M40-N40</f>
        <v>0</v>
      </c>
    </row>
    <row r="41" spans="2:18" x14ac:dyDescent="0.2">
      <c r="B41" s="113" t="s">
        <v>30</v>
      </c>
      <c r="C41" s="229"/>
      <c r="D41" s="129"/>
      <c r="E41" s="434"/>
      <c r="F41" s="434"/>
      <c r="G41" s="434"/>
      <c r="H41" s="434"/>
      <c r="I41" s="435"/>
      <c r="J41" s="102"/>
      <c r="K41" s="126"/>
      <c r="L41" s="127"/>
      <c r="M41" s="455"/>
      <c r="N41" s="59"/>
      <c r="O41" s="242"/>
    </row>
    <row r="42" spans="2:18" x14ac:dyDescent="0.2">
      <c r="B42" s="424" t="str">
        <f>+B24</f>
        <v>Unmetered Scattered Load</v>
      </c>
      <c r="C42" s="229"/>
      <c r="D42" s="130" t="s">
        <v>37</v>
      </c>
      <c r="E42" s="388">
        <f>+'9. Weather Adj LF'!L26</f>
        <v>0</v>
      </c>
      <c r="F42" s="388">
        <f>+'9. Weather Adj LF'!M26</f>
        <v>0</v>
      </c>
      <c r="G42" s="388">
        <f>+'9. Weather Adj LF'!N26</f>
        <v>0</v>
      </c>
      <c r="H42" s="388">
        <f>+'9. Weather Adj LF'!O26</f>
        <v>0</v>
      </c>
      <c r="I42" s="389">
        <f>+'9. Weather Adj LF'!P26</f>
        <v>0</v>
      </c>
      <c r="J42" s="102"/>
      <c r="K42" s="126"/>
      <c r="L42" s="127"/>
      <c r="M42" s="455">
        <f>IF(I42&gt;0,+M24/I24*I42,0)</f>
        <v>0</v>
      </c>
      <c r="N42" s="115">
        <f>IF(I42&gt;0,+N24/I24*I42,0)</f>
        <v>0</v>
      </c>
      <c r="O42" s="452">
        <f>+M42-N42</f>
        <v>0</v>
      </c>
    </row>
    <row r="43" spans="2:18" x14ac:dyDescent="0.2">
      <c r="B43" s="113" t="s">
        <v>30</v>
      </c>
      <c r="C43" s="229"/>
      <c r="D43" s="129"/>
      <c r="E43" s="390"/>
      <c r="F43" s="390"/>
      <c r="G43" s="390"/>
      <c r="H43" s="390"/>
      <c r="I43" s="391"/>
      <c r="J43" s="102"/>
      <c r="K43" s="126"/>
      <c r="L43" s="127"/>
      <c r="M43" s="455"/>
      <c r="N43" s="59"/>
      <c r="O43" s="242"/>
    </row>
    <row r="44" spans="2:18" x14ac:dyDescent="0.2">
      <c r="B44" s="424" t="str">
        <f>+B26</f>
        <v>General Service &gt; 50 kW - 4999 kW</v>
      </c>
      <c r="C44" s="229"/>
      <c r="D44" s="130" t="s">
        <v>37</v>
      </c>
      <c r="E44" s="390">
        <f>+'9. Weather Adj LF'!L30</f>
        <v>207916</v>
      </c>
      <c r="F44" s="390">
        <f>+'9. Weather Adj LF'!M30</f>
        <v>216501</v>
      </c>
      <c r="G44" s="390">
        <f>+'9. Weather Adj LF'!N30</f>
        <v>206399</v>
      </c>
      <c r="H44" s="390">
        <f>+'9. Weather Adj LF'!O30</f>
        <v>198917.84757842109</v>
      </c>
      <c r="I44" s="391">
        <f>+'9. Weather Adj LF'!P30</f>
        <v>198486.48018042342</v>
      </c>
      <c r="J44" s="102"/>
      <c r="K44" s="126"/>
      <c r="L44" s="127"/>
      <c r="M44" s="455">
        <f>IF(I44&gt;0,+M26/I26*I44,0)</f>
        <v>195067.72769658981</v>
      </c>
      <c r="N44" s="115">
        <f>IF(I44&gt;0,+N26/I26*I44,0)</f>
        <v>0</v>
      </c>
      <c r="O44" s="452">
        <f>+M44-N44</f>
        <v>195067.72769658981</v>
      </c>
    </row>
    <row r="45" spans="2:18" x14ac:dyDescent="0.2">
      <c r="B45" s="113" t="s">
        <v>30</v>
      </c>
      <c r="C45" s="229"/>
      <c r="D45" s="129"/>
      <c r="E45" s="390"/>
      <c r="F45" s="390"/>
      <c r="G45" s="390"/>
      <c r="H45" s="390"/>
      <c r="I45" s="391"/>
      <c r="J45" s="102"/>
      <c r="K45" s="126"/>
      <c r="L45" s="127"/>
      <c r="M45" s="455"/>
      <c r="N45" s="59"/>
      <c r="O45" s="242"/>
    </row>
    <row r="46" spans="2:18" x14ac:dyDescent="0.2">
      <c r="B46" s="424" t="str">
        <f>+B28</f>
        <v>Streetlighting</v>
      </c>
      <c r="C46" s="229"/>
      <c r="D46" s="130" t="s">
        <v>37</v>
      </c>
      <c r="E46" s="390">
        <f>+'9. Weather Adj LF'!L34</f>
        <v>6768.3999999999987</v>
      </c>
      <c r="F46" s="390">
        <f>+'9. Weather Adj LF'!M34</f>
        <v>6765.9000000000005</v>
      </c>
      <c r="G46" s="390">
        <f>+'9. Weather Adj LF'!N34</f>
        <v>6769.9599999999991</v>
      </c>
      <c r="H46" s="390">
        <f>+'9. Weather Adj LF'!O34</f>
        <v>6772.6200970626942</v>
      </c>
      <c r="I46" s="391">
        <f>+'9. Weather Adj LF'!P34</f>
        <v>3539.512838556238</v>
      </c>
      <c r="J46" s="102"/>
      <c r="K46" s="126"/>
      <c r="L46" s="127"/>
      <c r="M46" s="455">
        <f>IF(I46&gt;0,+M28/I28*I46,0)</f>
        <v>3478.5478887149402</v>
      </c>
      <c r="N46" s="115">
        <f>IF(I46&gt;0,+N28/I28*I46,0)</f>
        <v>0</v>
      </c>
      <c r="O46" s="452">
        <f>+M46-N46</f>
        <v>3478.5478887149402</v>
      </c>
    </row>
    <row r="47" spans="2:18" x14ac:dyDescent="0.2">
      <c r="B47" s="113" t="s">
        <v>30</v>
      </c>
      <c r="C47" s="229"/>
      <c r="D47" s="129"/>
      <c r="E47" s="390"/>
      <c r="F47" s="390"/>
      <c r="G47" s="390"/>
      <c r="H47" s="390"/>
      <c r="I47" s="391"/>
      <c r="J47" s="102"/>
      <c r="K47" s="126"/>
      <c r="L47" s="127"/>
      <c r="M47" s="455"/>
      <c r="N47" s="59"/>
      <c r="O47" s="242"/>
    </row>
    <row r="48" spans="2:18" x14ac:dyDescent="0.2">
      <c r="B48" s="424" t="str">
        <f>+B30</f>
        <v>Sentinel Lighting</v>
      </c>
      <c r="C48" s="229"/>
      <c r="D48" s="130" t="s">
        <v>37</v>
      </c>
      <c r="E48" s="390">
        <f>+'9. Weather Adj LF'!L38</f>
        <v>713</v>
      </c>
      <c r="F48" s="390">
        <f>+'9. Weather Adj LF'!M38</f>
        <v>700</v>
      </c>
      <c r="G48" s="390">
        <f>+'9. Weather Adj LF'!N38</f>
        <v>683.5</v>
      </c>
      <c r="H48" s="390">
        <f>+'9. Weather Adj LF'!O38</f>
        <v>697.71463936548889</v>
      </c>
      <c r="I48" s="391">
        <f>+'9. Weather Adj LF'!P38</f>
        <v>696.20159590462345</v>
      </c>
      <c r="J48" s="102"/>
      <c r="K48" s="126"/>
      <c r="L48" s="127"/>
      <c r="M48" s="455">
        <f>IF(I48&gt;0,+M30/I30*I48,0)</f>
        <v>684.21014473331786</v>
      </c>
      <c r="N48" s="115">
        <f>IF(I48&gt;0,+N30/I30*I48,0)</f>
        <v>0</v>
      </c>
      <c r="O48" s="452">
        <f>+M48-N48</f>
        <v>684.21014473331786</v>
      </c>
    </row>
    <row r="49" spans="2:15" x14ac:dyDescent="0.2">
      <c r="B49" s="424"/>
      <c r="C49" s="229"/>
      <c r="D49" s="130"/>
      <c r="E49" s="390"/>
      <c r="F49" s="390"/>
      <c r="G49" s="390"/>
      <c r="H49" s="390"/>
      <c r="I49" s="391"/>
      <c r="J49" s="102"/>
      <c r="K49" s="126"/>
      <c r="L49" s="127"/>
      <c r="M49" s="455"/>
      <c r="N49" s="59"/>
      <c r="O49" s="242"/>
    </row>
    <row r="50" spans="2:15" x14ac:dyDescent="0.2">
      <c r="B50" s="424">
        <f>+B32</f>
        <v>0</v>
      </c>
      <c r="C50" s="229"/>
      <c r="D50" s="130" t="s">
        <v>37</v>
      </c>
      <c r="E50" s="390">
        <f>+'9. Weather Adj LF'!L42</f>
        <v>0</v>
      </c>
      <c r="F50" s="390">
        <f>+'9. Weather Adj LF'!M42</f>
        <v>0</v>
      </c>
      <c r="G50" s="390">
        <f>+'9. Weather Adj LF'!N42</f>
        <v>0</v>
      </c>
      <c r="H50" s="390">
        <f>+'9. Weather Adj LF'!O42</f>
        <v>0</v>
      </c>
      <c r="I50" s="391">
        <f>+'9. Weather Adj LF'!P42</f>
        <v>0</v>
      </c>
      <c r="J50" s="102"/>
      <c r="K50" s="126"/>
      <c r="L50" s="127"/>
      <c r="M50" s="455">
        <f>IF(I50&gt;0,+M32/I32*I50,0)</f>
        <v>0</v>
      </c>
      <c r="N50" s="115">
        <f>IF(I50&gt;0,+N32/I32*I50,0)</f>
        <v>0</v>
      </c>
      <c r="O50" s="452">
        <f>+M50-N50</f>
        <v>0</v>
      </c>
    </row>
    <row r="51" spans="2:15" ht="13.5" thickBot="1" x14ac:dyDescent="0.25">
      <c r="B51" s="119" t="s">
        <v>30</v>
      </c>
      <c r="C51" s="233"/>
      <c r="D51" s="208"/>
      <c r="E51" s="296"/>
      <c r="F51" s="296"/>
      <c r="G51" s="296"/>
      <c r="H51" s="296"/>
      <c r="I51" s="436"/>
      <c r="J51" s="102"/>
      <c r="K51" s="126"/>
      <c r="L51" s="127"/>
      <c r="M51" s="456"/>
      <c r="N51" s="91"/>
      <c r="O51" s="194"/>
    </row>
    <row r="52" spans="2:15" ht="13.5" thickBot="1" x14ac:dyDescent="0.25">
      <c r="B52" s="465" t="s">
        <v>16</v>
      </c>
      <c r="C52" s="468"/>
      <c r="D52" s="469" t="s">
        <v>30</v>
      </c>
      <c r="E52" s="466">
        <f>SUM(E38:E51)</f>
        <v>215397.4</v>
      </c>
      <c r="F52" s="466">
        <f>SUM(F38:F51)</f>
        <v>223966.9</v>
      </c>
      <c r="G52" s="466">
        <f>SUM(G38:G51)</f>
        <v>213852.46</v>
      </c>
      <c r="H52" s="466">
        <f>SUM(H38:H51)</f>
        <v>206388.18231484928</v>
      </c>
      <c r="I52" s="467">
        <f>SUM(I38:I51)</f>
        <v>202722.19461488427</v>
      </c>
      <c r="J52" s="102"/>
      <c r="K52" s="126"/>
      <c r="L52" s="127"/>
      <c r="M52" s="471">
        <f>SUM(M38:M51)</f>
        <v>199230.48573003805</v>
      </c>
      <c r="N52" s="469">
        <f>SUM(N38:N51)</f>
        <v>0</v>
      </c>
      <c r="O52" s="472">
        <f>SUM(O38:O51)</f>
        <v>199230.48573003805</v>
      </c>
    </row>
    <row r="53" spans="2:15" x14ac:dyDescent="0.2">
      <c r="B53" s="105"/>
      <c r="C53" s="105"/>
      <c r="D53" s="105"/>
      <c r="E53" s="105"/>
      <c r="F53" s="105"/>
      <c r="G53" s="105"/>
      <c r="H53" s="105"/>
      <c r="I53" s="105"/>
      <c r="J53" s="105"/>
      <c r="K53" s="105"/>
      <c r="L53" s="105"/>
      <c r="M53" s="105"/>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O61"/>
  <sheetViews>
    <sheetView showGridLines="0" topLeftCell="A4" zoomScaleNormal="100" workbookViewId="0">
      <selection activeCell="O15" sqref="O15"/>
    </sheetView>
  </sheetViews>
  <sheetFormatPr defaultColWidth="10.5" defaultRowHeight="12.75" x14ac:dyDescent="0.2"/>
  <cols>
    <col min="1" max="1" width="13.6640625" style="1" customWidth="1"/>
    <col min="2" max="2" width="35.83203125" style="1" customWidth="1"/>
    <col min="3" max="14" width="17.1640625" style="1" customWidth="1"/>
    <col min="15" max="15" width="17.1640625" style="206" customWidth="1"/>
    <col min="16" max="17" width="10.5" style="1"/>
    <col min="18" max="19" width="1.83203125" style="1" bestFit="1" customWidth="1"/>
    <col min="20" max="16384" width="10.5" style="1"/>
  </cols>
  <sheetData>
    <row r="1" spans="1:15" s="536" customFormat="1" x14ac:dyDescent="0.2">
      <c r="A1" s="758" t="s">
        <v>272</v>
      </c>
      <c r="O1" s="206"/>
    </row>
    <row r="2" spans="1:15" s="536" customFormat="1" x14ac:dyDescent="0.2">
      <c r="O2" s="206"/>
    </row>
    <row r="3" spans="1:15" s="536" customFormat="1" x14ac:dyDescent="0.2">
      <c r="O3" s="206"/>
    </row>
    <row r="4" spans="1:15" s="536" customFormat="1" x14ac:dyDescent="0.2">
      <c r="O4" s="206"/>
    </row>
    <row r="5" spans="1:15" s="536" customFormat="1" x14ac:dyDescent="0.2">
      <c r="O5" s="206"/>
    </row>
    <row r="6" spans="1:15" s="536" customFormat="1" x14ac:dyDescent="0.2">
      <c r="O6" s="206"/>
    </row>
    <row r="7" spans="1:15" s="536" customFormat="1" x14ac:dyDescent="0.2">
      <c r="O7" s="206"/>
    </row>
    <row r="8" spans="1:15" s="536" customFormat="1" x14ac:dyDescent="0.2">
      <c r="O8" s="206"/>
    </row>
    <row r="9" spans="1:15" s="536" customFormat="1" x14ac:dyDescent="0.2">
      <c r="O9" s="206"/>
    </row>
    <row r="11" spans="1:15" ht="23.25" x14ac:dyDescent="0.2">
      <c r="B11" s="133" t="s">
        <v>234</v>
      </c>
      <c r="O11" s="317"/>
    </row>
    <row r="12" spans="1:15" ht="13.5" thickBot="1" x14ac:dyDescent="0.25">
      <c r="F12" s="783"/>
      <c r="G12" s="783"/>
      <c r="H12" s="783"/>
      <c r="I12" s="783"/>
      <c r="J12" s="783"/>
      <c r="K12" s="783"/>
      <c r="L12" s="783"/>
      <c r="M12" s="783"/>
      <c r="N12" s="783"/>
      <c r="O12" s="783"/>
    </row>
    <row r="13" spans="1:15" ht="13.5" thickBot="1" x14ac:dyDescent="0.25">
      <c r="B13" s="87"/>
      <c r="C13" s="307" t="s">
        <v>33</v>
      </c>
      <c r="D13" s="196">
        <f>'4. Customer Growth'!B17</f>
        <v>2005</v>
      </c>
      <c r="E13" s="196">
        <f>'4. Customer Growth'!B18</f>
        <v>2006</v>
      </c>
      <c r="F13" s="196">
        <f>'4. Customer Growth'!B19</f>
        <v>2007</v>
      </c>
      <c r="G13" s="196">
        <f>'4. Customer Growth'!B20</f>
        <v>2008</v>
      </c>
      <c r="H13" s="196">
        <f>'4. Customer Growth'!B21</f>
        <v>2009</v>
      </c>
      <c r="I13" s="196">
        <f>'4. Customer Growth'!B22</f>
        <v>2010</v>
      </c>
      <c r="J13" s="196">
        <f>'4. Customer Growth'!B23</f>
        <v>2011</v>
      </c>
      <c r="K13" s="196">
        <f>'4. Customer Growth'!B24</f>
        <v>2012</v>
      </c>
      <c r="L13" s="196">
        <f>'4. Customer Growth'!B25</f>
        <v>2013</v>
      </c>
      <c r="M13" s="196">
        <f>'4. Customer Growth'!B26</f>
        <v>2014</v>
      </c>
      <c r="N13" s="196" t="str">
        <f>'4. Customer Growth'!B30</f>
        <v>2015</v>
      </c>
      <c r="O13" s="195" t="str">
        <f>'4. Customer Growth'!B31</f>
        <v>2016</v>
      </c>
    </row>
    <row r="14" spans="1:15" x14ac:dyDescent="0.2">
      <c r="B14" s="421" t="str">
        <f>+'9. Weather Adj LF'!C16</f>
        <v>Residential</v>
      </c>
      <c r="C14" s="88" t="s">
        <v>131</v>
      </c>
      <c r="D14" s="388">
        <f>+'9. Weather Adj LF'!E16</f>
        <v>8625</v>
      </c>
      <c r="E14" s="388">
        <f>+'9. Weather Adj LF'!F16</f>
        <v>8696</v>
      </c>
      <c r="F14" s="388">
        <f>+'9. Weather Adj LF'!G16</f>
        <v>8809</v>
      </c>
      <c r="G14" s="388">
        <f>+'9. Weather Adj LF'!H16</f>
        <v>8809</v>
      </c>
      <c r="H14" s="388">
        <f>+'9. Weather Adj LF'!I16</f>
        <v>8941</v>
      </c>
      <c r="I14" s="388">
        <f>+'9. Weather Adj LF'!J16</f>
        <v>8955</v>
      </c>
      <c r="J14" s="388">
        <f>+'9. Weather Adj LF'!K16</f>
        <v>9030</v>
      </c>
      <c r="K14" s="388">
        <f>+'9. Weather Adj LF'!L16</f>
        <v>9086.5</v>
      </c>
      <c r="L14" s="388">
        <f>+'9. Weather Adj LF'!M16</f>
        <v>9195</v>
      </c>
      <c r="M14" s="388">
        <f>+'9. Weather Adj LF'!N16</f>
        <v>9305</v>
      </c>
      <c r="N14" s="388">
        <f>+'9. Weather Adj LF'!O16</f>
        <v>9383.7903594694271</v>
      </c>
      <c r="O14" s="389">
        <f>+'9. Weather Adj LF'!P16</f>
        <v>9463.2478786105712</v>
      </c>
    </row>
    <row r="15" spans="1:15" x14ac:dyDescent="0.2">
      <c r="B15" s="89"/>
      <c r="C15" s="59" t="s">
        <v>36</v>
      </c>
      <c r="D15" s="388">
        <f>+'9. Weather Adj LF'!E17</f>
        <v>76867401</v>
      </c>
      <c r="E15" s="388">
        <f>+'9. Weather Adj LF'!F17</f>
        <v>80301785</v>
      </c>
      <c r="F15" s="388">
        <f>+'9. Weather Adj LF'!G17</f>
        <v>78894594</v>
      </c>
      <c r="G15" s="388">
        <f>+'9. Weather Adj LF'!H17</f>
        <v>78894594</v>
      </c>
      <c r="H15" s="388">
        <f>+'9. Weather Adj LF'!I17</f>
        <v>76058961.349999994</v>
      </c>
      <c r="I15" s="388">
        <f>+'9. Weather Adj LF'!J17</f>
        <v>75301012.150000006</v>
      </c>
      <c r="J15" s="388">
        <f>+'9. Weather Adj LF'!K17</f>
        <v>79270519.859999999</v>
      </c>
      <c r="K15" s="388">
        <f>+'9. Weather Adj LF'!L17</f>
        <v>78553743.920000002</v>
      </c>
      <c r="L15" s="388">
        <f>+'9. Weather Adj LF'!M17</f>
        <v>80138213.859999999</v>
      </c>
      <c r="M15" s="388">
        <f>+'9. Weather Adj LF'!N17</f>
        <v>79483998.230000004</v>
      </c>
      <c r="N15" s="388">
        <f>+'9. Weather Adj LF'!O17</f>
        <v>78438793.189758614</v>
      </c>
      <c r="O15" s="389">
        <f>+'10.1 CDM Allocation'!O20</f>
        <v>76920584.739168555</v>
      </c>
    </row>
    <row r="16" spans="1:15" x14ac:dyDescent="0.2">
      <c r="B16" s="89"/>
      <c r="C16" s="59" t="s">
        <v>37</v>
      </c>
      <c r="D16" s="390">
        <f>+'9. Weather Adj LF'!E18</f>
        <v>0</v>
      </c>
      <c r="E16" s="390">
        <f>+'9. Weather Adj LF'!F18</f>
        <v>0</v>
      </c>
      <c r="F16" s="390">
        <f>+'9. Weather Adj LF'!G18</f>
        <v>0</v>
      </c>
      <c r="G16" s="390">
        <f>+'9. Weather Adj LF'!H18</f>
        <v>0</v>
      </c>
      <c r="H16" s="390">
        <f>+'9. Weather Adj LF'!I18</f>
        <v>0</v>
      </c>
      <c r="I16" s="390">
        <f>+'9. Weather Adj LF'!J18</f>
        <v>0</v>
      </c>
      <c r="J16" s="390">
        <f>+'9. Weather Adj LF'!K18</f>
        <v>0</v>
      </c>
      <c r="K16" s="390">
        <f>+'9. Weather Adj LF'!L18</f>
        <v>0</v>
      </c>
      <c r="L16" s="390">
        <f>+'9. Weather Adj LF'!M18</f>
        <v>0</v>
      </c>
      <c r="M16" s="390">
        <f>+'9. Weather Adj LF'!N18</f>
        <v>0</v>
      </c>
      <c r="N16" s="390">
        <f>+'9. Weather Adj LF'!O18</f>
        <v>0</v>
      </c>
      <c r="O16" s="391">
        <f>+'10.1 CDM Allocation'!O38</f>
        <v>0</v>
      </c>
    </row>
    <row r="17" spans="2:15" x14ac:dyDescent="0.2">
      <c r="B17" s="89"/>
      <c r="C17" s="59"/>
      <c r="D17" s="390"/>
      <c r="E17" s="390"/>
      <c r="F17" s="390"/>
      <c r="G17" s="390"/>
      <c r="H17" s="390"/>
      <c r="I17" s="390"/>
      <c r="J17" s="390"/>
      <c r="K17" s="390"/>
      <c r="L17" s="390"/>
      <c r="M17" s="390"/>
      <c r="N17" s="390"/>
      <c r="O17" s="391"/>
    </row>
    <row r="18" spans="2:15" x14ac:dyDescent="0.2">
      <c r="B18" s="422" t="str">
        <f>+'9. Weather Adj LF'!C20</f>
        <v>General Service &lt; 50 kW</v>
      </c>
      <c r="C18" s="88" t="s">
        <v>131</v>
      </c>
      <c r="D18" s="388">
        <f>+'9. Weather Adj LF'!E20</f>
        <v>1496</v>
      </c>
      <c r="E18" s="388">
        <f>+'9. Weather Adj LF'!F20</f>
        <v>1449</v>
      </c>
      <c r="F18" s="388">
        <f>+'9. Weather Adj LF'!G20</f>
        <v>1442</v>
      </c>
      <c r="G18" s="388">
        <f>+'9. Weather Adj LF'!H20</f>
        <v>1409</v>
      </c>
      <c r="H18" s="388">
        <f>+'9. Weather Adj LF'!I20</f>
        <v>1394</v>
      </c>
      <c r="I18" s="388">
        <f>+'9. Weather Adj LF'!J20</f>
        <v>1372</v>
      </c>
      <c r="J18" s="388">
        <f>+'9. Weather Adj LF'!K20</f>
        <v>1370</v>
      </c>
      <c r="K18" s="388">
        <f>+'9. Weather Adj LF'!L20</f>
        <v>1361.5</v>
      </c>
      <c r="L18" s="388">
        <f>+'9. Weather Adj LF'!M20</f>
        <v>1332.5</v>
      </c>
      <c r="M18" s="388">
        <f>+'9. Weather Adj LF'!N20</f>
        <v>1318</v>
      </c>
      <c r="N18" s="388">
        <f>+'9. Weather Adj LF'!O20</f>
        <v>1299.5784496245794</v>
      </c>
      <c r="O18" s="389">
        <f>+'9. Weather Adj LF'!P20</f>
        <v>1281.4143753631454</v>
      </c>
    </row>
    <row r="19" spans="2:15" x14ac:dyDescent="0.2">
      <c r="B19" s="89"/>
      <c r="C19" s="59" t="s">
        <v>36</v>
      </c>
      <c r="D19" s="388">
        <f>+'9. Weather Adj LF'!E21</f>
        <v>43814909</v>
      </c>
      <c r="E19" s="388">
        <f>+'9. Weather Adj LF'!F21</f>
        <v>39580098</v>
      </c>
      <c r="F19" s="388">
        <f>+'9. Weather Adj LF'!G21</f>
        <v>35721757</v>
      </c>
      <c r="G19" s="388">
        <f>+'9. Weather Adj LF'!H21</f>
        <v>35801702</v>
      </c>
      <c r="H19" s="388">
        <f>+'9. Weather Adj LF'!I21</f>
        <v>34198078.359999999</v>
      </c>
      <c r="I19" s="388">
        <f>+'9. Weather Adj LF'!J21</f>
        <v>33358216.629999999</v>
      </c>
      <c r="J19" s="388">
        <f>+'9. Weather Adj LF'!K21</f>
        <v>32279016.170000002</v>
      </c>
      <c r="K19" s="388">
        <f>+'9. Weather Adj LF'!L21</f>
        <v>31948521.120000001</v>
      </c>
      <c r="L19" s="388">
        <f>+'9. Weather Adj LF'!M21</f>
        <v>31708039.23</v>
      </c>
      <c r="M19" s="388">
        <f>+'9. Weather Adj LF'!N21</f>
        <v>31649726.120000001</v>
      </c>
      <c r="N19" s="388">
        <f>+'9. Weather Adj LF'!O21</f>
        <v>34953791.57291279</v>
      </c>
      <c r="O19" s="389">
        <f>+'10.1 CDM Allocation'!O22</f>
        <v>34277249.525436617</v>
      </c>
    </row>
    <row r="20" spans="2:15" x14ac:dyDescent="0.2">
      <c r="B20" s="89"/>
      <c r="C20" s="59" t="s">
        <v>37</v>
      </c>
      <c r="D20" s="390">
        <f>+'9. Weather Adj LF'!E22</f>
        <v>0</v>
      </c>
      <c r="E20" s="390">
        <f>+'9. Weather Adj LF'!F22</f>
        <v>0</v>
      </c>
      <c r="F20" s="390">
        <f>+'9. Weather Adj LF'!G22</f>
        <v>0</v>
      </c>
      <c r="G20" s="390">
        <f>+'9. Weather Adj LF'!H22</f>
        <v>0</v>
      </c>
      <c r="H20" s="390">
        <f>+'9. Weather Adj LF'!I22</f>
        <v>0</v>
      </c>
      <c r="I20" s="390">
        <f>+'9. Weather Adj LF'!J22</f>
        <v>0</v>
      </c>
      <c r="J20" s="390">
        <f>+'9. Weather Adj LF'!K22</f>
        <v>0</v>
      </c>
      <c r="K20" s="390">
        <f>+'9. Weather Adj LF'!L22</f>
        <v>0</v>
      </c>
      <c r="L20" s="390">
        <f>+'9. Weather Adj LF'!M22</f>
        <v>0</v>
      </c>
      <c r="M20" s="390">
        <f>+'9. Weather Adj LF'!N22</f>
        <v>0</v>
      </c>
      <c r="N20" s="390">
        <f>+'9. Weather Adj LF'!O22</f>
        <v>0</v>
      </c>
      <c r="O20" s="391">
        <f>+'10.1 CDM Allocation'!O40</f>
        <v>0</v>
      </c>
    </row>
    <row r="21" spans="2:15" x14ac:dyDescent="0.2">
      <c r="B21" s="89"/>
      <c r="C21" s="59"/>
      <c r="D21" s="390"/>
      <c r="E21" s="390"/>
      <c r="F21" s="390"/>
      <c r="G21" s="390"/>
      <c r="H21" s="390"/>
      <c r="I21" s="390"/>
      <c r="J21" s="390"/>
      <c r="K21" s="390"/>
      <c r="L21" s="390"/>
      <c r="M21" s="390"/>
      <c r="N21" s="390"/>
      <c r="O21" s="391"/>
    </row>
    <row r="22" spans="2:15" x14ac:dyDescent="0.2">
      <c r="B22" s="422" t="str">
        <f>+'9. Weather Adj LF'!C24</f>
        <v>Unmetered Scattered Load</v>
      </c>
      <c r="C22" s="88" t="s">
        <v>131</v>
      </c>
      <c r="D22" s="388">
        <f>+'9. Weather Adj LF'!E24</f>
        <v>17</v>
      </c>
      <c r="E22" s="388">
        <f>+'9. Weather Adj LF'!F24</f>
        <v>20</v>
      </c>
      <c r="F22" s="388">
        <f>+'9. Weather Adj LF'!G24</f>
        <v>20</v>
      </c>
      <c r="G22" s="388">
        <f>+'9. Weather Adj LF'!H24</f>
        <v>20</v>
      </c>
      <c r="H22" s="388">
        <f>+'9. Weather Adj LF'!I24</f>
        <v>20</v>
      </c>
      <c r="I22" s="388">
        <f>+'9. Weather Adj LF'!J24</f>
        <v>20</v>
      </c>
      <c r="J22" s="388">
        <f>+'9. Weather Adj LF'!K24</f>
        <v>20</v>
      </c>
      <c r="K22" s="388">
        <f>+'9. Weather Adj LF'!L24</f>
        <v>20</v>
      </c>
      <c r="L22" s="388">
        <f>+'9. Weather Adj LF'!M24</f>
        <v>20</v>
      </c>
      <c r="M22" s="388">
        <f>+'9. Weather Adj LF'!N24</f>
        <v>20</v>
      </c>
      <c r="N22" s="388">
        <f>+'9. Weather Adj LF'!O24</f>
        <v>20</v>
      </c>
      <c r="O22" s="389">
        <f>+'9. Weather Adj LF'!P24</f>
        <v>20</v>
      </c>
    </row>
    <row r="23" spans="2:15" x14ac:dyDescent="0.2">
      <c r="B23" s="89"/>
      <c r="C23" s="59" t="s">
        <v>36</v>
      </c>
      <c r="D23" s="388">
        <f>+'9. Weather Adj LF'!E25</f>
        <v>593390</v>
      </c>
      <c r="E23" s="388">
        <f>+'9. Weather Adj LF'!F25</f>
        <v>364006</v>
      </c>
      <c r="F23" s="388">
        <f>+'9. Weather Adj LF'!G25</f>
        <v>348199</v>
      </c>
      <c r="G23" s="388">
        <f>+'9. Weather Adj LF'!H25</f>
        <v>386944</v>
      </c>
      <c r="H23" s="388">
        <f>+'9. Weather Adj LF'!I25</f>
        <v>437952.27</v>
      </c>
      <c r="I23" s="388">
        <f>+'9. Weather Adj LF'!J25</f>
        <v>458526.4</v>
      </c>
      <c r="J23" s="388">
        <f>+'9. Weather Adj LF'!K25</f>
        <v>469307.04</v>
      </c>
      <c r="K23" s="388">
        <f>+'9. Weather Adj LF'!L25</f>
        <v>448159.09</v>
      </c>
      <c r="L23" s="388">
        <f>+'9. Weather Adj LF'!M25</f>
        <v>453470.7</v>
      </c>
      <c r="M23" s="388">
        <f>+'9. Weather Adj LF'!N25</f>
        <v>454406.25</v>
      </c>
      <c r="N23" s="388">
        <f>+'9. Weather Adj LF'!O25</f>
        <v>453067.96191469493</v>
      </c>
      <c r="O23" s="389">
        <f>+'10.1 CDM Allocation'!O24</f>
        <v>444298.68359591131</v>
      </c>
    </row>
    <row r="24" spans="2:15" x14ac:dyDescent="0.2">
      <c r="B24" s="89"/>
      <c r="C24" s="59" t="s">
        <v>37</v>
      </c>
      <c r="D24" s="390">
        <f>+'9. Weather Adj LF'!E26</f>
        <v>0</v>
      </c>
      <c r="E24" s="390">
        <f>+'9. Weather Adj LF'!F26</f>
        <v>0</v>
      </c>
      <c r="F24" s="390">
        <f>+'9. Weather Adj LF'!G26</f>
        <v>0</v>
      </c>
      <c r="G24" s="390">
        <f>+'9. Weather Adj LF'!H26</f>
        <v>0</v>
      </c>
      <c r="H24" s="390">
        <f>+'9. Weather Adj LF'!I26</f>
        <v>0</v>
      </c>
      <c r="I24" s="390">
        <f>+'9. Weather Adj LF'!J26</f>
        <v>0</v>
      </c>
      <c r="J24" s="390">
        <f>+'9. Weather Adj LF'!K26</f>
        <v>0</v>
      </c>
      <c r="K24" s="390">
        <f>+'9. Weather Adj LF'!L26</f>
        <v>0</v>
      </c>
      <c r="L24" s="390">
        <f>+'9. Weather Adj LF'!M26</f>
        <v>0</v>
      </c>
      <c r="M24" s="390">
        <f>+'9. Weather Adj LF'!N26</f>
        <v>0</v>
      </c>
      <c r="N24" s="390">
        <f>+'9. Weather Adj LF'!O26</f>
        <v>0</v>
      </c>
      <c r="O24" s="391">
        <f>+'10.1 CDM Allocation'!O42</f>
        <v>0</v>
      </c>
    </row>
    <row r="25" spans="2:15" x14ac:dyDescent="0.2">
      <c r="B25" s="89"/>
      <c r="C25" s="59"/>
      <c r="D25" s="390"/>
      <c r="E25" s="390"/>
      <c r="F25" s="390"/>
      <c r="G25" s="390"/>
      <c r="H25" s="390"/>
      <c r="I25" s="390"/>
      <c r="J25" s="390"/>
      <c r="K25" s="390"/>
      <c r="L25" s="390"/>
      <c r="M25" s="390"/>
      <c r="N25" s="390"/>
      <c r="O25" s="391"/>
    </row>
    <row r="26" spans="2:15" x14ac:dyDescent="0.2">
      <c r="B26" s="422" t="str">
        <f>+'9. Weather Adj LF'!C28</f>
        <v>General Service &gt; 50 kW - 4999 kW</v>
      </c>
      <c r="C26" s="88" t="s">
        <v>131</v>
      </c>
      <c r="D26" s="388">
        <f>+'9. Weather Adj LF'!E28</f>
        <v>134</v>
      </c>
      <c r="E26" s="388">
        <f>+'9. Weather Adj LF'!F28</f>
        <v>136</v>
      </c>
      <c r="F26" s="388">
        <f>+'9. Weather Adj LF'!G28</f>
        <v>136</v>
      </c>
      <c r="G26" s="388">
        <f>+'9. Weather Adj LF'!H28</f>
        <v>143</v>
      </c>
      <c r="H26" s="388">
        <f>+'9. Weather Adj LF'!I28</f>
        <v>144</v>
      </c>
      <c r="I26" s="388">
        <f>+'9. Weather Adj LF'!J28</f>
        <v>148</v>
      </c>
      <c r="J26" s="388">
        <f>+'9. Weather Adj LF'!K28</f>
        <v>145</v>
      </c>
      <c r="K26" s="388">
        <f>+'9. Weather Adj LF'!L28</f>
        <v>145</v>
      </c>
      <c r="L26" s="388">
        <f>+'9. Weather Adj LF'!M28</f>
        <v>145.5</v>
      </c>
      <c r="M26" s="388">
        <f>+'9. Weather Adj LF'!N28</f>
        <v>146.5</v>
      </c>
      <c r="N26" s="388">
        <f>+'9. Weather Adj LF'!O28</f>
        <v>146</v>
      </c>
      <c r="O26" s="389">
        <f>+'9. Weather Adj LF'!P28</f>
        <v>148</v>
      </c>
    </row>
    <row r="27" spans="2:15" x14ac:dyDescent="0.2">
      <c r="B27" s="89"/>
      <c r="C27" s="59" t="s">
        <v>36</v>
      </c>
      <c r="D27" s="388">
        <f>+'9. Weather Adj LF'!E29</f>
        <v>74429057</v>
      </c>
      <c r="E27" s="388">
        <f>+'9. Weather Adj LF'!F29</f>
        <v>75435895</v>
      </c>
      <c r="F27" s="388">
        <f>+'9. Weather Adj LF'!G29</f>
        <v>78527667</v>
      </c>
      <c r="G27" s="388">
        <f>+'9. Weather Adj LF'!H29</f>
        <v>78693630</v>
      </c>
      <c r="H27" s="388">
        <f>+'9. Weather Adj LF'!I29</f>
        <v>78622635.780000001</v>
      </c>
      <c r="I27" s="388">
        <f>+'9. Weather Adj LF'!J29</f>
        <v>76510234.719999999</v>
      </c>
      <c r="J27" s="388">
        <f>+'9. Weather Adj LF'!K29</f>
        <v>74853997.430000007</v>
      </c>
      <c r="K27" s="388">
        <f>+'9. Weather Adj LF'!L29</f>
        <v>74516293.329999998</v>
      </c>
      <c r="L27" s="388">
        <f>+'9. Weather Adj LF'!M29</f>
        <v>73596923.409999996</v>
      </c>
      <c r="M27" s="388">
        <f>+'9. Weather Adj LF'!N29</f>
        <v>72512848.979999989</v>
      </c>
      <c r="N27" s="388">
        <f>+'9. Weather Adj LF'!O29</f>
        <v>72299288.797186792</v>
      </c>
      <c r="O27" s="389">
        <f>+'10.1 CDM Allocation'!O26</f>
        <v>70899912.458517283</v>
      </c>
    </row>
    <row r="28" spans="2:15" x14ac:dyDescent="0.2">
      <c r="B28" s="89"/>
      <c r="C28" s="59" t="s">
        <v>37</v>
      </c>
      <c r="D28" s="390">
        <f>+'9. Weather Adj LF'!E30</f>
        <v>212943</v>
      </c>
      <c r="E28" s="390">
        <f>+'9. Weather Adj LF'!F30</f>
        <v>207000</v>
      </c>
      <c r="F28" s="390">
        <f>+'9. Weather Adj LF'!G30</f>
        <v>213039</v>
      </c>
      <c r="G28" s="390">
        <f>+'9. Weather Adj LF'!H30</f>
        <v>202855</v>
      </c>
      <c r="H28" s="390">
        <f>+'9. Weather Adj LF'!I30</f>
        <v>209853</v>
      </c>
      <c r="I28" s="390">
        <f>+'9. Weather Adj LF'!J30</f>
        <v>202775</v>
      </c>
      <c r="J28" s="390">
        <f>+'9. Weather Adj LF'!K30</f>
        <v>203575</v>
      </c>
      <c r="K28" s="390">
        <f>+'9. Weather Adj LF'!L30</f>
        <v>207916</v>
      </c>
      <c r="L28" s="390">
        <f>+'9. Weather Adj LF'!M30</f>
        <v>216501</v>
      </c>
      <c r="M28" s="390">
        <f>+'9. Weather Adj LF'!N30</f>
        <v>206399</v>
      </c>
      <c r="N28" s="390">
        <f>+'9. Weather Adj LF'!O30</f>
        <v>198917.84757842109</v>
      </c>
      <c r="O28" s="391">
        <f>+'10.1 CDM Allocation'!O44</f>
        <v>195067.72769658981</v>
      </c>
    </row>
    <row r="29" spans="2:15" x14ac:dyDescent="0.2">
      <c r="B29" s="89"/>
      <c r="C29" s="59"/>
      <c r="D29" s="390"/>
      <c r="E29" s="390"/>
      <c r="F29" s="390"/>
      <c r="G29" s="390"/>
      <c r="H29" s="390"/>
      <c r="I29" s="390"/>
      <c r="J29" s="390"/>
      <c r="K29" s="390"/>
      <c r="L29" s="390"/>
      <c r="M29" s="390"/>
      <c r="N29" s="390"/>
      <c r="O29" s="391"/>
    </row>
    <row r="30" spans="2:15" x14ac:dyDescent="0.2">
      <c r="B30" s="422" t="str">
        <f>+'9. Weather Adj LF'!C32</f>
        <v>Streetlighting</v>
      </c>
      <c r="C30" s="88" t="s">
        <v>131</v>
      </c>
      <c r="D30" s="388">
        <f>+'9. Weather Adj LF'!E32</f>
        <v>2604</v>
      </c>
      <c r="E30" s="388">
        <f>+'9. Weather Adj LF'!F32</f>
        <v>2635</v>
      </c>
      <c r="F30" s="388">
        <f>+'9. Weather Adj LF'!G32</f>
        <v>2648</v>
      </c>
      <c r="G30" s="388">
        <f>+'9. Weather Adj LF'!H32</f>
        <v>2653</v>
      </c>
      <c r="H30" s="388">
        <f>+'9. Weather Adj LF'!I32</f>
        <v>2701</v>
      </c>
      <c r="I30" s="388">
        <f>+'9. Weather Adj LF'!J32</f>
        <v>2713</v>
      </c>
      <c r="J30" s="388">
        <f>+'9. Weather Adj LF'!K32</f>
        <v>2769</v>
      </c>
      <c r="K30" s="388">
        <f>+'9. Weather Adj LF'!L32</f>
        <v>2774.5</v>
      </c>
      <c r="L30" s="388">
        <f>+'9. Weather Adj LF'!M32</f>
        <v>2787</v>
      </c>
      <c r="M30" s="388">
        <f>+'9. Weather Adj LF'!N32</f>
        <v>2802.5</v>
      </c>
      <c r="N30" s="388">
        <f>+'9. Weather Adj LF'!O32</f>
        <v>2825.4692256082153</v>
      </c>
      <c r="O30" s="389">
        <f>+'9. Weather Adj LF'!P32</f>
        <v>2848.6267064617618</v>
      </c>
    </row>
    <row r="31" spans="2:15" x14ac:dyDescent="0.2">
      <c r="B31" s="89"/>
      <c r="C31" s="59" t="s">
        <v>36</v>
      </c>
      <c r="D31" s="388">
        <f>+'9. Weather Adj LF'!E33</f>
        <v>2426613</v>
      </c>
      <c r="E31" s="388">
        <f>+'9. Weather Adj LF'!F33</f>
        <v>2517491</v>
      </c>
      <c r="F31" s="388">
        <f>+'9. Weather Adj LF'!G33</f>
        <v>2426477</v>
      </c>
      <c r="G31" s="388">
        <f>+'9. Weather Adj LF'!H33</f>
        <v>2370504</v>
      </c>
      <c r="H31" s="388">
        <f>+'9. Weather Adj LF'!I33</f>
        <v>2414486.62</v>
      </c>
      <c r="I31" s="388">
        <f>+'9. Weather Adj LF'!J33</f>
        <v>2383707.0499999998</v>
      </c>
      <c r="J31" s="388">
        <f>+'9. Weather Adj LF'!K33</f>
        <v>2458955</v>
      </c>
      <c r="K31" s="388">
        <f>+'9. Weather Adj LF'!L33</f>
        <v>2432689.94</v>
      </c>
      <c r="L31" s="388">
        <f>+'9. Weather Adj LF'!M33</f>
        <v>2424248.81</v>
      </c>
      <c r="M31" s="388">
        <f>+'9. Weather Adj LF'!N33</f>
        <v>2439791.5699999998</v>
      </c>
      <c r="N31" s="388">
        <f>+'9. Weather Adj LF'!O33</f>
        <v>2432606.0526600452</v>
      </c>
      <c r="O31" s="389">
        <f>+'10.1 CDM Allocation'!O28</f>
        <v>1249433.2366620938</v>
      </c>
    </row>
    <row r="32" spans="2:15" x14ac:dyDescent="0.2">
      <c r="B32" s="89"/>
      <c r="C32" s="59" t="s">
        <v>37</v>
      </c>
      <c r="D32" s="390">
        <f>+'9. Weather Adj LF'!E34</f>
        <v>6774</v>
      </c>
      <c r="E32" s="390">
        <f>+'9. Weather Adj LF'!F34</f>
        <v>6784</v>
      </c>
      <c r="F32" s="390">
        <f>+'9. Weather Adj LF'!G34</f>
        <v>6778</v>
      </c>
      <c r="G32" s="390">
        <f>+'9. Weather Adj LF'!H34</f>
        <v>6728</v>
      </c>
      <c r="H32" s="390">
        <f>+'9. Weather Adj LF'!I34</f>
        <v>6652</v>
      </c>
      <c r="I32" s="390">
        <f>+'9. Weather Adj LF'!J34</f>
        <v>6766</v>
      </c>
      <c r="J32" s="390">
        <f>+'9. Weather Adj LF'!K34</f>
        <v>6840</v>
      </c>
      <c r="K32" s="390">
        <f>+'9. Weather Adj LF'!L34</f>
        <v>6768.3999999999987</v>
      </c>
      <c r="L32" s="390">
        <f>+'9. Weather Adj LF'!M34</f>
        <v>6765.9000000000005</v>
      </c>
      <c r="M32" s="390">
        <f>+'9. Weather Adj LF'!N34</f>
        <v>6769.9599999999991</v>
      </c>
      <c r="N32" s="390">
        <f>+'9. Weather Adj LF'!O34</f>
        <v>6772.6200970626942</v>
      </c>
      <c r="O32" s="391">
        <f>+'10.1 CDM Allocation'!O46</f>
        <v>3478.5478887149402</v>
      </c>
    </row>
    <row r="33" spans="2:15" x14ac:dyDescent="0.2">
      <c r="B33" s="89"/>
      <c r="C33" s="59"/>
      <c r="D33" s="390"/>
      <c r="E33" s="390"/>
      <c r="F33" s="390"/>
      <c r="G33" s="390"/>
      <c r="H33" s="390"/>
      <c r="I33" s="390"/>
      <c r="J33" s="390"/>
      <c r="K33" s="390"/>
      <c r="L33" s="390"/>
      <c r="M33" s="390"/>
      <c r="N33" s="390"/>
      <c r="O33" s="391"/>
    </row>
    <row r="34" spans="2:15" x14ac:dyDescent="0.2">
      <c r="B34" s="422" t="str">
        <f>+'9. Weather Adj LF'!C36</f>
        <v>Sentinel Lighting</v>
      </c>
      <c r="C34" s="88" t="s">
        <v>131</v>
      </c>
      <c r="D34" s="390">
        <f>+'9. Weather Adj LF'!E36</f>
        <v>250</v>
      </c>
      <c r="E34" s="390">
        <f>+'9. Weather Adj LF'!F36</f>
        <v>225</v>
      </c>
      <c r="F34" s="390">
        <f>+'9. Weather Adj LF'!G36</f>
        <v>225</v>
      </c>
      <c r="G34" s="390">
        <f>+'9. Weather Adj LF'!H36</f>
        <v>226</v>
      </c>
      <c r="H34" s="390">
        <f>+'9. Weather Adj LF'!I36</f>
        <v>226</v>
      </c>
      <c r="I34" s="390">
        <f>+'9. Weather Adj LF'!J36</f>
        <v>216</v>
      </c>
      <c r="J34" s="390">
        <f>+'9. Weather Adj LF'!K36</f>
        <v>209</v>
      </c>
      <c r="K34" s="390">
        <f>+'9. Weather Adj LF'!L36</f>
        <v>208.5</v>
      </c>
      <c r="L34" s="390">
        <f>+'9. Weather Adj LF'!M36</f>
        <v>206.5</v>
      </c>
      <c r="M34" s="390">
        <f>+'9. Weather Adj LF'!N36</f>
        <v>204</v>
      </c>
      <c r="N34" s="390">
        <f>+'9. Weather Adj LF'!O36</f>
        <v>199.44261639611278</v>
      </c>
      <c r="O34" s="391">
        <f>+'9. Weather Adj LF'!P36</f>
        <v>194.98704526924996</v>
      </c>
    </row>
    <row r="35" spans="2:15" x14ac:dyDescent="0.2">
      <c r="B35" s="197"/>
      <c r="C35" s="59" t="s">
        <v>36</v>
      </c>
      <c r="D35" s="388">
        <f>+'9. Weather Adj LF'!E37</f>
        <v>284178</v>
      </c>
      <c r="E35" s="388">
        <f>+'9. Weather Adj LF'!F37</f>
        <v>267504</v>
      </c>
      <c r="F35" s="388">
        <f>+'9. Weather Adj LF'!G37</f>
        <v>266011</v>
      </c>
      <c r="G35" s="388">
        <f>+'9. Weather Adj LF'!H37</f>
        <v>262124</v>
      </c>
      <c r="H35" s="388">
        <f>+'9. Weather Adj LF'!I37</f>
        <v>265370.21000000002</v>
      </c>
      <c r="I35" s="388">
        <f>+'9. Weather Adj LF'!J37</f>
        <v>233685.69</v>
      </c>
      <c r="J35" s="388">
        <f>+'9. Weather Adj LF'!K37</f>
        <v>270899.02</v>
      </c>
      <c r="K35" s="388">
        <f>+'9. Weather Adj LF'!L37</f>
        <v>243747.31</v>
      </c>
      <c r="L35" s="388">
        <f>+'9. Weather Adj LF'!M37</f>
        <v>270899.02</v>
      </c>
      <c r="M35" s="388">
        <f>+'9. Weather Adj LF'!N37</f>
        <v>245570.47</v>
      </c>
      <c r="N35" s="388">
        <f>+'9. Weather Adj LF'!O37</f>
        <v>244847.23163322191</v>
      </c>
      <c r="O35" s="389">
        <f>+'10.1 CDM Allocation'!O30</f>
        <v>240108.13352815731</v>
      </c>
    </row>
    <row r="36" spans="2:15" x14ac:dyDescent="0.2">
      <c r="B36" s="197"/>
      <c r="C36" s="59" t="s">
        <v>37</v>
      </c>
      <c r="D36" s="392">
        <f>+'9. Weather Adj LF'!E38</f>
        <v>783</v>
      </c>
      <c r="E36" s="392">
        <f>+'9. Weather Adj LF'!F38</f>
        <v>767</v>
      </c>
      <c r="F36" s="392">
        <f>+'9. Weather Adj LF'!G38</f>
        <v>766</v>
      </c>
      <c r="G36" s="392">
        <f>+'9. Weather Adj LF'!H38</f>
        <v>751</v>
      </c>
      <c r="H36" s="392">
        <f>+'9. Weather Adj LF'!I38</f>
        <v>756</v>
      </c>
      <c r="I36" s="392">
        <f>+'9. Weather Adj LF'!J38</f>
        <v>766</v>
      </c>
      <c r="J36" s="392">
        <f>+'9. Weather Adj LF'!K38</f>
        <v>734</v>
      </c>
      <c r="K36" s="392">
        <f>+'9. Weather Adj LF'!L38</f>
        <v>713</v>
      </c>
      <c r="L36" s="392">
        <f>+'9. Weather Adj LF'!M38</f>
        <v>700</v>
      </c>
      <c r="M36" s="392">
        <f>+'9. Weather Adj LF'!N38</f>
        <v>683.5</v>
      </c>
      <c r="N36" s="392">
        <f>+'9. Weather Adj LF'!O38</f>
        <v>697.71463936548889</v>
      </c>
      <c r="O36" s="489">
        <f>+'10.1 CDM Allocation'!O48</f>
        <v>684.21014473331786</v>
      </c>
    </row>
    <row r="37" spans="2:15" x14ac:dyDescent="0.2">
      <c r="B37" s="197"/>
      <c r="C37" s="59"/>
      <c r="D37" s="393"/>
      <c r="E37" s="393"/>
      <c r="F37" s="393"/>
      <c r="G37" s="393"/>
      <c r="H37" s="393"/>
      <c r="I37" s="393"/>
      <c r="J37" s="393"/>
      <c r="K37" s="393"/>
      <c r="L37" s="393"/>
      <c r="M37" s="393"/>
      <c r="N37" s="393"/>
      <c r="O37" s="431"/>
    </row>
    <row r="38" spans="2:15" x14ac:dyDescent="0.2">
      <c r="B38" s="488"/>
      <c r="C38" s="59" t="s">
        <v>131</v>
      </c>
      <c r="D38" s="393">
        <f>+'9. Weather Adj LF'!E40</f>
        <v>0</v>
      </c>
      <c r="E38" s="393">
        <f>+'9. Weather Adj LF'!F40</f>
        <v>0</v>
      </c>
      <c r="F38" s="393">
        <f>+'9. Weather Adj LF'!G40</f>
        <v>0</v>
      </c>
      <c r="G38" s="393">
        <f>+'9. Weather Adj LF'!H40</f>
        <v>0</v>
      </c>
      <c r="H38" s="393">
        <f>+'9. Weather Adj LF'!I40</f>
        <v>0</v>
      </c>
      <c r="I38" s="393">
        <f>+'9. Weather Adj LF'!J40</f>
        <v>0</v>
      </c>
      <c r="J38" s="393">
        <f>+'9. Weather Adj LF'!K40</f>
        <v>0</v>
      </c>
      <c r="K38" s="393">
        <f>+'9. Weather Adj LF'!L40</f>
        <v>0</v>
      </c>
      <c r="L38" s="393">
        <f>+'9. Weather Adj LF'!M40</f>
        <v>0</v>
      </c>
      <c r="M38" s="393">
        <f>+'9. Weather Adj LF'!N40</f>
        <v>0</v>
      </c>
      <c r="N38" s="393">
        <f>+'9. Weather Adj LF'!O40</f>
        <v>0</v>
      </c>
      <c r="O38" s="431">
        <f>+'9. Weather Adj LF'!P40</f>
        <v>0</v>
      </c>
    </row>
    <row r="39" spans="2:15" x14ac:dyDescent="0.2">
      <c r="B39" s="197"/>
      <c r="C39" s="59" t="s">
        <v>36</v>
      </c>
      <c r="D39" s="393">
        <f>+'9. Weather Adj LF'!E41</f>
        <v>0</v>
      </c>
      <c r="E39" s="393">
        <f>+'9. Weather Adj LF'!F41</f>
        <v>0</v>
      </c>
      <c r="F39" s="393">
        <f>+'9. Weather Adj LF'!G41</f>
        <v>0</v>
      </c>
      <c r="G39" s="393">
        <f>+'9. Weather Adj LF'!H41</f>
        <v>0</v>
      </c>
      <c r="H39" s="393">
        <f>+'9. Weather Adj LF'!I41</f>
        <v>0</v>
      </c>
      <c r="I39" s="393">
        <f>+'9. Weather Adj LF'!J41</f>
        <v>0</v>
      </c>
      <c r="J39" s="393">
        <f>+'9. Weather Adj LF'!K41</f>
        <v>0</v>
      </c>
      <c r="K39" s="393">
        <f>+'9. Weather Adj LF'!L41</f>
        <v>0</v>
      </c>
      <c r="L39" s="393">
        <f>+'9. Weather Adj LF'!M41</f>
        <v>0</v>
      </c>
      <c r="M39" s="393">
        <f>+'9. Weather Adj LF'!N41</f>
        <v>0</v>
      </c>
      <c r="N39" s="393">
        <f>+'9. Weather Adj LF'!O41</f>
        <v>0</v>
      </c>
      <c r="O39" s="431">
        <f>+'10.1 CDM Allocation'!O32</f>
        <v>0</v>
      </c>
    </row>
    <row r="40" spans="2:15" x14ac:dyDescent="0.2">
      <c r="B40" s="197"/>
      <c r="C40" s="59" t="s">
        <v>37</v>
      </c>
      <c r="D40" s="393">
        <f>+'9. Weather Adj LF'!E42</f>
        <v>0</v>
      </c>
      <c r="E40" s="393">
        <f>+'9. Weather Adj LF'!F42</f>
        <v>0</v>
      </c>
      <c r="F40" s="393">
        <f>+'9. Weather Adj LF'!G42</f>
        <v>0</v>
      </c>
      <c r="G40" s="393">
        <f>+'9. Weather Adj LF'!H42</f>
        <v>0</v>
      </c>
      <c r="H40" s="393">
        <f>+'9. Weather Adj LF'!I42</f>
        <v>0</v>
      </c>
      <c r="I40" s="393">
        <f>+'9. Weather Adj LF'!J42</f>
        <v>0</v>
      </c>
      <c r="J40" s="393">
        <f>+'9. Weather Adj LF'!K42</f>
        <v>0</v>
      </c>
      <c r="K40" s="393">
        <f>+'9. Weather Adj LF'!L42</f>
        <v>0</v>
      </c>
      <c r="L40" s="393">
        <f>+'9. Weather Adj LF'!M42</f>
        <v>0</v>
      </c>
      <c r="M40" s="393">
        <f>+'9. Weather Adj LF'!N42</f>
        <v>0</v>
      </c>
      <c r="N40" s="393">
        <f>+'9. Weather Adj LF'!O42</f>
        <v>0</v>
      </c>
      <c r="O40" s="431">
        <f>+'10.1 CDM Allocation'!O50</f>
        <v>0</v>
      </c>
    </row>
    <row r="41" spans="2:15" ht="13.5" thickBot="1" x14ac:dyDescent="0.25">
      <c r="B41" s="90"/>
      <c r="C41" s="91"/>
      <c r="D41" s="296"/>
      <c r="E41" s="296"/>
      <c r="F41" s="296"/>
      <c r="G41" s="296"/>
      <c r="H41" s="296"/>
      <c r="I41" s="296"/>
      <c r="J41" s="296"/>
      <c r="K41" s="296"/>
      <c r="L41" s="296"/>
      <c r="M41" s="296"/>
      <c r="N41" s="487"/>
      <c r="O41" s="436"/>
    </row>
    <row r="42" spans="2:15" hidden="1" x14ac:dyDescent="0.2">
      <c r="B42" s="484">
        <f>'2. Customer Classes'!B21</f>
        <v>0</v>
      </c>
      <c r="C42" s="485"/>
      <c r="D42" s="392"/>
      <c r="E42" s="392"/>
      <c r="F42" s="392"/>
      <c r="G42" s="392"/>
      <c r="H42" s="392"/>
      <c r="I42" s="392"/>
      <c r="J42" s="392"/>
      <c r="K42" s="392"/>
      <c r="L42" s="392"/>
      <c r="M42" s="392"/>
      <c r="N42" s="486"/>
      <c r="O42" s="489"/>
    </row>
    <row r="43" spans="2:15" hidden="1" x14ac:dyDescent="0.2">
      <c r="B43" s="197"/>
      <c r="C43" s="198"/>
      <c r="D43" s="393"/>
      <c r="E43" s="393"/>
      <c r="F43" s="393"/>
      <c r="G43" s="393"/>
      <c r="H43" s="393"/>
      <c r="I43" s="393"/>
      <c r="J43" s="393"/>
      <c r="K43" s="393"/>
      <c r="L43" s="393"/>
      <c r="M43" s="393"/>
      <c r="N43" s="394"/>
      <c r="O43" s="431"/>
    </row>
    <row r="44" spans="2:15" hidden="1" x14ac:dyDescent="0.2">
      <c r="B44" s="197"/>
      <c r="C44" s="198"/>
      <c r="D44" s="393"/>
      <c r="E44" s="393"/>
      <c r="F44" s="393"/>
      <c r="G44" s="393"/>
      <c r="H44" s="393"/>
      <c r="I44" s="393"/>
      <c r="J44" s="393"/>
      <c r="K44" s="393"/>
      <c r="L44" s="393"/>
      <c r="M44" s="393"/>
      <c r="N44" s="394"/>
      <c r="O44" s="431"/>
    </row>
    <row r="45" spans="2:15" hidden="1" x14ac:dyDescent="0.2">
      <c r="B45" s="197"/>
      <c r="C45" s="198"/>
      <c r="D45" s="393"/>
      <c r="E45" s="393"/>
      <c r="F45" s="393"/>
      <c r="G45" s="393"/>
      <c r="H45" s="393"/>
      <c r="I45" s="393"/>
      <c r="J45" s="393"/>
      <c r="K45" s="393"/>
      <c r="L45" s="393"/>
      <c r="M45" s="393"/>
      <c r="N45" s="394"/>
      <c r="O45" s="431"/>
    </row>
    <row r="46" spans="2:15" hidden="1" x14ac:dyDescent="0.2">
      <c r="B46" s="199" t="str">
        <f>'2. Customer Classes'!B22</f>
        <v>other</v>
      </c>
      <c r="C46" s="198"/>
      <c r="D46" s="393"/>
      <c r="E46" s="393"/>
      <c r="F46" s="393"/>
      <c r="G46" s="393"/>
      <c r="H46" s="393"/>
      <c r="I46" s="393"/>
      <c r="J46" s="393"/>
      <c r="K46" s="393"/>
      <c r="L46" s="393"/>
      <c r="M46" s="393"/>
      <c r="N46" s="394"/>
      <c r="O46" s="431"/>
    </row>
    <row r="47" spans="2:15" hidden="1" x14ac:dyDescent="0.2">
      <c r="B47" s="197"/>
      <c r="C47" s="198"/>
      <c r="D47" s="393"/>
      <c r="E47" s="393"/>
      <c r="F47" s="393"/>
      <c r="G47" s="393"/>
      <c r="H47" s="393"/>
      <c r="I47" s="393"/>
      <c r="J47" s="393"/>
      <c r="K47" s="393"/>
      <c r="L47" s="393"/>
      <c r="M47" s="393"/>
      <c r="N47" s="394"/>
      <c r="O47" s="431"/>
    </row>
    <row r="48" spans="2:15" hidden="1" x14ac:dyDescent="0.2">
      <c r="B48" s="197"/>
      <c r="C48" s="198"/>
      <c r="D48" s="393"/>
      <c r="E48" s="393"/>
      <c r="F48" s="393"/>
      <c r="G48" s="393"/>
      <c r="H48" s="393"/>
      <c r="I48" s="393"/>
      <c r="J48" s="393"/>
      <c r="K48" s="393"/>
      <c r="L48" s="393"/>
      <c r="M48" s="393"/>
      <c r="N48" s="394"/>
      <c r="O48" s="431"/>
    </row>
    <row r="49" spans="2:15" hidden="1" x14ac:dyDescent="0.2">
      <c r="B49" s="197"/>
      <c r="C49" s="198"/>
      <c r="D49" s="393"/>
      <c r="E49" s="393"/>
      <c r="F49" s="393"/>
      <c r="G49" s="393"/>
      <c r="H49" s="393"/>
      <c r="I49" s="393"/>
      <c r="J49" s="393"/>
      <c r="K49" s="393"/>
      <c r="L49" s="393"/>
      <c r="M49" s="393"/>
      <c r="N49" s="394"/>
      <c r="O49" s="431"/>
    </row>
    <row r="50" spans="2:15" hidden="1" x14ac:dyDescent="0.2">
      <c r="B50" s="199" t="str">
        <f>'2. Customer Classes'!B23</f>
        <v>other</v>
      </c>
      <c r="C50" s="198"/>
      <c r="D50" s="393"/>
      <c r="E50" s="393"/>
      <c r="F50" s="393"/>
      <c r="G50" s="393"/>
      <c r="H50" s="393"/>
      <c r="I50" s="393"/>
      <c r="J50" s="393"/>
      <c r="K50" s="393"/>
      <c r="L50" s="393"/>
      <c r="M50" s="393"/>
      <c r="N50" s="394"/>
      <c r="O50" s="431"/>
    </row>
    <row r="51" spans="2:15" hidden="1" x14ac:dyDescent="0.2">
      <c r="B51" s="199"/>
      <c r="C51" s="198"/>
      <c r="D51" s="393"/>
      <c r="E51" s="393"/>
      <c r="F51" s="393"/>
      <c r="G51" s="393"/>
      <c r="H51" s="393"/>
      <c r="I51" s="393"/>
      <c r="J51" s="393"/>
      <c r="K51" s="393"/>
      <c r="L51" s="393"/>
      <c r="M51" s="393"/>
      <c r="N51" s="394"/>
      <c r="O51" s="431"/>
    </row>
    <row r="52" spans="2:15" hidden="1" x14ac:dyDescent="0.2">
      <c r="B52" s="199"/>
      <c r="C52" s="198"/>
      <c r="D52" s="393"/>
      <c r="E52" s="393"/>
      <c r="F52" s="393"/>
      <c r="G52" s="393"/>
      <c r="H52" s="393"/>
      <c r="I52" s="393"/>
      <c r="J52" s="393"/>
      <c r="K52" s="393"/>
      <c r="L52" s="393"/>
      <c r="M52" s="393"/>
      <c r="N52" s="394"/>
      <c r="O52" s="431"/>
    </row>
    <row r="53" spans="2:15" hidden="1" x14ac:dyDescent="0.2">
      <c r="B53" s="199"/>
      <c r="C53" s="198"/>
      <c r="D53" s="393"/>
      <c r="E53" s="393"/>
      <c r="F53" s="393"/>
      <c r="G53" s="393"/>
      <c r="H53" s="393"/>
      <c r="I53" s="393"/>
      <c r="J53" s="393"/>
      <c r="K53" s="393"/>
      <c r="L53" s="393"/>
      <c r="M53" s="393"/>
      <c r="N53" s="394"/>
      <c r="O53" s="431"/>
    </row>
    <row r="54" spans="2:15" x14ac:dyDescent="0.2">
      <c r="B54" s="214" t="s">
        <v>16</v>
      </c>
      <c r="C54" s="215" t="s">
        <v>131</v>
      </c>
      <c r="D54" s="395">
        <f>D14+D18+D22+D26+D30+D34+D38+D42+D46+D50</f>
        <v>13126</v>
      </c>
      <c r="E54" s="395">
        <f t="shared" ref="E54:O56" si="0">E14+E18+E22+E26+E30+E34+E38+E42+E46+E50</f>
        <v>13161</v>
      </c>
      <c r="F54" s="395">
        <f t="shared" si="0"/>
        <v>13280</v>
      </c>
      <c r="G54" s="395">
        <f t="shared" si="0"/>
        <v>13260</v>
      </c>
      <c r="H54" s="395">
        <f t="shared" si="0"/>
        <v>13426</v>
      </c>
      <c r="I54" s="395">
        <f t="shared" si="0"/>
        <v>13424</v>
      </c>
      <c r="J54" s="395">
        <f t="shared" si="0"/>
        <v>13543</v>
      </c>
      <c r="K54" s="395">
        <f t="shared" si="0"/>
        <v>13596</v>
      </c>
      <c r="L54" s="395">
        <f t="shared" si="0"/>
        <v>13686.5</v>
      </c>
      <c r="M54" s="395">
        <f t="shared" si="0"/>
        <v>13796</v>
      </c>
      <c r="N54" s="395">
        <f t="shared" si="0"/>
        <v>13874.280651098334</v>
      </c>
      <c r="O54" s="396">
        <f t="shared" si="0"/>
        <v>13956.276005704729</v>
      </c>
    </row>
    <row r="55" spans="2:15" x14ac:dyDescent="0.2">
      <c r="B55" s="214"/>
      <c r="C55" s="215" t="s">
        <v>36</v>
      </c>
      <c r="D55" s="395">
        <f>D15+D19+D23+D27+D31+D35+D39+D43+D47+D51</f>
        <v>198415548</v>
      </c>
      <c r="E55" s="395">
        <f t="shared" si="0"/>
        <v>198466779</v>
      </c>
      <c r="F55" s="395">
        <f t="shared" si="0"/>
        <v>196184705</v>
      </c>
      <c r="G55" s="395">
        <f t="shared" si="0"/>
        <v>196409498</v>
      </c>
      <c r="H55" s="395">
        <f t="shared" si="0"/>
        <v>191997484.59</v>
      </c>
      <c r="I55" s="395">
        <f t="shared" si="0"/>
        <v>188245382.64000002</v>
      </c>
      <c r="J55" s="395">
        <f t="shared" si="0"/>
        <v>189602694.52000001</v>
      </c>
      <c r="K55" s="395">
        <f t="shared" si="0"/>
        <v>188143154.71000001</v>
      </c>
      <c r="L55" s="395">
        <f t="shared" si="0"/>
        <v>188591795.03</v>
      </c>
      <c r="M55" s="395">
        <f t="shared" si="0"/>
        <v>186786341.61999997</v>
      </c>
      <c r="N55" s="395">
        <f t="shared" si="0"/>
        <v>188822394.80606616</v>
      </c>
      <c r="O55" s="396">
        <f t="shared" si="0"/>
        <v>184031586.77690861</v>
      </c>
    </row>
    <row r="56" spans="2:15" ht="13.5" thickBot="1" x14ac:dyDescent="0.25">
      <c r="B56" s="216"/>
      <c r="C56" s="217" t="s">
        <v>37</v>
      </c>
      <c r="D56" s="397">
        <f>D16+D20+D24+D28+D32+D36+D40+D44+D48+D52</f>
        <v>220500</v>
      </c>
      <c r="E56" s="397">
        <f t="shared" si="0"/>
        <v>214551</v>
      </c>
      <c r="F56" s="397">
        <f t="shared" si="0"/>
        <v>220583</v>
      </c>
      <c r="G56" s="397">
        <f t="shared" si="0"/>
        <v>210334</v>
      </c>
      <c r="H56" s="397">
        <f t="shared" si="0"/>
        <v>217261</v>
      </c>
      <c r="I56" s="397">
        <f t="shared" si="0"/>
        <v>210307</v>
      </c>
      <c r="J56" s="397">
        <f t="shared" si="0"/>
        <v>211149</v>
      </c>
      <c r="K56" s="397">
        <f t="shared" si="0"/>
        <v>215397.4</v>
      </c>
      <c r="L56" s="397">
        <f t="shared" si="0"/>
        <v>223966.9</v>
      </c>
      <c r="M56" s="397">
        <f t="shared" si="0"/>
        <v>213852.46</v>
      </c>
      <c r="N56" s="397">
        <f t="shared" si="0"/>
        <v>206388.18231484928</v>
      </c>
      <c r="O56" s="398">
        <f t="shared" si="0"/>
        <v>199230.48573003805</v>
      </c>
    </row>
    <row r="57" spans="2:15" x14ac:dyDescent="0.2">
      <c r="O57" s="1"/>
    </row>
    <row r="60" spans="2:15" x14ac:dyDescent="0.2">
      <c r="O60" s="1"/>
    </row>
    <row r="61" spans="2:15" x14ac:dyDescent="0.2">
      <c r="O61" s="1"/>
    </row>
  </sheetData>
  <pageMargins left="0.70866141732283472" right="0.70866141732283472" top="0.74803149606299213" bottom="0.74803149606299213" header="0.31496062992125984" footer="0.31496062992125984"/>
  <pageSetup scale="5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zoomScaleNormal="100" workbookViewId="0">
      <selection activeCell="E13" sqref="E13:F13"/>
    </sheetView>
  </sheetViews>
  <sheetFormatPr defaultColWidth="10.5" defaultRowHeight="12.75" x14ac:dyDescent="0.2"/>
  <cols>
    <col min="1" max="1" width="13.6640625" style="62" customWidth="1"/>
    <col min="2" max="2" width="24.5" style="62" customWidth="1"/>
    <col min="3" max="16" width="14.1640625" style="62" customWidth="1"/>
    <col min="17" max="17" width="10.83203125" style="62" customWidth="1"/>
    <col min="18" max="18" width="8.5" style="62" bestFit="1" customWidth="1"/>
    <col min="19" max="19" width="10.6640625" style="62" bestFit="1" customWidth="1"/>
    <col min="20" max="20" width="8.33203125" style="62" bestFit="1" customWidth="1"/>
    <col min="21" max="22" width="9" style="62" bestFit="1" customWidth="1"/>
    <col min="23" max="23" width="10.83203125" style="62" customWidth="1"/>
    <col min="24" max="24" width="9.6640625" style="62" bestFit="1" customWidth="1"/>
    <col min="25" max="25" width="8.5" style="62" bestFit="1" customWidth="1"/>
    <col min="26" max="26" width="9.5" style="62" bestFit="1" customWidth="1"/>
    <col min="27" max="27" width="8.33203125" style="62" bestFit="1" customWidth="1"/>
    <col min="28" max="29" width="9" style="62" bestFit="1" customWidth="1"/>
    <col min="30" max="30" width="10.83203125" style="62" bestFit="1" customWidth="1"/>
    <col min="31" max="31" width="8" style="62" bestFit="1" customWidth="1"/>
    <col min="32" max="32" width="9" style="62" bestFit="1" customWidth="1"/>
    <col min="33" max="16384" width="10.5" style="62"/>
  </cols>
  <sheetData>
    <row r="1" spans="1:16" x14ac:dyDescent="0.2">
      <c r="A1" s="758" t="s">
        <v>272</v>
      </c>
    </row>
    <row r="11" spans="1:16" ht="23.25" x14ac:dyDescent="0.2">
      <c r="B11" s="154" t="s">
        <v>59</v>
      </c>
    </row>
    <row r="12" spans="1:16" ht="13.5" thickBot="1" x14ac:dyDescent="0.25"/>
    <row r="13" spans="1:16" ht="40.5" customHeight="1" x14ac:dyDescent="0.2">
      <c r="B13" s="202"/>
      <c r="C13" s="911" t="str">
        <f>+'11. Final Load Forecast'!B14</f>
        <v>Residential</v>
      </c>
      <c r="D13" s="912"/>
      <c r="E13" s="911" t="str">
        <f>+'11. Final Load Forecast'!B18</f>
        <v>General Service &lt; 50 kW</v>
      </c>
      <c r="F13" s="912"/>
      <c r="G13" s="914" t="str">
        <f>+'11. Final Load Forecast'!B22</f>
        <v>Unmetered Scattered Load</v>
      </c>
      <c r="H13" s="915"/>
      <c r="I13" s="914" t="str">
        <f>+'11. Final Load Forecast'!B26</f>
        <v>General Service &gt; 50 kW - 4999 kW</v>
      </c>
      <c r="J13" s="915"/>
      <c r="K13" s="914" t="str">
        <f>+'11. Final Load Forecast'!B30</f>
        <v>Streetlighting</v>
      </c>
      <c r="L13" s="915"/>
      <c r="M13" s="911" t="str">
        <f>+'11. Final Load Forecast'!B34</f>
        <v>Sentinel Lighting</v>
      </c>
      <c r="N13" s="912"/>
      <c r="O13" s="911">
        <f>+'11. Final Load Forecast'!B38</f>
        <v>0</v>
      </c>
      <c r="P13" s="913"/>
    </row>
    <row r="14" spans="1:16" ht="25.5" x14ac:dyDescent="0.2">
      <c r="B14" s="92" t="s">
        <v>33</v>
      </c>
      <c r="C14" s="93" t="s">
        <v>48</v>
      </c>
      <c r="D14" s="93" t="s">
        <v>132</v>
      </c>
      <c r="E14" s="93" t="s">
        <v>48</v>
      </c>
      <c r="F14" s="93" t="s">
        <v>132</v>
      </c>
      <c r="G14" s="93" t="s">
        <v>48</v>
      </c>
      <c r="H14" s="93" t="s">
        <v>132</v>
      </c>
      <c r="I14" s="93" t="s">
        <v>48</v>
      </c>
      <c r="J14" s="93" t="s">
        <v>132</v>
      </c>
      <c r="K14" s="93" t="s">
        <v>48</v>
      </c>
      <c r="L14" s="93" t="s">
        <v>132</v>
      </c>
      <c r="M14" s="93" t="s">
        <v>48</v>
      </c>
      <c r="N14" s="93" t="s">
        <v>132</v>
      </c>
      <c r="O14" s="93" t="s">
        <v>48</v>
      </c>
      <c r="P14" s="94" t="s">
        <v>132</v>
      </c>
    </row>
    <row r="15" spans="1:16" x14ac:dyDescent="0.2">
      <c r="B15" s="203">
        <f>'4. Customer Growth'!B17</f>
        <v>2005</v>
      </c>
      <c r="C15" s="95">
        <f>+'11. Final Load Forecast'!$D$15/'11. Final Load Forecast'!$D$14</f>
        <v>8912.1624347826091</v>
      </c>
      <c r="D15" s="95">
        <f>+'11. Final Load Forecast'!$D$16/'11. Final Load Forecast'!$D$14</f>
        <v>0</v>
      </c>
      <c r="E15" s="95">
        <f>+'11. Final Load Forecast'!$D$19/'11. Final Load Forecast'!$D$18</f>
        <v>29288.04077540107</v>
      </c>
      <c r="F15" s="95">
        <f>+'11. Final Load Forecast'!$D$20/'11. Final Load Forecast'!$D$18</f>
        <v>0</v>
      </c>
      <c r="G15" s="95">
        <f>+'11. Final Load Forecast'!$D$23/'11. Final Load Forecast'!$D$22</f>
        <v>34905.294117647056</v>
      </c>
      <c r="H15" s="95">
        <f>+'11. Final Load Forecast'!$D$24/'11. Final Load Forecast'!$D$22</f>
        <v>0</v>
      </c>
      <c r="I15" s="95">
        <f>+'11. Final Load Forecast'!$D$27/'11. Final Load Forecast'!$D$26</f>
        <v>555440.72388059704</v>
      </c>
      <c r="J15" s="95">
        <f>+'11. Final Load Forecast'!$D$28/'11. Final Load Forecast'!$D$26</f>
        <v>1589.1268656716418</v>
      </c>
      <c r="K15" s="95">
        <f>+'11. Final Load Forecast'!$D$31/'11. Final Load Forecast'!$D$30</f>
        <v>931.87903225806451</v>
      </c>
      <c r="L15" s="95">
        <f>+'11. Final Load Forecast'!$D$32/'11. Final Load Forecast'!$D$30</f>
        <v>2.6013824884792625</v>
      </c>
      <c r="M15" s="95">
        <f>+'11. Final Load Forecast'!$D$35/'11. Final Load Forecast'!$D$34</f>
        <v>1136.712</v>
      </c>
      <c r="N15" s="95">
        <f>+'11. Final Load Forecast'!$D$36/'11. Final Load Forecast'!$D$34</f>
        <v>3.1320000000000001</v>
      </c>
      <c r="O15" s="95" t="e">
        <f>+'11. Final Load Forecast'!$D$39/'11. Final Load Forecast'!$D$39</f>
        <v>#DIV/0!</v>
      </c>
      <c r="P15" s="96" t="e">
        <f>+'11. Final Load Forecast'!$D$40/'11. Final Load Forecast'!$D$39</f>
        <v>#DIV/0!</v>
      </c>
    </row>
    <row r="16" spans="1:16" x14ac:dyDescent="0.2">
      <c r="B16" s="203">
        <f>'4. Customer Growth'!B18</f>
        <v>2006</v>
      </c>
      <c r="C16" s="95">
        <f>+'11. Final Load Forecast'!$E$15/'11. Final Load Forecast'!$E$14</f>
        <v>9234.335901563938</v>
      </c>
      <c r="D16" s="95">
        <f>+'11. Final Load Forecast'!$E$16/'11. Final Load Forecast'!$E$14</f>
        <v>0</v>
      </c>
      <c r="E16" s="95">
        <f>+'11. Final Load Forecast'!$E$19/'11. Final Load Forecast'!$E$18</f>
        <v>27315.457556935817</v>
      </c>
      <c r="F16" s="95">
        <f>+'11. Final Load Forecast'!$E$20/'11. Final Load Forecast'!$E$18</f>
        <v>0</v>
      </c>
      <c r="G16" s="95">
        <f>+'11. Final Load Forecast'!$E$23/'11. Final Load Forecast'!$E$22</f>
        <v>18200.3</v>
      </c>
      <c r="H16" s="95">
        <f>+'11. Final Load Forecast'!$E$24/'11. Final Load Forecast'!$E$22</f>
        <v>0</v>
      </c>
      <c r="I16" s="95">
        <f>+'11. Final Load Forecast'!$E$27/'11. Final Load Forecast'!$E$26</f>
        <v>554675.69852941181</v>
      </c>
      <c r="J16" s="95">
        <f>+'11. Final Load Forecast'!$E$28/'11. Final Load Forecast'!$E$26</f>
        <v>1522.0588235294117</v>
      </c>
      <c r="K16" s="95">
        <f>+'11. Final Load Forecast'!$E$31/'11. Final Load Forecast'!$E$30</f>
        <v>955.40455407969637</v>
      </c>
      <c r="L16" s="95">
        <f>+'11. Final Load Forecast'!$E$32/'11. Final Load Forecast'!$E$30</f>
        <v>2.5745730550284631</v>
      </c>
      <c r="M16" s="95">
        <f>+'11. Final Load Forecast'!$E$35/'11. Final Load Forecast'!$E$34</f>
        <v>1188.9066666666668</v>
      </c>
      <c r="N16" s="95">
        <f>+'11. Final Load Forecast'!$E$36/'11. Final Load Forecast'!$E$34</f>
        <v>3.4088888888888889</v>
      </c>
      <c r="O16" s="95" t="e">
        <f>+'11. Final Load Forecast'!$E$39/'11. Final Load Forecast'!$E$38</f>
        <v>#DIV/0!</v>
      </c>
      <c r="P16" s="96" t="e">
        <f>+'11. Final Load Forecast'!$E$40/'11. Final Load Forecast'!$E$38</f>
        <v>#DIV/0!</v>
      </c>
    </row>
    <row r="17" spans="2:16" x14ac:dyDescent="0.2">
      <c r="B17" s="203">
        <f>'4. Customer Growth'!B19</f>
        <v>2007</v>
      </c>
      <c r="C17" s="95">
        <f>+'11. Final Load Forecast'!$F$15/'11. Final Load Forecast'!$F$14</f>
        <v>8956.1350891134061</v>
      </c>
      <c r="D17" s="95">
        <f>+'11. Final Load Forecast'!$F$16/'11. Final Load Forecast'!$F$14</f>
        <v>0</v>
      </c>
      <c r="E17" s="95">
        <f>+'11. Final Load Forecast'!$F$19/'11. Final Load Forecast'!$F$18</f>
        <v>24772.36962552011</v>
      </c>
      <c r="F17" s="95">
        <f>+'11. Final Load Forecast'!$F$20/'11. Final Load Forecast'!$F$18</f>
        <v>0</v>
      </c>
      <c r="G17" s="95">
        <f>+'11. Final Load Forecast'!$F$23/'11. Final Load Forecast'!$F$22</f>
        <v>17409.95</v>
      </c>
      <c r="H17" s="95">
        <f>+'11. Final Load Forecast'!$F$24/'11. Final Load Forecast'!$F$22</f>
        <v>0</v>
      </c>
      <c r="I17" s="95">
        <f>+'11. Final Load Forecast'!$F$27/'11. Final Load Forecast'!$F$26</f>
        <v>577409.3161764706</v>
      </c>
      <c r="J17" s="95">
        <f>+'11. Final Load Forecast'!$F$28/'11. Final Load Forecast'!$F$26</f>
        <v>1566.4632352941176</v>
      </c>
      <c r="K17" s="95">
        <f>+'11. Final Load Forecast'!$F$31/'11. Final Load Forecast'!$F$30</f>
        <v>916.34327794561932</v>
      </c>
      <c r="L17" s="95">
        <f>+'11. Final Load Forecast'!$F$32/'11. Final Load Forecast'!$F$30</f>
        <v>2.559667673716012</v>
      </c>
      <c r="M17" s="95">
        <f>+'11. Final Load Forecast'!$F$35/'11. Final Load Forecast'!$F$34</f>
        <v>1182.2711111111112</v>
      </c>
      <c r="N17" s="95">
        <f>+'11. Final Load Forecast'!$F$36/'11. Final Load Forecast'!$F$34</f>
        <v>3.4044444444444446</v>
      </c>
      <c r="O17" s="95" t="e">
        <f>+'11. Final Load Forecast'!$F$39/'11. Final Load Forecast'!$F$38</f>
        <v>#DIV/0!</v>
      </c>
      <c r="P17" s="96" t="e">
        <f>+'11. Final Load Forecast'!$F$40/'11. Final Load Forecast'!$F$38</f>
        <v>#DIV/0!</v>
      </c>
    </row>
    <row r="18" spans="2:16" x14ac:dyDescent="0.2">
      <c r="B18" s="203">
        <f>'4. Customer Growth'!B20</f>
        <v>2008</v>
      </c>
      <c r="C18" s="95">
        <f>+'11. Final Load Forecast'!$G$15/'11. Final Load Forecast'!$G$14</f>
        <v>8956.1350891134061</v>
      </c>
      <c r="D18" s="95">
        <f>+'11. Final Load Forecast'!$G$16/'11. Final Load Forecast'!$G$14</f>
        <v>0</v>
      </c>
      <c r="E18" s="95">
        <f>+'11. Final Load Forecast'!$G$19/'11. Final Load Forecast'!$G$18</f>
        <v>25409.298793470545</v>
      </c>
      <c r="F18" s="95">
        <f>+'11. Final Load Forecast'!$G$20/'11. Final Load Forecast'!$G$18</f>
        <v>0</v>
      </c>
      <c r="G18" s="95">
        <f>+'11. Final Load Forecast'!$G$23/'11. Final Load Forecast'!$G$22</f>
        <v>19347.2</v>
      </c>
      <c r="H18" s="95">
        <f>+'11. Final Load Forecast'!$G$24/'11. Final Load Forecast'!$G$22</f>
        <v>0</v>
      </c>
      <c r="I18" s="95">
        <f>+'11. Final Load Forecast'!$G$27/'11. Final Load Forecast'!$G$26</f>
        <v>550305.10489510489</v>
      </c>
      <c r="J18" s="95">
        <f>+'11. Final Load Forecast'!$G$28/'11. Final Load Forecast'!$G$26</f>
        <v>1418.5664335664335</v>
      </c>
      <c r="K18" s="95">
        <f>+'11. Final Load Forecast'!$G$31/'11. Final Load Forecast'!$G$30</f>
        <v>893.51828119110439</v>
      </c>
      <c r="L18" s="95">
        <f>+'11. Final Load Forecast'!$G$32/'11. Final Load Forecast'!$G$30</f>
        <v>2.5359969845457973</v>
      </c>
      <c r="M18" s="95">
        <f>+'11. Final Load Forecast'!$G$35/'11. Final Load Forecast'!$G$34</f>
        <v>1159.8407079646017</v>
      </c>
      <c r="N18" s="95">
        <f>+'11. Final Load Forecast'!$G$36/'11. Final Load Forecast'!$G$34</f>
        <v>3.3230088495575223</v>
      </c>
      <c r="O18" s="95" t="e">
        <f>+'11. Final Load Forecast'!$G$39/'11. Final Load Forecast'!$G$38</f>
        <v>#DIV/0!</v>
      </c>
      <c r="P18" s="96" t="e">
        <f>+'11. Final Load Forecast'!$G$40/'11. Final Load Forecast'!$G$38</f>
        <v>#DIV/0!</v>
      </c>
    </row>
    <row r="19" spans="2:16" x14ac:dyDescent="0.2">
      <c r="B19" s="203">
        <f>'4. Customer Growth'!B21</f>
        <v>2009</v>
      </c>
      <c r="C19" s="95">
        <f>+'11. Final Load Forecast'!$H$15/'11. Final Load Forecast'!$H$14</f>
        <v>8506.7622581366722</v>
      </c>
      <c r="D19" s="95">
        <f>+'11. Final Load Forecast'!$H$16/'11. Final Load Forecast'!$H$14</f>
        <v>0</v>
      </c>
      <c r="E19" s="95">
        <f>+'11. Final Load Forecast'!$H$19/'11. Final Load Forecast'!$H$18</f>
        <v>24532.337417503586</v>
      </c>
      <c r="F19" s="95">
        <f>+'11. Final Load Forecast'!$H$20/'11. Final Load Forecast'!$H$18</f>
        <v>0</v>
      </c>
      <c r="G19" s="95">
        <f>+'11. Final Load Forecast'!$H$23/'11. Final Load Forecast'!$H$22</f>
        <v>21897.613499999999</v>
      </c>
      <c r="H19" s="95">
        <f>+'11. Final Load Forecast'!$H$24/'11. Final Load Forecast'!$H$22</f>
        <v>0</v>
      </c>
      <c r="I19" s="95">
        <f>+'11. Final Load Forecast'!$H$27/'11. Final Load Forecast'!$H$26</f>
        <v>545990.52625</v>
      </c>
      <c r="J19" s="95">
        <f>+'11. Final Load Forecast'!$H$28/'11. Final Load Forecast'!$H$26</f>
        <v>1457.3125</v>
      </c>
      <c r="K19" s="95">
        <f>+'11. Final Load Forecast'!$H$31/'11. Final Load Forecast'!$H$30</f>
        <v>893.92322102924845</v>
      </c>
      <c r="L19" s="95">
        <f>+'11. Final Load Forecast'!$H$32/'11. Final Load Forecast'!$H$30</f>
        <v>2.4627915586819698</v>
      </c>
      <c r="M19" s="95">
        <f>+'11. Final Load Forecast'!$H$35/'11. Final Load Forecast'!$H$34</f>
        <v>1174.2044690265488</v>
      </c>
      <c r="N19" s="95">
        <f>+'11. Final Load Forecast'!$H$36/'11. Final Load Forecast'!$H$34</f>
        <v>3.3451327433628317</v>
      </c>
      <c r="O19" s="95" t="e">
        <f>+'11. Final Load Forecast'!$H$39/'11. Final Load Forecast'!$H$38</f>
        <v>#DIV/0!</v>
      </c>
      <c r="P19" s="96" t="e">
        <f>+'11. Final Load Forecast'!$H$40/'11. Final Load Forecast'!$H$38</f>
        <v>#DIV/0!</v>
      </c>
    </row>
    <row r="20" spans="2:16" x14ac:dyDescent="0.2">
      <c r="B20" s="203">
        <f>'4. Customer Growth'!B22</f>
        <v>2010</v>
      </c>
      <c r="C20" s="95">
        <f>+'11. Final Load Forecast'!$I$15/'11. Final Load Forecast'!$I$14</f>
        <v>8408.8232439977673</v>
      </c>
      <c r="D20" s="95">
        <f>+'11. Final Load Forecast'!$I$16/'11. Final Load Forecast'!$I$14</f>
        <v>0</v>
      </c>
      <c r="E20" s="95">
        <f>+'11. Final Load Forecast'!$I$19/'11. Final Load Forecast'!$I$18</f>
        <v>24313.568972303205</v>
      </c>
      <c r="F20" s="95">
        <f>+'11. Final Load Forecast'!$I$20/'11. Final Load Forecast'!$I$18</f>
        <v>0</v>
      </c>
      <c r="G20" s="95">
        <f>+'11. Final Load Forecast'!$I$23/'11. Final Load Forecast'!$I$22</f>
        <v>22926.32</v>
      </c>
      <c r="H20" s="95">
        <f>+'11. Final Load Forecast'!$I$24/'11. Final Load Forecast'!$I$22</f>
        <v>0</v>
      </c>
      <c r="I20" s="95">
        <f>+'11. Final Load Forecast'!$I$27/'11. Final Load Forecast'!$I$26</f>
        <v>516961.0454054054</v>
      </c>
      <c r="J20" s="95">
        <f>+'11. Final Load Forecast'!$I$28/'11. Final Load Forecast'!$I$26</f>
        <v>1370.1013513513512</v>
      </c>
      <c r="K20" s="95">
        <f>+'11. Final Load Forecast'!$I$31/'11. Final Load Forecast'!$I$30</f>
        <v>878.6240508661997</v>
      </c>
      <c r="L20" s="95">
        <f>+'11. Final Load Forecast'!$I$32/'11. Final Load Forecast'!$I$30</f>
        <v>2.4939181717655732</v>
      </c>
      <c r="M20" s="95">
        <f>+'11. Final Load Forecast'!$I$35/'11. Final Load Forecast'!$I$34</f>
        <v>1081.8781944444445</v>
      </c>
      <c r="N20" s="95">
        <f>+'11. Final Load Forecast'!$I$36/'11. Final Load Forecast'!$I$34</f>
        <v>3.5462962962962963</v>
      </c>
      <c r="O20" s="95" t="e">
        <f>+'11. Final Load Forecast'!$I$39/'11. Final Load Forecast'!$I$38</f>
        <v>#DIV/0!</v>
      </c>
      <c r="P20" s="96" t="e">
        <f>+'11. Final Load Forecast'!$I$40/'11. Final Load Forecast'!$I$38</f>
        <v>#DIV/0!</v>
      </c>
    </row>
    <row r="21" spans="2:16" x14ac:dyDescent="0.2">
      <c r="B21" s="203">
        <f>'4. Customer Growth'!B23</f>
        <v>2011</v>
      </c>
      <c r="C21" s="95">
        <f>+'11. Final Load Forecast'!$J$15/'11. Final Load Forecast'!$J$14</f>
        <v>8778.573627906977</v>
      </c>
      <c r="D21" s="95">
        <f>+'11. Final Load Forecast'!$J$16/'11. Final Load Forecast'!$J$14</f>
        <v>0</v>
      </c>
      <c r="E21" s="95">
        <f>+'11. Final Load Forecast'!$J$19/'11. Final Load Forecast'!$J$18</f>
        <v>23561.32567153285</v>
      </c>
      <c r="F21" s="95">
        <f>+'11. Final Load Forecast'!$J$20/'11. Final Load Forecast'!$J$18</f>
        <v>0</v>
      </c>
      <c r="G21" s="95">
        <f>+'11. Final Load Forecast'!$J$23/'11. Final Load Forecast'!$J$22</f>
        <v>23465.351999999999</v>
      </c>
      <c r="H21" s="95">
        <f>+'11. Final Load Forecast'!$J$24/'11. Final Load Forecast'!$J$22</f>
        <v>0</v>
      </c>
      <c r="I21" s="95">
        <f>+'11. Final Load Forecast'!$J$27/'11. Final Load Forecast'!$J$26</f>
        <v>516234.46503448283</v>
      </c>
      <c r="J21" s="95">
        <f>+'11. Final Load Forecast'!$J$28/'11. Final Load Forecast'!$J$26</f>
        <v>1403.9655172413793</v>
      </c>
      <c r="K21" s="95">
        <f>+'11. Final Load Forecast'!$J$31/'11. Final Load Forecast'!$J$30</f>
        <v>888.02997472011555</v>
      </c>
      <c r="L21" s="95">
        <f>+'11. Final Load Forecast'!$J$32/'11. Final Load Forecast'!$J$30</f>
        <v>2.4702058504875408</v>
      </c>
      <c r="M21" s="95">
        <f>+'11. Final Load Forecast'!$J$35/'11. Final Load Forecast'!$J$34</f>
        <v>1296.1675598086126</v>
      </c>
      <c r="N21" s="95">
        <f>+'11. Final Load Forecast'!$J$36/'11. Final Load Forecast'!$J$34</f>
        <v>3.5119617224880382</v>
      </c>
      <c r="O21" s="95" t="e">
        <f>+'11. Final Load Forecast'!$J$39/'11. Final Load Forecast'!$J$38</f>
        <v>#DIV/0!</v>
      </c>
      <c r="P21" s="96" t="e">
        <f>+'11. Final Load Forecast'!$J$40/'11. Final Load Forecast'!$J$38</f>
        <v>#DIV/0!</v>
      </c>
    </row>
    <row r="22" spans="2:16" x14ac:dyDescent="0.2">
      <c r="B22" s="203">
        <f>'4. Customer Growth'!B24</f>
        <v>2012</v>
      </c>
      <c r="C22" s="95">
        <f>+'11. Final Load Forecast'!$K$15/'11. Final Load Forecast'!$K$14</f>
        <v>8645.1047069828874</v>
      </c>
      <c r="D22" s="95">
        <f>+'11. Final Load Forecast'!$K$16/'11. Final Load Forecast'!$K$14</f>
        <v>0</v>
      </c>
      <c r="E22" s="95">
        <f>+'11. Final Load Forecast'!$K$19/'11. Final Load Forecast'!$K$18</f>
        <v>23465.678384135146</v>
      </c>
      <c r="F22" s="95">
        <f>+'11. Final Load Forecast'!$K$20/'11. Final Load Forecast'!$K$18</f>
        <v>0</v>
      </c>
      <c r="G22" s="95">
        <f>+'11. Final Load Forecast'!$K$23/'11. Final Load Forecast'!$K$22</f>
        <v>22407.9545</v>
      </c>
      <c r="H22" s="95">
        <f>+'11. Final Load Forecast'!$K$24/'11. Final Load Forecast'!$K$22</f>
        <v>0</v>
      </c>
      <c r="I22" s="95">
        <f>+'11. Final Load Forecast'!$K$27/'11. Final Load Forecast'!$K$26</f>
        <v>513905.47124137927</v>
      </c>
      <c r="J22" s="95">
        <f>+'11. Final Load Forecast'!$K$28/'11. Final Load Forecast'!$K$26</f>
        <v>1433.903448275862</v>
      </c>
      <c r="K22" s="95">
        <f>+'11. Final Load Forecast'!$K$31/'11. Final Load Forecast'!$K$30</f>
        <v>876.80300594701748</v>
      </c>
      <c r="L22" s="95">
        <f>+'11. Final Load Forecast'!$K$32/'11. Final Load Forecast'!$K$30</f>
        <v>2.4395026130834379</v>
      </c>
      <c r="M22" s="95">
        <f>+'11. Final Load Forecast'!$K$35/'11. Final Load Forecast'!$K$34</f>
        <v>1169.0518465227817</v>
      </c>
      <c r="N22" s="95">
        <f>+'11. Final Load Forecast'!$K$36/'11. Final Load Forecast'!$K$34</f>
        <v>3.4196642685851319</v>
      </c>
      <c r="O22" s="95" t="e">
        <f>+'11. Final Load Forecast'!$K$39/'11. Final Load Forecast'!$K$38</f>
        <v>#DIV/0!</v>
      </c>
      <c r="P22" s="96" t="e">
        <f>+'11. Final Load Forecast'!$K$40/'11. Final Load Forecast'!$K$38</f>
        <v>#DIV/0!</v>
      </c>
    </row>
    <row r="23" spans="2:16" x14ac:dyDescent="0.2">
      <c r="B23" s="203">
        <f>'4. Customer Growth'!B25</f>
        <v>2013</v>
      </c>
      <c r="C23" s="95">
        <f>+'11. Final Load Forecast'!$L$15/'11. Final Load Forecast'!$L$14</f>
        <v>8715.4120565524736</v>
      </c>
      <c r="D23" s="95">
        <f>+'11. Final Load Forecast'!$L$16/'11. Final Load Forecast'!$L$14</f>
        <v>0</v>
      </c>
      <c r="E23" s="95">
        <f>+'11. Final Load Forecast'!$L$19/'11. Final Load Forecast'!$L$18</f>
        <v>23795.901861163227</v>
      </c>
      <c r="F23" s="95">
        <f>+'11. Final Load Forecast'!$L$20/'11. Final Load Forecast'!$L$18</f>
        <v>0</v>
      </c>
      <c r="G23" s="95">
        <f>+'11. Final Load Forecast'!$L$23/'11. Final Load Forecast'!$L$22</f>
        <v>22673.535</v>
      </c>
      <c r="H23" s="95">
        <f>+'11. Final Load Forecast'!$L$24/'11. Final Load Forecast'!$L$22</f>
        <v>0</v>
      </c>
      <c r="I23" s="95">
        <f>+'11. Final Load Forecast'!$L$27/'11. Final Load Forecast'!$L$26</f>
        <v>505820.7794501718</v>
      </c>
      <c r="J23" s="95">
        <f>+'11. Final Load Forecast'!$L$28/'11. Final Load Forecast'!$L$26</f>
        <v>1487.979381443299</v>
      </c>
      <c r="K23" s="95">
        <f>+'11. Final Load Forecast'!$L$31/'11. Final Load Forecast'!$L$30</f>
        <v>869.84169716541089</v>
      </c>
      <c r="L23" s="95">
        <f>+'11. Final Load Forecast'!$L$32/'11. Final Load Forecast'!$L$30</f>
        <v>2.4276641550053824</v>
      </c>
      <c r="M23" s="95">
        <f>+'11. Final Load Forecast'!$L$35/'11. Final Load Forecast'!$L$34</f>
        <v>1311.8596610169493</v>
      </c>
      <c r="N23" s="95">
        <f>+'11. Final Load Forecast'!$L$36/'11. Final Load Forecast'!$L$34</f>
        <v>3.3898305084745761</v>
      </c>
      <c r="O23" s="95" t="e">
        <f>+'11. Final Load Forecast'!$L$39/'11. Final Load Forecast'!$L$38</f>
        <v>#DIV/0!</v>
      </c>
      <c r="P23" s="96" t="e">
        <f>+'11. Final Load Forecast'!$L$40/'11. Final Load Forecast'!$L$38</f>
        <v>#DIV/0!</v>
      </c>
    </row>
    <row r="24" spans="2:16" x14ac:dyDescent="0.2">
      <c r="B24" s="203">
        <f>'4. Customer Growth'!B26</f>
        <v>2014</v>
      </c>
      <c r="C24" s="95">
        <f>+'11. Final Load Forecast'!$M$15/'11. Final Load Forecast'!$M$14</f>
        <v>8542.0739634605052</v>
      </c>
      <c r="D24" s="95">
        <f>+'11. Final Load Forecast'!$M$16/'11. Final Load Forecast'!$M$14</f>
        <v>0</v>
      </c>
      <c r="E24" s="95">
        <f>+'11. Final Load Forecast'!$M$19/'11. Final Load Forecast'!$M$18</f>
        <v>24013.449256449167</v>
      </c>
      <c r="F24" s="95">
        <f>+'11. Final Load Forecast'!$M$20/'11. Final Load Forecast'!$M$18</f>
        <v>0</v>
      </c>
      <c r="G24" s="95">
        <f>+'11. Final Load Forecast'!$M$23/'11. Final Load Forecast'!$M$22</f>
        <v>22720.3125</v>
      </c>
      <c r="H24" s="95">
        <f>+'11. Final Load Forecast'!$M$24/'11. Final Load Forecast'!$M$22</f>
        <v>0</v>
      </c>
      <c r="I24" s="95">
        <f>+'11. Final Load Forecast'!$M$27/'11. Final Load Forecast'!$M$26</f>
        <v>494968.25242320809</v>
      </c>
      <c r="J24" s="95">
        <f>+'11. Final Load Forecast'!$M$28/'11. Final Load Forecast'!$M$26</f>
        <v>1408.8668941979522</v>
      </c>
      <c r="K24" s="95">
        <f>+'11. Final Load Forecast'!$M$31/'11. Final Load Forecast'!$M$30</f>
        <v>870.57683140053518</v>
      </c>
      <c r="L24" s="95">
        <f>+'11. Final Load Forecast'!$M$32/'11. Final Load Forecast'!$M$30</f>
        <v>2.4156859946476357</v>
      </c>
      <c r="M24" s="95">
        <f>+'11. Final Load Forecast'!$M$35/'11. Final Load Forecast'!$M$34</f>
        <v>1203.7768137254902</v>
      </c>
      <c r="N24" s="95">
        <f>+'11. Final Load Forecast'!$M$36/'11. Final Load Forecast'!$M$34</f>
        <v>3.3504901960784315</v>
      </c>
      <c r="O24" s="95" t="e">
        <f>+'11. Final Load Forecast'!$M$39/'11. Final Load Forecast'!$M$38</f>
        <v>#DIV/0!</v>
      </c>
      <c r="P24" s="96" t="e">
        <f>+'11. Final Load Forecast'!$M$40/'11. Final Load Forecast'!$M$38</f>
        <v>#DIV/0!</v>
      </c>
    </row>
    <row r="25" spans="2:16" x14ac:dyDescent="0.2">
      <c r="B25" s="204" t="str">
        <f>'4. Customer Growth'!B30</f>
        <v>2015</v>
      </c>
      <c r="C25" s="95">
        <f>+'11. Final Load Forecast'!$N$15/'11. Final Load Forecast'!$N$14</f>
        <v>8358.9669190130608</v>
      </c>
      <c r="D25" s="95">
        <f>+'11. Final Load Forecast'!$N$16/'11. Final Load Forecast'!$N$14</f>
        <v>0</v>
      </c>
      <c r="E25" s="95">
        <f>+'11. Final Load Forecast'!$N$19/'11. Final Load Forecast'!$N$18</f>
        <v>26896.253614401037</v>
      </c>
      <c r="F25" s="95">
        <f>+'11. Final Load Forecast'!$N$20/'11. Final Load Forecast'!$N$18</f>
        <v>0</v>
      </c>
      <c r="G25" s="95">
        <f>+'11. Final Load Forecast'!$N$23/'11. Final Load Forecast'!$N$22</f>
        <v>22653.398095734745</v>
      </c>
      <c r="H25" s="95">
        <f>+'11. Final Load Forecast'!$N$24/'11. Final Load Forecast'!$N$22</f>
        <v>0</v>
      </c>
      <c r="I25" s="95">
        <f>+'11. Final Load Forecast'!$N$27/'11. Final Load Forecast'!$N$26</f>
        <v>495200.60819990956</v>
      </c>
      <c r="J25" s="95">
        <f>+'11. Final Load Forecast'!$N$28/'11. Final Load Forecast'!$N$26</f>
        <v>1362.4510108111033</v>
      </c>
      <c r="K25" s="95">
        <f>+'11. Final Load Forecast'!$N$31/'11. Final Load Forecast'!$N$30</f>
        <v>860.9564848954949</v>
      </c>
      <c r="L25" s="95">
        <f>+'11. Final Load Forecast'!$N$32/'11. Final Load Forecast'!$N$30</f>
        <v>2.396989510867813</v>
      </c>
      <c r="M25" s="95">
        <f>+'11. Final Load Forecast'!$N$35/'11. Final Load Forecast'!$N$34</f>
        <v>1227.6575390834778</v>
      </c>
      <c r="N25" s="95">
        <f>+'11. Final Load Forecast'!$N$36/'11. Final Load Forecast'!$N$34</f>
        <v>3.4983227354968034</v>
      </c>
      <c r="O25" s="95" t="e">
        <f>+'11. Final Load Forecast'!$N$39/'11. Final Load Forecast'!$N$38</f>
        <v>#DIV/0!</v>
      </c>
      <c r="P25" s="96" t="e">
        <f>+'11. Final Load Forecast'!$N$40/'11. Final Load Forecast'!$N$38</f>
        <v>#DIV/0!</v>
      </c>
    </row>
    <row r="26" spans="2:16" ht="13.5" thickBot="1" x14ac:dyDescent="0.25">
      <c r="B26" s="205" t="str">
        <f>'4. Customer Growth'!B31</f>
        <v>2016</v>
      </c>
      <c r="C26" s="97">
        <f>+'11. Final Load Forecast'!$O$15/'11. Final Load Forecast'!$O$14</f>
        <v>8128.349349595851</v>
      </c>
      <c r="D26" s="97">
        <f>+'11. Final Load Forecast'!$O$16/'11. Final Load Forecast'!$O$14</f>
        <v>0</v>
      </c>
      <c r="E26" s="97">
        <f>+'11. Final Load Forecast'!$O$19/'11. Final Load Forecast'!$O$18</f>
        <v>26749.543461085836</v>
      </c>
      <c r="F26" s="97">
        <f>+'11. Final Load Forecast'!$O$20/'11. Final Load Forecast'!$O$18</f>
        <v>0</v>
      </c>
      <c r="G26" s="97">
        <f>+'11. Final Load Forecast'!$O$23/'11. Final Load Forecast'!$O$22</f>
        <v>22214.934179795564</v>
      </c>
      <c r="H26" s="97">
        <f>+'11. Final Load Forecast'!$O$24/'11. Final Load Forecast'!$O$22</f>
        <v>0</v>
      </c>
      <c r="I26" s="97">
        <f>+'11. Final Load Forecast'!$O$27/'11. Final Load Forecast'!$O$26</f>
        <v>479053.46255754924</v>
      </c>
      <c r="J26" s="97">
        <f>+'11. Final Load Forecast'!$O$28/'11. Final Load Forecast'!$O$26</f>
        <v>1318.0251871391204</v>
      </c>
      <c r="K26" s="97">
        <f>+'11. Final Load Forecast'!$O$31/'11. Final Load Forecast'!$O$30</f>
        <v>438.60897387078029</v>
      </c>
      <c r="L26" s="97">
        <f>+'11. Final Load Forecast'!$O$32/'11. Final Load Forecast'!$O$30</f>
        <v>1.221131530089316</v>
      </c>
      <c r="M26" s="97">
        <f>+'11. Final Load Forecast'!$O$35/'11. Final Load Forecast'!$O$34</f>
        <v>1231.4055695166896</v>
      </c>
      <c r="N26" s="97">
        <f>+'11. Final Load Forecast'!$O$36/'11. Final Load Forecast'!$O$34</f>
        <v>3.5090030919157678</v>
      </c>
      <c r="O26" s="97" t="e">
        <f>+'11. Final Load Forecast'!$O$39/'11. Final Load Forecast'!$O$38</f>
        <v>#DIV/0!</v>
      </c>
      <c r="P26" s="98" t="e">
        <f>+'11. Final Load Forecast'!$O$40/'11. Final Load Forecast'!$O$38</f>
        <v>#DIV/0!</v>
      </c>
    </row>
  </sheetData>
  <mergeCells count="7">
    <mergeCell ref="C13:D13"/>
    <mergeCell ref="E13:F13"/>
    <mergeCell ref="O13:P13"/>
    <mergeCell ref="M13:N13"/>
    <mergeCell ref="G13:H13"/>
    <mergeCell ref="K13:L13"/>
    <mergeCell ref="I13:J13"/>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workbookViewId="0">
      <selection activeCell="S54" sqref="S54"/>
    </sheetView>
  </sheetViews>
  <sheetFormatPr defaultRowHeight="12.75" x14ac:dyDescent="0.2"/>
  <cols>
    <col min="1" max="1" width="13.1640625" customWidth="1"/>
    <col min="2" max="2" width="23.1640625" customWidth="1"/>
    <col min="3" max="3" width="18.83203125" bestFit="1" customWidth="1"/>
    <col min="4" max="4" width="19.83203125" bestFit="1" customWidth="1"/>
    <col min="5" max="5" width="18.83203125" bestFit="1" customWidth="1"/>
    <col min="6" max="6" width="19.83203125" bestFit="1" customWidth="1"/>
    <col min="7" max="7" width="18.83203125" bestFit="1" customWidth="1"/>
    <col min="8" max="8" width="19.83203125" bestFit="1" customWidth="1"/>
    <col min="9" max="9" width="18.83203125" bestFit="1" customWidth="1"/>
  </cols>
  <sheetData>
    <row r="1" spans="1:10" s="536" customFormat="1" x14ac:dyDescent="0.2">
      <c r="A1" s="758" t="s">
        <v>272</v>
      </c>
    </row>
    <row r="2" spans="1:10" s="536" customFormat="1" x14ac:dyDescent="0.2"/>
    <row r="3" spans="1:10" s="536" customFormat="1" x14ac:dyDescent="0.2"/>
    <row r="4" spans="1:10" s="536" customFormat="1" x14ac:dyDescent="0.2"/>
    <row r="5" spans="1:10" s="536" customFormat="1" x14ac:dyDescent="0.2"/>
    <row r="6" spans="1:10" s="536" customFormat="1" x14ac:dyDescent="0.2"/>
    <row r="7" spans="1:10" s="536" customFormat="1" x14ac:dyDescent="0.2"/>
    <row r="8" spans="1:10" s="536" customFormat="1" x14ac:dyDescent="0.2"/>
    <row r="9" spans="1:10" s="536" customFormat="1" x14ac:dyDescent="0.2"/>
    <row r="10" spans="1:10" s="536" customFormat="1" x14ac:dyDescent="0.2"/>
    <row r="11" spans="1:10" s="536" customFormat="1" ht="23.25" x14ac:dyDescent="0.2">
      <c r="B11" s="133" t="s">
        <v>103</v>
      </c>
    </row>
    <row r="12" spans="1:10" s="536" customFormat="1" ht="12.75" customHeight="1" x14ac:dyDescent="0.2">
      <c r="B12" s="133"/>
    </row>
    <row r="13" spans="1:10" s="536" customFormat="1" x14ac:dyDescent="0.2">
      <c r="B13" s="784" t="s">
        <v>282</v>
      </c>
      <c r="C13" s="785" t="s">
        <v>283</v>
      </c>
      <c r="D13" s="784" t="s">
        <v>282</v>
      </c>
      <c r="E13" s="785" t="s">
        <v>283</v>
      </c>
      <c r="F13" s="784" t="s">
        <v>282</v>
      </c>
      <c r="G13" s="785" t="s">
        <v>283</v>
      </c>
      <c r="H13" s="784" t="s">
        <v>282</v>
      </c>
      <c r="I13" s="785" t="s">
        <v>283</v>
      </c>
    </row>
    <row r="14" spans="1:10" s="536" customFormat="1" x14ac:dyDescent="0.2">
      <c r="B14" s="786" t="s">
        <v>284</v>
      </c>
      <c r="C14" s="787">
        <v>13142570.375399999</v>
      </c>
      <c r="D14" s="786" t="s">
        <v>285</v>
      </c>
      <c r="E14" s="787">
        <v>14771571.713964712</v>
      </c>
      <c r="F14" s="786" t="s">
        <v>286</v>
      </c>
      <c r="G14" s="787">
        <v>16076421.379999999</v>
      </c>
      <c r="H14" s="788" t="s">
        <v>287</v>
      </c>
      <c r="I14" s="787">
        <v>18286019</v>
      </c>
    </row>
    <row r="15" spans="1:10" x14ac:dyDescent="0.2">
      <c r="B15" s="786" t="s">
        <v>288</v>
      </c>
      <c r="C15" s="787">
        <v>13197164.210000001</v>
      </c>
      <c r="D15" s="789" t="s">
        <v>289</v>
      </c>
      <c r="E15" s="787">
        <v>14773248.220000001</v>
      </c>
      <c r="F15" s="786" t="s">
        <v>290</v>
      </c>
      <c r="G15" s="787">
        <v>16145185.029999999</v>
      </c>
      <c r="H15" s="790" t="s">
        <v>291</v>
      </c>
      <c r="I15" s="787">
        <v>18353283.109999999</v>
      </c>
      <c r="J15" s="515"/>
    </row>
    <row r="16" spans="1:10" x14ac:dyDescent="0.2">
      <c r="B16" s="790" t="s">
        <v>292</v>
      </c>
      <c r="C16" s="787">
        <v>13231223.890000001</v>
      </c>
      <c r="D16" s="786" t="s">
        <v>293</v>
      </c>
      <c r="E16" s="787">
        <v>14838362.260899998</v>
      </c>
      <c r="F16" s="789" t="s">
        <v>294</v>
      </c>
      <c r="G16" s="787">
        <v>16259992.859999999</v>
      </c>
      <c r="H16" s="788" t="s">
        <v>295</v>
      </c>
      <c r="I16" s="787">
        <v>18549948.033</v>
      </c>
      <c r="J16" s="515"/>
    </row>
    <row r="17" spans="2:10" x14ac:dyDescent="0.2">
      <c r="B17" s="786" t="s">
        <v>296</v>
      </c>
      <c r="C17" s="787">
        <v>13562494.850000001</v>
      </c>
      <c r="D17" s="790" t="s">
        <v>297</v>
      </c>
      <c r="E17" s="787">
        <v>14896602.02</v>
      </c>
      <c r="F17" s="790" t="s">
        <v>298</v>
      </c>
      <c r="G17" s="787">
        <v>16320059.470000001</v>
      </c>
      <c r="H17" s="790" t="s">
        <v>299</v>
      </c>
      <c r="I17" s="787">
        <v>18569676.210000001</v>
      </c>
      <c r="J17" s="515"/>
    </row>
    <row r="18" spans="2:10" x14ac:dyDescent="0.2">
      <c r="B18" s="786" t="s">
        <v>300</v>
      </c>
      <c r="C18" s="787">
        <v>13562663.460000001</v>
      </c>
      <c r="D18" s="789" t="s">
        <v>301</v>
      </c>
      <c r="E18" s="787">
        <v>14962494.51</v>
      </c>
      <c r="F18" s="790" t="s">
        <v>302</v>
      </c>
      <c r="G18" s="787">
        <v>16336448.780000001</v>
      </c>
      <c r="H18" s="790" t="s">
        <v>303</v>
      </c>
      <c r="I18" s="787">
        <v>18576054.222617</v>
      </c>
      <c r="J18" s="515"/>
    </row>
    <row r="19" spans="2:10" x14ac:dyDescent="0.2">
      <c r="B19" s="790" t="s">
        <v>304</v>
      </c>
      <c r="C19" s="787">
        <v>13621301.949999999</v>
      </c>
      <c r="D19" s="786" t="s">
        <v>305</v>
      </c>
      <c r="E19" s="787">
        <v>14969028.680756001</v>
      </c>
      <c r="F19" s="789" t="s">
        <v>306</v>
      </c>
      <c r="G19" s="787">
        <v>16379523.159999998</v>
      </c>
      <c r="H19" s="788" t="s">
        <v>307</v>
      </c>
      <c r="I19" s="787">
        <v>18577263.48</v>
      </c>
      <c r="J19" s="515"/>
    </row>
    <row r="20" spans="2:10" x14ac:dyDescent="0.2">
      <c r="B20" s="790" t="s">
        <v>308</v>
      </c>
      <c r="C20" s="787">
        <v>13925725.6516</v>
      </c>
      <c r="D20" s="786" t="s">
        <v>309</v>
      </c>
      <c r="E20" s="787">
        <v>15016413.851820258</v>
      </c>
      <c r="F20" s="789" t="s">
        <v>310</v>
      </c>
      <c r="G20" s="787">
        <v>16553181.857891716</v>
      </c>
      <c r="H20" s="790" t="s">
        <v>311</v>
      </c>
      <c r="I20" s="787">
        <v>18728375.258694019</v>
      </c>
      <c r="J20" s="515"/>
    </row>
    <row r="21" spans="2:10" x14ac:dyDescent="0.2">
      <c r="B21" s="789" t="s">
        <v>312</v>
      </c>
      <c r="C21" s="787">
        <v>14032949.92</v>
      </c>
      <c r="D21" s="789" t="s">
        <v>313</v>
      </c>
      <c r="E21" s="787">
        <v>15077804.041620001</v>
      </c>
      <c r="F21" s="790" t="s">
        <v>314</v>
      </c>
      <c r="G21" s="787">
        <v>16590760.577996613</v>
      </c>
      <c r="H21" s="788" t="s">
        <v>315</v>
      </c>
      <c r="I21" s="787">
        <v>19353299.849999998</v>
      </c>
      <c r="J21" s="515"/>
    </row>
    <row r="22" spans="2:10" x14ac:dyDescent="0.2">
      <c r="B22" s="789" t="s">
        <v>316</v>
      </c>
      <c r="C22" s="787">
        <v>14189419.83</v>
      </c>
      <c r="D22" s="789" t="s">
        <v>317</v>
      </c>
      <c r="E22" s="787">
        <v>15176419.100000001</v>
      </c>
      <c r="F22" s="786" t="s">
        <v>318</v>
      </c>
      <c r="G22" s="787">
        <v>16686329.729999999</v>
      </c>
      <c r="H22" s="788" t="s">
        <v>319</v>
      </c>
      <c r="I22" s="787">
        <v>19481450.321269371</v>
      </c>
      <c r="J22" s="515"/>
    </row>
    <row r="23" spans="2:10" x14ac:dyDescent="0.2">
      <c r="B23" s="786" t="s">
        <v>320</v>
      </c>
      <c r="C23" s="787">
        <v>14231044.66</v>
      </c>
      <c r="D23" s="786" t="s">
        <v>321</v>
      </c>
      <c r="E23" s="787">
        <v>15187168.289077807</v>
      </c>
      <c r="F23" s="790" t="s">
        <v>322</v>
      </c>
      <c r="G23" s="787">
        <v>16701386.796254</v>
      </c>
      <c r="H23" s="788" t="s">
        <v>323</v>
      </c>
      <c r="I23" s="787">
        <v>19661405.159099996</v>
      </c>
      <c r="J23" s="515"/>
    </row>
    <row r="24" spans="2:10" x14ac:dyDescent="0.2">
      <c r="B24" s="789" t="s">
        <v>324</v>
      </c>
      <c r="C24" s="787">
        <v>14261991.7149</v>
      </c>
      <c r="D24" s="790" t="s">
        <v>325</v>
      </c>
      <c r="E24" s="787">
        <v>15269362.011053002</v>
      </c>
      <c r="F24" s="786" t="s">
        <v>326</v>
      </c>
      <c r="G24" s="787">
        <v>16708052.818849999</v>
      </c>
      <c r="H24" s="788" t="s">
        <v>327</v>
      </c>
      <c r="I24" s="787">
        <v>19664058.609999999</v>
      </c>
      <c r="J24" s="515"/>
    </row>
    <row r="25" spans="2:10" x14ac:dyDescent="0.2">
      <c r="B25" s="786" t="s">
        <v>328</v>
      </c>
      <c r="C25" s="787">
        <v>14275293.41</v>
      </c>
      <c r="D25" s="790" t="s">
        <v>329</v>
      </c>
      <c r="E25" s="787">
        <v>15285765.959005743</v>
      </c>
      <c r="F25" s="786" t="s">
        <v>330</v>
      </c>
      <c r="G25" s="787">
        <v>16708349.158282166</v>
      </c>
      <c r="H25" s="788" t="s">
        <v>331</v>
      </c>
      <c r="I25" s="787">
        <v>19667098.419999998</v>
      </c>
      <c r="J25" s="515"/>
    </row>
    <row r="26" spans="2:10" x14ac:dyDescent="0.2">
      <c r="B26" s="786" t="s">
        <v>332</v>
      </c>
      <c r="C26" s="787">
        <v>14315020.859999999</v>
      </c>
      <c r="D26" s="789" t="s">
        <v>333</v>
      </c>
      <c r="E26" s="787">
        <v>15301048.23</v>
      </c>
      <c r="F26" s="786" t="s">
        <v>334</v>
      </c>
      <c r="G26" s="787">
        <v>16710915.369999999</v>
      </c>
      <c r="H26" s="788" t="s">
        <v>335</v>
      </c>
      <c r="I26" s="787">
        <v>19878921.599999998</v>
      </c>
      <c r="J26" s="515"/>
    </row>
    <row r="27" spans="2:10" x14ac:dyDescent="0.2">
      <c r="B27" s="789" t="s">
        <v>336</v>
      </c>
      <c r="C27" s="787">
        <v>14325029.304391</v>
      </c>
      <c r="D27" s="789" t="s">
        <v>337</v>
      </c>
      <c r="E27" s="787">
        <v>15381044.64521</v>
      </c>
      <c r="F27" s="789" t="s">
        <v>338</v>
      </c>
      <c r="G27" s="787">
        <v>16774606.08</v>
      </c>
      <c r="H27" s="788" t="s">
        <v>339</v>
      </c>
      <c r="I27" s="787">
        <v>20050342.48</v>
      </c>
      <c r="J27" s="515"/>
    </row>
    <row r="28" spans="2:10" x14ac:dyDescent="0.2">
      <c r="B28" s="786" t="s">
        <v>340</v>
      </c>
      <c r="C28" s="787">
        <v>14379977.777999999</v>
      </c>
      <c r="D28" s="789" t="s">
        <v>341</v>
      </c>
      <c r="E28" s="787">
        <v>15401820.369999999</v>
      </c>
      <c r="F28" s="786" t="s">
        <v>342</v>
      </c>
      <c r="G28" s="787">
        <v>16804953.34</v>
      </c>
      <c r="H28" s="788" t="s">
        <v>343</v>
      </c>
      <c r="I28" s="787">
        <v>20077998.356498003</v>
      </c>
      <c r="J28" s="515"/>
    </row>
    <row r="29" spans="2:10" x14ac:dyDescent="0.2">
      <c r="B29" s="789" t="s">
        <v>344</v>
      </c>
      <c r="C29" s="787">
        <v>14397153.609999999</v>
      </c>
      <c r="D29" s="786" t="s">
        <v>345</v>
      </c>
      <c r="E29" s="787">
        <v>15412186.68</v>
      </c>
      <c r="F29" s="789" t="s">
        <v>346</v>
      </c>
      <c r="G29" s="787">
        <v>17264814.59</v>
      </c>
      <c r="H29" s="788" t="s">
        <v>347</v>
      </c>
      <c r="I29" s="787">
        <v>20103852.542633999</v>
      </c>
      <c r="J29" s="515"/>
    </row>
    <row r="30" spans="2:10" x14ac:dyDescent="0.2">
      <c r="B30" s="789" t="s">
        <v>348</v>
      </c>
      <c r="C30" s="787">
        <v>14401253.280000001</v>
      </c>
      <c r="D30" s="786" t="s">
        <v>349</v>
      </c>
      <c r="E30" s="787">
        <v>15495250.050000001</v>
      </c>
      <c r="F30" s="790" t="s">
        <v>350</v>
      </c>
      <c r="G30" s="787">
        <v>17309380.59</v>
      </c>
      <c r="H30" s="788" t="s">
        <v>351</v>
      </c>
      <c r="I30" s="787">
        <v>20156456.619999997</v>
      </c>
      <c r="J30" s="515"/>
    </row>
    <row r="31" spans="2:10" x14ac:dyDescent="0.2">
      <c r="B31" s="789" t="s">
        <v>352</v>
      </c>
      <c r="C31" s="787">
        <v>14452668.02</v>
      </c>
      <c r="D31" s="789" t="s">
        <v>353</v>
      </c>
      <c r="E31" s="787">
        <v>15547543.850000001</v>
      </c>
      <c r="F31" s="789" t="s">
        <v>354</v>
      </c>
      <c r="G31" s="787">
        <v>17326611.672388487</v>
      </c>
      <c r="H31" s="788" t="s">
        <v>355</v>
      </c>
      <c r="I31" s="787">
        <v>20219113.609999999</v>
      </c>
      <c r="J31" s="515"/>
    </row>
    <row r="32" spans="2:10" x14ac:dyDescent="0.2">
      <c r="B32" s="790" t="s">
        <v>356</v>
      </c>
      <c r="C32" s="787">
        <v>14463639.93</v>
      </c>
      <c r="D32" s="786" t="s">
        <v>357</v>
      </c>
      <c r="E32" s="787">
        <v>15622868.66</v>
      </c>
      <c r="F32" s="790" t="s">
        <v>358</v>
      </c>
      <c r="G32" s="787">
        <v>17502908.710000001</v>
      </c>
      <c r="H32" s="788" t="s">
        <v>359</v>
      </c>
      <c r="I32" s="787">
        <v>20238954.513</v>
      </c>
      <c r="J32" s="515"/>
    </row>
    <row r="33" spans="2:10" x14ac:dyDescent="0.2">
      <c r="B33" s="790" t="s">
        <v>360</v>
      </c>
      <c r="C33" s="787">
        <v>14470448.540000001</v>
      </c>
      <c r="D33" s="789" t="s">
        <v>361</v>
      </c>
      <c r="E33" s="787">
        <v>15636274.029739005</v>
      </c>
      <c r="F33" s="786" t="s">
        <v>362</v>
      </c>
      <c r="G33" s="787">
        <v>17567835.690000001</v>
      </c>
      <c r="H33" s="788" t="s">
        <v>363</v>
      </c>
      <c r="I33" s="787">
        <v>20437551.590970002</v>
      </c>
      <c r="J33" s="515"/>
    </row>
    <row r="34" spans="2:10" x14ac:dyDescent="0.2">
      <c r="B34" s="790" t="s">
        <v>364</v>
      </c>
      <c r="C34" s="787">
        <v>14497262.369999999</v>
      </c>
      <c r="D34" s="789" t="s">
        <v>365</v>
      </c>
      <c r="E34" s="787">
        <v>15683038.34</v>
      </c>
      <c r="F34" s="789" t="s">
        <v>366</v>
      </c>
      <c r="G34" s="787">
        <v>17609345.43</v>
      </c>
      <c r="H34" s="788" t="s">
        <v>367</v>
      </c>
      <c r="I34" s="787">
        <v>20524877.23</v>
      </c>
      <c r="J34" s="515"/>
    </row>
    <row r="35" spans="2:10" x14ac:dyDescent="0.2">
      <c r="B35" s="786" t="s">
        <v>368</v>
      </c>
      <c r="C35" s="787">
        <v>14550142.923020002</v>
      </c>
      <c r="D35" s="789" t="s">
        <v>369</v>
      </c>
      <c r="E35" s="787">
        <v>15748089.349450001</v>
      </c>
      <c r="F35" s="790" t="s">
        <v>370</v>
      </c>
      <c r="G35" s="787">
        <v>17633486.812399998</v>
      </c>
      <c r="H35" s="788" t="s">
        <v>371</v>
      </c>
      <c r="I35" s="787">
        <v>20811741.748199999</v>
      </c>
      <c r="J35" s="515"/>
    </row>
    <row r="36" spans="2:10" x14ac:dyDescent="0.2">
      <c r="B36" s="790" t="s">
        <v>372</v>
      </c>
      <c r="C36" s="787">
        <v>14561831.641099997</v>
      </c>
      <c r="D36" s="789" t="s">
        <v>373</v>
      </c>
      <c r="E36" s="787">
        <v>15758011.33</v>
      </c>
      <c r="F36" s="790" t="s">
        <v>374</v>
      </c>
      <c r="G36" s="787">
        <v>17771679.620000001</v>
      </c>
      <c r="H36" s="788" t="s">
        <v>375</v>
      </c>
      <c r="I36" s="787">
        <v>21239545.866999999</v>
      </c>
      <c r="J36" s="515"/>
    </row>
    <row r="37" spans="2:10" x14ac:dyDescent="0.2">
      <c r="B37" s="789" t="s">
        <v>376</v>
      </c>
      <c r="C37" s="787">
        <v>14607590.370000001</v>
      </c>
      <c r="D37" s="790" t="s">
        <v>377</v>
      </c>
      <c r="E37" s="787">
        <v>15774969.868452001</v>
      </c>
      <c r="F37" s="788" t="s">
        <v>378</v>
      </c>
      <c r="G37" s="787">
        <v>17805492.899999999</v>
      </c>
      <c r="H37" s="788" t="s">
        <v>379</v>
      </c>
      <c r="I37" s="787">
        <v>21744464.640000001</v>
      </c>
      <c r="J37" s="515"/>
    </row>
    <row r="38" spans="2:10" x14ac:dyDescent="0.2">
      <c r="B38" s="790" t="s">
        <v>380</v>
      </c>
      <c r="C38" s="787">
        <v>14608518.360000001</v>
      </c>
      <c r="D38" s="789" t="s">
        <v>381</v>
      </c>
      <c r="E38" s="787">
        <v>15810906.49</v>
      </c>
      <c r="F38" s="790" t="s">
        <v>382</v>
      </c>
      <c r="G38" s="787">
        <v>17959423.102491997</v>
      </c>
      <c r="H38" s="788" t="s">
        <v>383</v>
      </c>
      <c r="I38" s="787">
        <v>21764978.050000001</v>
      </c>
      <c r="J38" s="515"/>
    </row>
    <row r="39" spans="2:10" x14ac:dyDescent="0.2">
      <c r="B39" s="790" t="s">
        <v>384</v>
      </c>
      <c r="C39" s="787">
        <v>14621069.789999999</v>
      </c>
      <c r="D39" s="786" t="s">
        <v>385</v>
      </c>
      <c r="E39" s="787">
        <v>15831167.129999999</v>
      </c>
      <c r="F39" s="788" t="s">
        <v>386</v>
      </c>
      <c r="G39" s="787">
        <v>18046844.399999999</v>
      </c>
      <c r="H39" s="788" t="s">
        <v>387</v>
      </c>
      <c r="I39" s="787">
        <v>21851520.649999999</v>
      </c>
      <c r="J39" s="515"/>
    </row>
    <row r="40" spans="2:10" x14ac:dyDescent="0.2">
      <c r="B40" s="786" t="s">
        <v>388</v>
      </c>
      <c r="C40" s="787">
        <v>14622897.859999999</v>
      </c>
      <c r="D40" s="789" t="s">
        <v>389</v>
      </c>
      <c r="E40" s="787">
        <v>15840370.5626</v>
      </c>
      <c r="F40" s="790" t="s">
        <v>390</v>
      </c>
      <c r="G40" s="787">
        <v>18117945.16894</v>
      </c>
      <c r="H40" s="788" t="s">
        <v>391</v>
      </c>
      <c r="I40" s="787">
        <v>21962594.901799999</v>
      </c>
      <c r="J40" s="515"/>
    </row>
    <row r="41" spans="2:10" x14ac:dyDescent="0.2">
      <c r="B41" s="790" t="s">
        <v>392</v>
      </c>
      <c r="C41" s="787">
        <v>14660940.24</v>
      </c>
      <c r="D41" s="790" t="s">
        <v>393</v>
      </c>
      <c r="E41" s="787">
        <v>15890996.970000001</v>
      </c>
      <c r="F41" s="790" t="s">
        <v>394</v>
      </c>
      <c r="G41" s="787">
        <v>18155599.109999999</v>
      </c>
      <c r="H41" s="788" t="s">
        <v>395</v>
      </c>
      <c r="I41" s="787">
        <v>22597983.941599999</v>
      </c>
      <c r="J41" s="515"/>
    </row>
    <row r="42" spans="2:10" x14ac:dyDescent="0.2">
      <c r="B42" s="789" t="s">
        <v>396</v>
      </c>
      <c r="C42" s="787">
        <v>14663820.33</v>
      </c>
      <c r="D42" s="790" t="s">
        <v>397</v>
      </c>
      <c r="E42" s="787">
        <v>15902024.119999999</v>
      </c>
      <c r="F42" s="788" t="s">
        <v>398</v>
      </c>
      <c r="G42" s="787">
        <v>18157595.420000002</v>
      </c>
      <c r="H42" s="788" t="s">
        <v>399</v>
      </c>
      <c r="I42" s="787">
        <v>22616689.791279998</v>
      </c>
      <c r="J42" s="515"/>
    </row>
    <row r="43" spans="2:10" x14ac:dyDescent="0.2">
      <c r="B43" s="790" t="s">
        <v>400</v>
      </c>
      <c r="C43" s="787">
        <v>14737358.42</v>
      </c>
      <c r="D43" s="789" t="s">
        <v>401</v>
      </c>
      <c r="E43" s="787">
        <v>16044093.470000001</v>
      </c>
      <c r="F43" s="788" t="s">
        <v>402</v>
      </c>
      <c r="G43" s="787">
        <v>18188849.137899999</v>
      </c>
      <c r="H43" s="788" t="s">
        <v>403</v>
      </c>
      <c r="I43" s="787">
        <v>23335022.759390123</v>
      </c>
      <c r="J43" s="515"/>
    </row>
    <row r="44" spans="2:10" x14ac:dyDescent="0.2">
      <c r="B44" s="723"/>
      <c r="C44" s="791"/>
      <c r="D44" s="723"/>
      <c r="E44" s="723"/>
      <c r="F44" s="723"/>
      <c r="G44" s="723"/>
      <c r="H44" s="723"/>
      <c r="I44" s="723"/>
      <c r="J44" s="515"/>
    </row>
    <row r="45" spans="2:10" x14ac:dyDescent="0.2">
      <c r="B45" s="788" t="s">
        <v>404</v>
      </c>
      <c r="C45" s="791"/>
      <c r="D45" s="723"/>
      <c r="E45" s="723"/>
      <c r="F45" s="723"/>
      <c r="G45" s="723"/>
      <c r="H45" s="723"/>
      <c r="I45" s="723"/>
      <c r="J45" s="515"/>
    </row>
    <row r="46" spans="2:10" x14ac:dyDescent="0.2">
      <c r="B46" s="789" t="s">
        <v>405</v>
      </c>
      <c r="C46" s="791"/>
      <c r="D46" s="723"/>
      <c r="E46" s="723"/>
      <c r="F46" s="723"/>
      <c r="G46" s="723"/>
      <c r="H46" s="723"/>
      <c r="I46" s="723"/>
      <c r="J46" s="515"/>
    </row>
    <row r="47" spans="2:10" x14ac:dyDescent="0.2">
      <c r="B47" s="790" t="s">
        <v>406</v>
      </c>
      <c r="C47" s="791"/>
      <c r="D47" s="723"/>
      <c r="E47" s="723"/>
      <c r="F47" s="723"/>
      <c r="G47" s="723"/>
      <c r="H47" s="723"/>
      <c r="I47" s="723"/>
      <c r="J47" s="515"/>
    </row>
    <row r="48" spans="2:10" x14ac:dyDescent="0.2">
      <c r="B48" s="786" t="s">
        <v>407</v>
      </c>
      <c r="C48" s="791"/>
      <c r="D48" s="723"/>
      <c r="E48" s="723"/>
      <c r="F48" s="723"/>
      <c r="G48" s="723"/>
      <c r="H48" s="723"/>
      <c r="I48" s="723"/>
      <c r="J48" s="515"/>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2"/>
  <sheetViews>
    <sheetView showGridLines="0" workbookViewId="0">
      <selection activeCell="O105" sqref="O105"/>
    </sheetView>
  </sheetViews>
  <sheetFormatPr defaultColWidth="10.5" defaultRowHeight="12.75" x14ac:dyDescent="0.2"/>
  <cols>
    <col min="1" max="1" width="13.6640625" style="1" customWidth="1"/>
    <col min="2" max="2" width="14" style="1" customWidth="1"/>
    <col min="3" max="3" width="13.33203125" style="1" customWidth="1"/>
    <col min="4" max="4" width="13.33203125" style="536" customWidth="1"/>
    <col min="5" max="9" width="13.33203125" style="1" customWidth="1"/>
    <col min="10" max="10" width="11.33203125" style="1" bestFit="1" customWidth="1"/>
    <col min="11" max="11" width="6.6640625" style="1" customWidth="1"/>
    <col min="12" max="12" width="11.33203125" style="1" bestFit="1" customWidth="1"/>
    <col min="13" max="13" width="5.5" style="1" bestFit="1" customWidth="1"/>
    <col min="14" max="14" width="11.33203125" style="1" bestFit="1" customWidth="1"/>
    <col min="15" max="15" width="7.83203125" style="1" customWidth="1"/>
    <col min="16" max="16" width="11.33203125" style="1" bestFit="1" customWidth="1"/>
    <col min="17" max="17" width="5.5" style="1" bestFit="1" customWidth="1"/>
    <col min="18" max="18" width="11.33203125" style="1" bestFit="1" customWidth="1"/>
    <col min="19" max="19" width="5.5" style="1" bestFit="1" customWidth="1"/>
    <col min="20" max="20" width="11.33203125" style="1" bestFit="1" customWidth="1"/>
    <col min="21" max="21" width="8.1640625" style="1" customWidth="1"/>
    <col min="22" max="22" width="11.33203125" style="1" bestFit="1" customWidth="1"/>
    <col min="23" max="23" width="4.5" style="1" bestFit="1" customWidth="1"/>
    <col min="24" max="24" width="11.33203125" style="1" bestFit="1" customWidth="1"/>
    <col min="25" max="25" width="6.5" style="1" bestFit="1" customWidth="1"/>
    <col min="26" max="27" width="11.33203125" style="1" bestFit="1" customWidth="1"/>
    <col min="28" max="29" width="10.5" style="1"/>
    <col min="30" max="31" width="1.83203125" style="1" bestFit="1" customWidth="1"/>
    <col min="32" max="16384" width="10.5" style="1"/>
  </cols>
  <sheetData>
    <row r="1" spans="1:9" s="536" customFormat="1" x14ac:dyDescent="0.2">
      <c r="A1" s="758" t="s">
        <v>272</v>
      </c>
    </row>
    <row r="2" spans="1:9" s="536" customFormat="1" x14ac:dyDescent="0.2"/>
    <row r="3" spans="1:9" s="536" customFormat="1" x14ac:dyDescent="0.2"/>
    <row r="4" spans="1:9" s="536" customFormat="1" x14ac:dyDescent="0.2"/>
    <row r="5" spans="1:9" s="536" customFormat="1" x14ac:dyDescent="0.2"/>
    <row r="6" spans="1:9" s="536" customFormat="1" x14ac:dyDescent="0.2"/>
    <row r="7" spans="1:9" s="536" customFormat="1" x14ac:dyDescent="0.2"/>
    <row r="8" spans="1:9" s="536" customFormat="1" x14ac:dyDescent="0.2"/>
    <row r="9" spans="1:9" s="536" customFormat="1" x14ac:dyDescent="0.2"/>
    <row r="11" spans="1:9" ht="23.25" x14ac:dyDescent="0.2">
      <c r="B11" s="133" t="s">
        <v>103</v>
      </c>
    </row>
    <row r="12" spans="1:9" x14ac:dyDescent="0.2">
      <c r="B12" s="64"/>
      <c r="C12" s="145" t="s">
        <v>30</v>
      </c>
      <c r="D12" s="145"/>
      <c r="E12" s="145"/>
      <c r="F12" s="145"/>
      <c r="G12" s="145"/>
    </row>
    <row r="13" spans="1:9" x14ac:dyDescent="0.2">
      <c r="B13" s="916" t="str">
        <f>+'11. Final Load Forecast'!B14</f>
        <v>Residential</v>
      </c>
      <c r="C13" s="917"/>
      <c r="D13" s="917"/>
      <c r="E13" s="917"/>
      <c r="F13" s="917"/>
      <c r="G13" s="917"/>
      <c r="H13" s="917"/>
      <c r="I13" s="917"/>
    </row>
    <row r="14" spans="1:9" x14ac:dyDescent="0.2">
      <c r="B14" s="805" t="s">
        <v>33</v>
      </c>
      <c r="C14" s="805" t="s">
        <v>49</v>
      </c>
      <c r="D14" s="805" t="s">
        <v>281</v>
      </c>
      <c r="E14" s="805" t="s">
        <v>62</v>
      </c>
      <c r="F14" s="93" t="s">
        <v>36</v>
      </c>
      <c r="G14" s="805" t="s">
        <v>62</v>
      </c>
      <c r="H14" s="93" t="s">
        <v>37</v>
      </c>
      <c r="I14" s="805" t="s">
        <v>62</v>
      </c>
    </row>
    <row r="15" spans="1:9" x14ac:dyDescent="0.2">
      <c r="B15" s="805">
        <v>2005</v>
      </c>
      <c r="C15" s="95">
        <f>'11. Final Load Forecast'!$D$14</f>
        <v>8625</v>
      </c>
      <c r="D15" s="95"/>
      <c r="E15" s="95"/>
      <c r="F15" s="95">
        <f>+'11. Final Load Forecast'!$D$15</f>
        <v>76867401</v>
      </c>
      <c r="G15" s="95"/>
      <c r="H15" s="95">
        <f>+'11. Final Load Forecast'!$D$16</f>
        <v>0</v>
      </c>
      <c r="I15" s="95"/>
    </row>
    <row r="16" spans="1:9" x14ac:dyDescent="0.2">
      <c r="B16" s="805">
        <v>2006</v>
      </c>
      <c r="C16" s="95">
        <f>'11. Final Load Forecast'!$E$14</f>
        <v>8696</v>
      </c>
      <c r="D16" s="95">
        <f t="shared" ref="D16:D25" si="0">C16-C15</f>
        <v>71</v>
      </c>
      <c r="E16" s="187">
        <f t="shared" ref="E16:E26" si="1">(C16-C15)/C15</f>
        <v>8.2318840579710152E-3</v>
      </c>
      <c r="F16" s="95">
        <f>+'11. Final Load Forecast'!$E$15</f>
        <v>80301785</v>
      </c>
      <c r="G16" s="187">
        <f t="shared" ref="G16:G26" si="2">(F16-F15)/F15</f>
        <v>4.4679330318453205E-2</v>
      </c>
      <c r="H16" s="95">
        <f>+'11. Final Load Forecast'!$E$16</f>
        <v>0</v>
      </c>
      <c r="I16" s="187" t="e">
        <f t="shared" ref="I16:I26" si="3">(H16-H15)/H15</f>
        <v>#DIV/0!</v>
      </c>
    </row>
    <row r="17" spans="2:31" x14ac:dyDescent="0.2">
      <c r="B17" s="805">
        <v>2007</v>
      </c>
      <c r="C17" s="95">
        <f>'11. Final Load Forecast'!$F$14</f>
        <v>8809</v>
      </c>
      <c r="D17" s="95">
        <f t="shared" si="0"/>
        <v>113</v>
      </c>
      <c r="E17" s="187">
        <f t="shared" si="1"/>
        <v>1.2994480220791168E-2</v>
      </c>
      <c r="F17" s="95">
        <f>+'11. Final Load Forecast'!$F$15</f>
        <v>78894594</v>
      </c>
      <c r="G17" s="187">
        <f t="shared" si="2"/>
        <v>-1.7523782316918608E-2</v>
      </c>
      <c r="H17" s="95">
        <f>+'11. Final Load Forecast'!$F$16</f>
        <v>0</v>
      </c>
      <c r="I17" s="187" t="e">
        <f t="shared" si="3"/>
        <v>#DIV/0!</v>
      </c>
    </row>
    <row r="18" spans="2:31" x14ac:dyDescent="0.2">
      <c r="B18" s="805">
        <v>2008</v>
      </c>
      <c r="C18" s="95">
        <f>'11. Final Load Forecast'!$G$14</f>
        <v>8809</v>
      </c>
      <c r="D18" s="95">
        <f t="shared" si="0"/>
        <v>0</v>
      </c>
      <c r="E18" s="187">
        <f t="shared" si="1"/>
        <v>0</v>
      </c>
      <c r="F18" s="95">
        <f>+'11. Final Load Forecast'!$G$15</f>
        <v>78894594</v>
      </c>
      <c r="G18" s="187">
        <f t="shared" si="2"/>
        <v>0</v>
      </c>
      <c r="H18" s="95">
        <f>+'11. Final Load Forecast'!$G$16</f>
        <v>0</v>
      </c>
      <c r="I18" s="187" t="e">
        <f t="shared" si="3"/>
        <v>#DIV/0!</v>
      </c>
    </row>
    <row r="19" spans="2:31" x14ac:dyDescent="0.2">
      <c r="B19" s="805">
        <v>2009</v>
      </c>
      <c r="C19" s="95">
        <f>'11. Final Load Forecast'!$H$14</f>
        <v>8941</v>
      </c>
      <c r="D19" s="95">
        <f t="shared" si="0"/>
        <v>132</v>
      </c>
      <c r="E19" s="187">
        <f t="shared" si="1"/>
        <v>1.4984674764445453E-2</v>
      </c>
      <c r="F19" s="95">
        <f>+'11. Final Load Forecast'!$H$15</f>
        <v>76058961.349999994</v>
      </c>
      <c r="G19" s="187">
        <f t="shared" si="2"/>
        <v>-3.5942039957769553E-2</v>
      </c>
      <c r="H19" s="95">
        <f>+'11. Final Load Forecast'!$H$16</f>
        <v>0</v>
      </c>
      <c r="I19" s="187" t="e">
        <f t="shared" si="3"/>
        <v>#DIV/0!</v>
      </c>
    </row>
    <row r="20" spans="2:31" x14ac:dyDescent="0.2">
      <c r="B20" s="805">
        <v>2010</v>
      </c>
      <c r="C20" s="95">
        <f>'11. Final Load Forecast'!$I$14</f>
        <v>8955</v>
      </c>
      <c r="D20" s="95">
        <f t="shared" si="0"/>
        <v>14</v>
      </c>
      <c r="E20" s="187">
        <f t="shared" si="1"/>
        <v>1.5658203780337769E-3</v>
      </c>
      <c r="F20" s="95">
        <f>+'11. Final Load Forecast'!$I$15</f>
        <v>75301012.150000006</v>
      </c>
      <c r="G20" s="187">
        <f t="shared" si="2"/>
        <v>-9.9652846495252353E-3</v>
      </c>
      <c r="H20" s="95">
        <f>+'11. Final Load Forecast'!$I$16</f>
        <v>0</v>
      </c>
      <c r="I20" s="187" t="e">
        <f t="shared" si="3"/>
        <v>#DIV/0!</v>
      </c>
    </row>
    <row r="21" spans="2:31" x14ac:dyDescent="0.2">
      <c r="B21" s="805">
        <v>2011</v>
      </c>
      <c r="C21" s="95">
        <f>'11. Final Load Forecast'!$J$14</f>
        <v>9030</v>
      </c>
      <c r="D21" s="95">
        <f t="shared" si="0"/>
        <v>75</v>
      </c>
      <c r="E21" s="187">
        <f t="shared" si="1"/>
        <v>8.3752093802345051E-3</v>
      </c>
      <c r="F21" s="95">
        <f>+'11. Final Load Forecast'!$J$15</f>
        <v>79270519.859999999</v>
      </c>
      <c r="G21" s="187">
        <f t="shared" si="2"/>
        <v>5.2715197268433968E-2</v>
      </c>
      <c r="H21" s="95">
        <f>+'11. Final Load Forecast'!$J$16</f>
        <v>0</v>
      </c>
      <c r="I21" s="187" t="e">
        <f t="shared" si="3"/>
        <v>#DIV/0!</v>
      </c>
    </row>
    <row r="22" spans="2:31" x14ac:dyDescent="0.2">
      <c r="B22" s="805">
        <v>2012</v>
      </c>
      <c r="C22" s="95">
        <f>'11. Final Load Forecast'!$K$14</f>
        <v>9086.5</v>
      </c>
      <c r="D22" s="95">
        <f t="shared" si="0"/>
        <v>56.5</v>
      </c>
      <c r="E22" s="187">
        <f t="shared" si="1"/>
        <v>6.2569213732004431E-3</v>
      </c>
      <c r="F22" s="95">
        <f>+'11. Final Load Forecast'!$K$15</f>
        <v>78553743.920000002</v>
      </c>
      <c r="G22" s="187">
        <f t="shared" si="2"/>
        <v>-9.0421501116165082E-3</v>
      </c>
      <c r="H22" s="95">
        <f>+'11. Final Load Forecast'!$K$16</f>
        <v>0</v>
      </c>
      <c r="I22" s="187" t="e">
        <f t="shared" si="3"/>
        <v>#DIV/0!</v>
      </c>
    </row>
    <row r="23" spans="2:31" x14ac:dyDescent="0.2">
      <c r="B23" s="805">
        <v>2013</v>
      </c>
      <c r="C23" s="95">
        <f>'11. Final Load Forecast'!$L$14</f>
        <v>9195</v>
      </c>
      <c r="D23" s="95">
        <f t="shared" si="0"/>
        <v>108.5</v>
      </c>
      <c r="E23" s="187">
        <f t="shared" si="1"/>
        <v>1.194079128377263E-2</v>
      </c>
      <c r="F23" s="95">
        <f>+'11. Final Load Forecast'!$L$15</f>
        <v>80138213.859999999</v>
      </c>
      <c r="G23" s="187">
        <f t="shared" si="2"/>
        <v>2.0170520982598094E-2</v>
      </c>
      <c r="H23" s="95">
        <f>+'11. Final Load Forecast'!$L$16</f>
        <v>0</v>
      </c>
      <c r="I23" s="187" t="e">
        <f t="shared" si="3"/>
        <v>#DIV/0!</v>
      </c>
    </row>
    <row r="24" spans="2:31" x14ac:dyDescent="0.2">
      <c r="B24" s="805">
        <v>2014</v>
      </c>
      <c r="C24" s="95">
        <f>'11. Final Load Forecast'!$M$14</f>
        <v>9305</v>
      </c>
      <c r="D24" s="95">
        <f t="shared" si="0"/>
        <v>110</v>
      </c>
      <c r="E24" s="187">
        <f t="shared" si="1"/>
        <v>1.1963023382272975E-2</v>
      </c>
      <c r="F24" s="95">
        <f>+'11. Final Load Forecast'!$M$15</f>
        <v>79483998.230000004</v>
      </c>
      <c r="G24" s="187">
        <f t="shared" si="2"/>
        <v>-8.1635913565892299E-3</v>
      </c>
      <c r="H24" s="95">
        <f>+'11. Final Load Forecast'!$M$16</f>
        <v>0</v>
      </c>
      <c r="I24" s="187" t="e">
        <f t="shared" si="3"/>
        <v>#DIV/0!</v>
      </c>
    </row>
    <row r="25" spans="2:31" x14ac:dyDescent="0.2">
      <c r="B25" s="805">
        <v>2015</v>
      </c>
      <c r="C25" s="95">
        <f>'11. Final Load Forecast'!$N$14</f>
        <v>9383.7903594694271</v>
      </c>
      <c r="D25" s="95">
        <f t="shared" si="0"/>
        <v>78.790359469427131</v>
      </c>
      <c r="E25" s="188">
        <f t="shared" si="1"/>
        <v>8.4675292283102766E-3</v>
      </c>
      <c r="F25" s="95">
        <f>+'11. Final Load Forecast'!$N$15</f>
        <v>78438793.189758614</v>
      </c>
      <c r="G25" s="188">
        <f t="shared" si="2"/>
        <v>-1.3149880020088043E-2</v>
      </c>
      <c r="H25" s="95">
        <f>+'11. Final Load Forecast'!$N$16</f>
        <v>0</v>
      </c>
      <c r="I25" s="188" t="e">
        <f t="shared" si="3"/>
        <v>#DIV/0!</v>
      </c>
      <c r="AD25" s="1" t="s">
        <v>30</v>
      </c>
      <c r="AE25" s="1" t="s">
        <v>30</v>
      </c>
    </row>
    <row r="26" spans="2:31" x14ac:dyDescent="0.2">
      <c r="B26" s="805">
        <v>2016</v>
      </c>
      <c r="C26" s="95">
        <f>'11. Final Load Forecast'!$O$14</f>
        <v>9463.2478786105712</v>
      </c>
      <c r="D26" s="95">
        <f>C26-C25</f>
        <v>79.457519141144076</v>
      </c>
      <c r="E26" s="188">
        <f t="shared" si="1"/>
        <v>8.4675292283103304E-3</v>
      </c>
      <c r="F26" s="95">
        <f>+'11. Final Load Forecast'!$O$15</f>
        <v>76920584.739168555</v>
      </c>
      <c r="G26" s="188">
        <f t="shared" si="2"/>
        <v>-1.9355326476240133E-2</v>
      </c>
      <c r="H26" s="95">
        <f>+'11. Final Load Forecast'!$O$16</f>
        <v>0</v>
      </c>
      <c r="I26" s="188" t="e">
        <f t="shared" si="3"/>
        <v>#DIV/0!</v>
      </c>
    </row>
    <row r="28" spans="2:31" x14ac:dyDescent="0.2">
      <c r="C28" s="145"/>
      <c r="D28" s="145"/>
      <c r="E28" s="145"/>
      <c r="F28" s="145"/>
      <c r="G28" s="145"/>
    </row>
    <row r="29" spans="2:31" x14ac:dyDescent="0.2">
      <c r="B29" s="916" t="str">
        <f>+'11. Final Load Forecast'!B18</f>
        <v>General Service &lt; 50 kW</v>
      </c>
      <c r="C29" s="917"/>
      <c r="D29" s="917"/>
      <c r="E29" s="917"/>
      <c r="F29" s="917"/>
      <c r="G29" s="917"/>
      <c r="H29" s="917"/>
      <c r="I29" s="917"/>
    </row>
    <row r="30" spans="2:31" x14ac:dyDescent="0.2">
      <c r="B30" s="805" t="s">
        <v>33</v>
      </c>
      <c r="C30" s="805" t="s">
        <v>49</v>
      </c>
      <c r="D30" s="805" t="s">
        <v>281</v>
      </c>
      <c r="E30" s="805" t="s">
        <v>62</v>
      </c>
      <c r="F30" s="93" t="s">
        <v>36</v>
      </c>
      <c r="G30" s="805" t="s">
        <v>62</v>
      </c>
      <c r="H30" s="93" t="s">
        <v>37</v>
      </c>
      <c r="I30" s="805" t="s">
        <v>62</v>
      </c>
    </row>
    <row r="31" spans="2:31" x14ac:dyDescent="0.2">
      <c r="B31" s="805">
        <v>2005</v>
      </c>
      <c r="C31" s="95">
        <f>'11. Final Load Forecast'!$D$18</f>
        <v>1496</v>
      </c>
      <c r="D31" s="95"/>
      <c r="E31" s="95"/>
      <c r="F31" s="95">
        <f>+'11. Final Load Forecast'!$D$19</f>
        <v>43814909</v>
      </c>
      <c r="G31" s="95"/>
      <c r="H31" s="95">
        <f>+'11. Final Load Forecast'!$D$20</f>
        <v>0</v>
      </c>
      <c r="I31" s="95"/>
    </row>
    <row r="32" spans="2:31" x14ac:dyDescent="0.2">
      <c r="B32" s="805">
        <v>2006</v>
      </c>
      <c r="C32" s="95">
        <f>'11. Final Load Forecast'!$E$18</f>
        <v>1449</v>
      </c>
      <c r="D32" s="95">
        <f t="shared" ref="D32:D41" si="4">C32-C31</f>
        <v>-47</v>
      </c>
      <c r="E32" s="187">
        <f t="shared" ref="E32:E42" si="5">(C32-C31)/C31</f>
        <v>-3.1417112299465241E-2</v>
      </c>
      <c r="F32" s="95">
        <f>+'11. Final Load Forecast'!$E$19</f>
        <v>39580098</v>
      </c>
      <c r="G32" s="187">
        <f t="shared" ref="G32:G42" si="6">(F32-F31)/F31</f>
        <v>-9.6652283358616586E-2</v>
      </c>
      <c r="H32" s="95">
        <f>+'11. Final Load Forecast'!$E$20</f>
        <v>0</v>
      </c>
      <c r="I32" s="187" t="e">
        <f t="shared" ref="I32:I42" si="7">(H32-H31)/H31</f>
        <v>#DIV/0!</v>
      </c>
    </row>
    <row r="33" spans="2:10" x14ac:dyDescent="0.2">
      <c r="B33" s="805">
        <v>2007</v>
      </c>
      <c r="C33" s="95">
        <f>'11. Final Load Forecast'!$F$18</f>
        <v>1442</v>
      </c>
      <c r="D33" s="95">
        <f t="shared" si="4"/>
        <v>-7</v>
      </c>
      <c r="E33" s="187">
        <f t="shared" si="5"/>
        <v>-4.830917874396135E-3</v>
      </c>
      <c r="F33" s="95">
        <f>+'11. Final Load Forecast'!$F$19</f>
        <v>35721757</v>
      </c>
      <c r="G33" s="187">
        <f t="shared" si="6"/>
        <v>-9.7481845547729568E-2</v>
      </c>
      <c r="H33" s="95">
        <f>+'11. Final Load Forecast'!$F$20</f>
        <v>0</v>
      </c>
      <c r="I33" s="187" t="e">
        <f t="shared" si="7"/>
        <v>#DIV/0!</v>
      </c>
    </row>
    <row r="34" spans="2:10" x14ac:dyDescent="0.2">
      <c r="B34" s="805">
        <v>2008</v>
      </c>
      <c r="C34" s="95">
        <f>'11. Final Load Forecast'!$G$18</f>
        <v>1409</v>
      </c>
      <c r="D34" s="95">
        <f t="shared" si="4"/>
        <v>-33</v>
      </c>
      <c r="E34" s="187">
        <f t="shared" si="5"/>
        <v>-2.2884882108183079E-2</v>
      </c>
      <c r="F34" s="95">
        <f>+'11. Final Load Forecast'!$G$19</f>
        <v>35801702</v>
      </c>
      <c r="G34" s="187">
        <f t="shared" si="6"/>
        <v>2.2379918210630009E-3</v>
      </c>
      <c r="H34" s="95">
        <f>+'11. Final Load Forecast'!$G$20</f>
        <v>0</v>
      </c>
      <c r="I34" s="187" t="e">
        <f t="shared" si="7"/>
        <v>#DIV/0!</v>
      </c>
    </row>
    <row r="35" spans="2:10" x14ac:dyDescent="0.2">
      <c r="B35" s="805">
        <v>2009</v>
      </c>
      <c r="C35" s="95">
        <f>'11. Final Load Forecast'!$H$18</f>
        <v>1394</v>
      </c>
      <c r="D35" s="95">
        <f t="shared" si="4"/>
        <v>-15</v>
      </c>
      <c r="E35" s="187">
        <f t="shared" si="5"/>
        <v>-1.0645848119233499E-2</v>
      </c>
      <c r="F35" s="95">
        <f>+'11. Final Load Forecast'!$H$19</f>
        <v>34198078.359999999</v>
      </c>
      <c r="G35" s="187">
        <f t="shared" si="6"/>
        <v>-4.4791826936049037E-2</v>
      </c>
      <c r="H35" s="95">
        <f>+'11. Final Load Forecast'!$H$20</f>
        <v>0</v>
      </c>
      <c r="I35" s="187" t="e">
        <f t="shared" si="7"/>
        <v>#DIV/0!</v>
      </c>
    </row>
    <row r="36" spans="2:10" x14ac:dyDescent="0.2">
      <c r="B36" s="805">
        <v>2010</v>
      </c>
      <c r="C36" s="95">
        <f>'11. Final Load Forecast'!$I$18</f>
        <v>1372</v>
      </c>
      <c r="D36" s="95">
        <f t="shared" si="4"/>
        <v>-22</v>
      </c>
      <c r="E36" s="187">
        <f t="shared" si="5"/>
        <v>-1.5781922525107604E-2</v>
      </c>
      <c r="F36" s="95">
        <f>+'11. Final Load Forecast'!$I$19</f>
        <v>33358216.629999999</v>
      </c>
      <c r="G36" s="187">
        <f t="shared" si="6"/>
        <v>-2.4558740440291816E-2</v>
      </c>
      <c r="H36" s="95">
        <f>+'11. Final Load Forecast'!$I$20</f>
        <v>0</v>
      </c>
      <c r="I36" s="187" t="e">
        <f t="shared" si="7"/>
        <v>#DIV/0!</v>
      </c>
    </row>
    <row r="37" spans="2:10" x14ac:dyDescent="0.2">
      <c r="B37" s="805">
        <v>2011</v>
      </c>
      <c r="C37" s="95">
        <f>'11. Final Load Forecast'!$J$18</f>
        <v>1370</v>
      </c>
      <c r="D37" s="95">
        <f t="shared" si="4"/>
        <v>-2</v>
      </c>
      <c r="E37" s="187">
        <f t="shared" si="5"/>
        <v>-1.4577259475218659E-3</v>
      </c>
      <c r="F37" s="95">
        <f>+'11. Final Load Forecast'!$J$19</f>
        <v>32279016.170000002</v>
      </c>
      <c r="G37" s="187">
        <f t="shared" si="6"/>
        <v>-3.2351863169730759E-2</v>
      </c>
      <c r="H37" s="95">
        <f>+'11. Final Load Forecast'!$J$20</f>
        <v>0</v>
      </c>
      <c r="I37" s="187" t="e">
        <f t="shared" si="7"/>
        <v>#DIV/0!</v>
      </c>
    </row>
    <row r="38" spans="2:10" x14ac:dyDescent="0.2">
      <c r="B38" s="805">
        <v>2012</v>
      </c>
      <c r="C38" s="95">
        <f>'11. Final Load Forecast'!$K$18</f>
        <v>1361.5</v>
      </c>
      <c r="D38" s="95">
        <f t="shared" si="4"/>
        <v>-8.5</v>
      </c>
      <c r="E38" s="187">
        <f t="shared" si="5"/>
        <v>-6.2043795620437955E-3</v>
      </c>
      <c r="F38" s="95">
        <f>+'11. Final Load Forecast'!$K$19</f>
        <v>31948521.120000001</v>
      </c>
      <c r="G38" s="187">
        <f t="shared" si="6"/>
        <v>-1.0238696503617778E-2</v>
      </c>
      <c r="H38" s="95">
        <f>+'11. Final Load Forecast'!$K$20</f>
        <v>0</v>
      </c>
      <c r="I38" s="187" t="e">
        <f t="shared" si="7"/>
        <v>#DIV/0!</v>
      </c>
    </row>
    <row r="39" spans="2:10" x14ac:dyDescent="0.2">
      <c r="B39" s="805">
        <v>2013</v>
      </c>
      <c r="C39" s="95">
        <f>+'11. Final Load Forecast'!$L$18</f>
        <v>1332.5</v>
      </c>
      <c r="D39" s="95">
        <f t="shared" si="4"/>
        <v>-29</v>
      </c>
      <c r="E39" s="187">
        <f t="shared" si="5"/>
        <v>-2.1300036724201249E-2</v>
      </c>
      <c r="F39" s="95">
        <f>+'11. Final Load Forecast'!$L$19</f>
        <v>31708039.23</v>
      </c>
      <c r="G39" s="187">
        <f t="shared" si="6"/>
        <v>-7.5271681307795251E-3</v>
      </c>
      <c r="H39" s="95">
        <f>+'11. Final Load Forecast'!$L$20</f>
        <v>0</v>
      </c>
      <c r="I39" s="187" t="e">
        <f t="shared" si="7"/>
        <v>#DIV/0!</v>
      </c>
    </row>
    <row r="40" spans="2:10" x14ac:dyDescent="0.2">
      <c r="B40" s="805">
        <v>2014</v>
      </c>
      <c r="C40" s="95">
        <f>'11. Final Load Forecast'!$M$18</f>
        <v>1318</v>
      </c>
      <c r="D40" s="95">
        <f t="shared" si="4"/>
        <v>-14.5</v>
      </c>
      <c r="E40" s="187">
        <f t="shared" si="5"/>
        <v>-1.0881801125703566E-2</v>
      </c>
      <c r="F40" s="95">
        <f>+'11. Final Load Forecast'!$M$19</f>
        <v>31649726.120000001</v>
      </c>
      <c r="G40" s="187">
        <f t="shared" si="6"/>
        <v>-1.8390638909273043E-3</v>
      </c>
      <c r="H40" s="95">
        <f>+'11. Final Load Forecast'!$M$20</f>
        <v>0</v>
      </c>
      <c r="I40" s="187" t="e">
        <f t="shared" si="7"/>
        <v>#DIV/0!</v>
      </c>
    </row>
    <row r="41" spans="2:10" x14ac:dyDescent="0.2">
      <c r="B41" s="805">
        <v>2015</v>
      </c>
      <c r="C41" s="95">
        <f>'11. Final Load Forecast'!$N$18</f>
        <v>1299.5784496245794</v>
      </c>
      <c r="D41" s="95">
        <f t="shared" si="4"/>
        <v>-18.421550375420566</v>
      </c>
      <c r="E41" s="188">
        <f t="shared" si="5"/>
        <v>-1.3976897098194663E-2</v>
      </c>
      <c r="F41" s="95">
        <f>+'11. Final Load Forecast'!$N$19</f>
        <v>34953791.57291279</v>
      </c>
      <c r="G41" s="188">
        <f t="shared" si="6"/>
        <v>0.1043947565418234</v>
      </c>
      <c r="H41" s="95">
        <f>+'11. Final Load Forecast'!$N$20</f>
        <v>0</v>
      </c>
      <c r="I41" s="188" t="e">
        <f t="shared" si="7"/>
        <v>#DIV/0!</v>
      </c>
    </row>
    <row r="42" spans="2:10" x14ac:dyDescent="0.2">
      <c r="B42" s="805">
        <v>2016</v>
      </c>
      <c r="C42" s="95">
        <f>'11. Final Load Forecast'!$O$18</f>
        <v>1281.4143753631454</v>
      </c>
      <c r="D42" s="95">
        <f>C42-C41</f>
        <v>-18.164074261434052</v>
      </c>
      <c r="E42" s="188">
        <f t="shared" si="5"/>
        <v>-1.3976897098194625E-2</v>
      </c>
      <c r="F42" s="95">
        <f>+'11. Final Load Forecast'!$O$19</f>
        <v>34277249.525436617</v>
      </c>
      <c r="G42" s="188">
        <f t="shared" si="6"/>
        <v>-1.935532647623997E-2</v>
      </c>
      <c r="H42" s="95">
        <f>+'11. Final Load Forecast'!$O$20</f>
        <v>0</v>
      </c>
      <c r="I42" s="188" t="e">
        <f t="shared" si="7"/>
        <v>#DIV/0!</v>
      </c>
    </row>
    <row r="44" spans="2:10" x14ac:dyDescent="0.2">
      <c r="C44" s="145"/>
      <c r="D44" s="145"/>
      <c r="E44" s="145"/>
      <c r="F44" s="145"/>
      <c r="G44" s="145"/>
      <c r="H44" s="145"/>
      <c r="I44" s="145"/>
      <c r="J44" s="64"/>
    </row>
    <row r="45" spans="2:10" x14ac:dyDescent="0.2">
      <c r="B45" s="916" t="str">
        <f>+'11. Final Load Forecast'!B22</f>
        <v>Unmetered Scattered Load</v>
      </c>
      <c r="C45" s="917"/>
      <c r="D45" s="917"/>
      <c r="E45" s="917"/>
      <c r="F45" s="917"/>
      <c r="G45" s="917"/>
      <c r="H45" s="917"/>
      <c r="I45" s="917"/>
    </row>
    <row r="46" spans="2:10" x14ac:dyDescent="0.2">
      <c r="B46" s="805" t="s">
        <v>33</v>
      </c>
      <c r="C46" s="805" t="s">
        <v>49</v>
      </c>
      <c r="D46" s="805" t="s">
        <v>281</v>
      </c>
      <c r="E46" s="805" t="s">
        <v>62</v>
      </c>
      <c r="F46" s="93" t="s">
        <v>36</v>
      </c>
      <c r="G46" s="805" t="s">
        <v>62</v>
      </c>
      <c r="H46" s="93" t="s">
        <v>37</v>
      </c>
      <c r="I46" s="805" t="s">
        <v>62</v>
      </c>
    </row>
    <row r="47" spans="2:10" x14ac:dyDescent="0.2">
      <c r="B47" s="805">
        <v>2005</v>
      </c>
      <c r="C47" s="95">
        <f>'11. Final Load Forecast'!$D$22</f>
        <v>17</v>
      </c>
      <c r="D47" s="95"/>
      <c r="E47" s="95"/>
      <c r="F47" s="95">
        <f>+'11. Final Load Forecast'!$D$23</f>
        <v>593390</v>
      </c>
      <c r="G47" s="95"/>
      <c r="H47" s="95">
        <f>+'11. Final Load Forecast'!$D$24</f>
        <v>0</v>
      </c>
      <c r="I47" s="95"/>
    </row>
    <row r="48" spans="2:10" x14ac:dyDescent="0.2">
      <c r="B48" s="805">
        <v>2006</v>
      </c>
      <c r="C48" s="95">
        <f>'11. Final Load Forecast'!$E$22</f>
        <v>20</v>
      </c>
      <c r="D48" s="95">
        <f t="shared" ref="D48:D57" si="8">C48-C47</f>
        <v>3</v>
      </c>
      <c r="E48" s="187">
        <f t="shared" ref="E48:E58" si="9">(C48-C47)/C47</f>
        <v>0.17647058823529413</v>
      </c>
      <c r="F48" s="95">
        <f>+'11. Final Load Forecast'!$E$23</f>
        <v>364006</v>
      </c>
      <c r="G48" s="187">
        <f t="shared" ref="G48:G58" si="10">(F48-F47)/F47</f>
        <v>-0.386565328030469</v>
      </c>
      <c r="H48" s="95">
        <f>+'11. Final Load Forecast'!$E$24</f>
        <v>0</v>
      </c>
      <c r="I48" s="187" t="e">
        <f t="shared" ref="I48:I58" si="11">(H48-H47)/H47</f>
        <v>#DIV/0!</v>
      </c>
    </row>
    <row r="49" spans="2:9" x14ac:dyDescent="0.2">
      <c r="B49" s="805">
        <v>2007</v>
      </c>
      <c r="C49" s="95">
        <f>'11. Final Load Forecast'!$F$22</f>
        <v>20</v>
      </c>
      <c r="D49" s="95">
        <f t="shared" si="8"/>
        <v>0</v>
      </c>
      <c r="E49" s="187">
        <f t="shared" si="9"/>
        <v>0</v>
      </c>
      <c r="F49" s="95">
        <f>+'11. Final Load Forecast'!$F$23</f>
        <v>348199</v>
      </c>
      <c r="G49" s="187">
        <f t="shared" si="10"/>
        <v>-4.3425108377334438E-2</v>
      </c>
      <c r="H49" s="95">
        <f>+'11. Final Load Forecast'!$F$24</f>
        <v>0</v>
      </c>
      <c r="I49" s="187" t="e">
        <f t="shared" si="11"/>
        <v>#DIV/0!</v>
      </c>
    </row>
    <row r="50" spans="2:9" x14ac:dyDescent="0.2">
      <c r="B50" s="805">
        <v>2008</v>
      </c>
      <c r="C50" s="95">
        <f>'11. Final Load Forecast'!$G$22</f>
        <v>20</v>
      </c>
      <c r="D50" s="95">
        <f t="shared" si="8"/>
        <v>0</v>
      </c>
      <c r="E50" s="187">
        <f t="shared" si="9"/>
        <v>0</v>
      </c>
      <c r="F50" s="95">
        <f>+'11. Final Load Forecast'!$G$23</f>
        <v>386944</v>
      </c>
      <c r="G50" s="187">
        <f t="shared" si="10"/>
        <v>0.11127257688850341</v>
      </c>
      <c r="H50" s="95">
        <f>+'11. Final Load Forecast'!$G$24</f>
        <v>0</v>
      </c>
      <c r="I50" s="187" t="e">
        <f t="shared" si="11"/>
        <v>#DIV/0!</v>
      </c>
    </row>
    <row r="51" spans="2:9" x14ac:dyDescent="0.2">
      <c r="B51" s="805">
        <v>2009</v>
      </c>
      <c r="C51" s="95">
        <f>'11. Final Load Forecast'!$H$22</f>
        <v>20</v>
      </c>
      <c r="D51" s="95">
        <f t="shared" si="8"/>
        <v>0</v>
      </c>
      <c r="E51" s="187">
        <f t="shared" si="9"/>
        <v>0</v>
      </c>
      <c r="F51" s="95">
        <f>+'11. Final Load Forecast'!$H$23</f>
        <v>437952.27</v>
      </c>
      <c r="G51" s="187">
        <f t="shared" si="10"/>
        <v>0.13182339046477015</v>
      </c>
      <c r="H51" s="95">
        <f>+'11. Final Load Forecast'!$H$24</f>
        <v>0</v>
      </c>
      <c r="I51" s="187" t="e">
        <f t="shared" si="11"/>
        <v>#DIV/0!</v>
      </c>
    </row>
    <row r="52" spans="2:9" x14ac:dyDescent="0.2">
      <c r="B52" s="805">
        <v>2010</v>
      </c>
      <c r="C52" s="95">
        <f>+'11. Final Load Forecast'!$I$22</f>
        <v>20</v>
      </c>
      <c r="D52" s="95">
        <f t="shared" si="8"/>
        <v>0</v>
      </c>
      <c r="E52" s="187">
        <f t="shared" si="9"/>
        <v>0</v>
      </c>
      <c r="F52" s="95">
        <f>+'11. Final Load Forecast'!$I$23</f>
        <v>458526.4</v>
      </c>
      <c r="G52" s="187">
        <f t="shared" si="10"/>
        <v>4.6978018860365775E-2</v>
      </c>
      <c r="H52" s="95">
        <f>+'11. Final Load Forecast'!$I$24</f>
        <v>0</v>
      </c>
      <c r="I52" s="187" t="e">
        <f t="shared" si="11"/>
        <v>#DIV/0!</v>
      </c>
    </row>
    <row r="53" spans="2:9" x14ac:dyDescent="0.2">
      <c r="B53" s="805">
        <v>2011</v>
      </c>
      <c r="C53" s="95">
        <f>'11. Final Load Forecast'!$J$22</f>
        <v>20</v>
      </c>
      <c r="D53" s="95">
        <f t="shared" si="8"/>
        <v>0</v>
      </c>
      <c r="E53" s="187">
        <f t="shared" si="9"/>
        <v>0</v>
      </c>
      <c r="F53" s="95">
        <f>+'11. Final Load Forecast'!$J$23</f>
        <v>469307.04</v>
      </c>
      <c r="G53" s="187">
        <f t="shared" si="10"/>
        <v>2.3511492468045361E-2</v>
      </c>
      <c r="H53" s="95">
        <f>+'11. Final Load Forecast'!$J$24</f>
        <v>0</v>
      </c>
      <c r="I53" s="187" t="e">
        <f t="shared" si="11"/>
        <v>#DIV/0!</v>
      </c>
    </row>
    <row r="54" spans="2:9" x14ac:dyDescent="0.2">
      <c r="B54" s="805">
        <v>2012</v>
      </c>
      <c r="C54" s="95">
        <f>'11. Final Load Forecast'!$K$22</f>
        <v>20</v>
      </c>
      <c r="D54" s="95">
        <f t="shared" si="8"/>
        <v>0</v>
      </c>
      <c r="E54" s="187">
        <f t="shared" si="9"/>
        <v>0</v>
      </c>
      <c r="F54" s="95">
        <f>+'11. Final Load Forecast'!$K$23</f>
        <v>448159.09</v>
      </c>
      <c r="G54" s="187">
        <f t="shared" si="10"/>
        <v>-4.5062077057271409E-2</v>
      </c>
      <c r="H54" s="95">
        <f>+'11. Final Load Forecast'!$K$24</f>
        <v>0</v>
      </c>
      <c r="I54" s="187" t="e">
        <f t="shared" si="11"/>
        <v>#DIV/0!</v>
      </c>
    </row>
    <row r="55" spans="2:9" x14ac:dyDescent="0.2">
      <c r="B55" s="805">
        <v>2013</v>
      </c>
      <c r="C55" s="95">
        <f>'11. Final Load Forecast'!$L$22</f>
        <v>20</v>
      </c>
      <c r="D55" s="95">
        <f t="shared" si="8"/>
        <v>0</v>
      </c>
      <c r="E55" s="187">
        <f t="shared" si="9"/>
        <v>0</v>
      </c>
      <c r="F55" s="95">
        <f>+'11. Final Load Forecast'!$L$23</f>
        <v>453470.7</v>
      </c>
      <c r="G55" s="187">
        <f t="shared" si="10"/>
        <v>1.1852063516105377E-2</v>
      </c>
      <c r="H55" s="95">
        <f>+'11. Final Load Forecast'!$L$24</f>
        <v>0</v>
      </c>
      <c r="I55" s="187" t="e">
        <f t="shared" si="11"/>
        <v>#DIV/0!</v>
      </c>
    </row>
    <row r="56" spans="2:9" x14ac:dyDescent="0.2">
      <c r="B56" s="805">
        <v>2014</v>
      </c>
      <c r="C56" s="95">
        <f>'11. Final Load Forecast'!$M$22</f>
        <v>20</v>
      </c>
      <c r="D56" s="95">
        <f t="shared" si="8"/>
        <v>0</v>
      </c>
      <c r="E56" s="187">
        <f t="shared" si="9"/>
        <v>0</v>
      </c>
      <c r="F56" s="95">
        <f>+'11. Final Load Forecast'!$M$23</f>
        <v>454406.25</v>
      </c>
      <c r="G56" s="187">
        <f t="shared" si="10"/>
        <v>2.0630880892635144E-3</v>
      </c>
      <c r="H56" s="95">
        <f>+'11. Final Load Forecast'!$M$24</f>
        <v>0</v>
      </c>
      <c r="I56" s="187" t="e">
        <f t="shared" si="11"/>
        <v>#DIV/0!</v>
      </c>
    </row>
    <row r="57" spans="2:9" x14ac:dyDescent="0.2">
      <c r="B57" s="805">
        <v>2015</v>
      </c>
      <c r="C57" s="95">
        <f>'11. Final Load Forecast'!$N$22</f>
        <v>20</v>
      </c>
      <c r="D57" s="95">
        <f t="shared" si="8"/>
        <v>0</v>
      </c>
      <c r="E57" s="188">
        <f t="shared" si="9"/>
        <v>0</v>
      </c>
      <c r="F57" s="95">
        <f>+'11. Final Load Forecast'!$N$23</f>
        <v>453067.96191469493</v>
      </c>
      <c r="G57" s="188">
        <f t="shared" si="10"/>
        <v>-2.945135735490156E-3</v>
      </c>
      <c r="H57" s="95">
        <f>+'11. Final Load Forecast'!$N$24</f>
        <v>0</v>
      </c>
      <c r="I57" s="188" t="e">
        <f t="shared" si="11"/>
        <v>#DIV/0!</v>
      </c>
    </row>
    <row r="58" spans="2:9" x14ac:dyDescent="0.2">
      <c r="B58" s="805">
        <v>2016</v>
      </c>
      <c r="C58" s="95">
        <f>'11. Final Load Forecast'!$O$22</f>
        <v>20</v>
      </c>
      <c r="D58" s="95">
        <f>C58-C57</f>
        <v>0</v>
      </c>
      <c r="E58" s="188">
        <f t="shared" si="9"/>
        <v>0</v>
      </c>
      <c r="F58" s="95">
        <f>+'11. Final Load Forecast'!$O$23</f>
        <v>444298.68359591131</v>
      </c>
      <c r="G58" s="188">
        <f t="shared" si="10"/>
        <v>-1.935532647624006E-2</v>
      </c>
      <c r="H58" s="95">
        <f>+'11. Final Load Forecast'!$O$24</f>
        <v>0</v>
      </c>
      <c r="I58" s="188" t="e">
        <f t="shared" si="11"/>
        <v>#DIV/0!</v>
      </c>
    </row>
    <row r="60" spans="2:9" x14ac:dyDescent="0.2">
      <c r="B60" s="30"/>
      <c r="C60" s="32" t="s">
        <v>30</v>
      </c>
      <c r="D60" s="537"/>
      <c r="E60" s="32"/>
      <c r="F60" s="32"/>
      <c r="G60" s="32"/>
      <c r="H60" s="32"/>
      <c r="I60" s="32"/>
    </row>
    <row r="61" spans="2:9" x14ac:dyDescent="0.2">
      <c r="B61" s="916" t="str">
        <f>+'11. Final Load Forecast'!B26</f>
        <v>General Service &gt; 50 kW - 4999 kW</v>
      </c>
      <c r="C61" s="917"/>
      <c r="D61" s="917"/>
      <c r="E61" s="917"/>
      <c r="F61" s="917"/>
      <c r="G61" s="917"/>
      <c r="H61" s="917"/>
      <c r="I61" s="917"/>
    </row>
    <row r="62" spans="2:9" x14ac:dyDescent="0.2">
      <c r="B62" s="805" t="s">
        <v>33</v>
      </c>
      <c r="C62" s="805" t="s">
        <v>49</v>
      </c>
      <c r="D62" s="805" t="s">
        <v>281</v>
      </c>
      <c r="E62" s="805" t="s">
        <v>62</v>
      </c>
      <c r="F62" s="93" t="s">
        <v>36</v>
      </c>
      <c r="G62" s="805" t="s">
        <v>62</v>
      </c>
      <c r="H62" s="93" t="s">
        <v>37</v>
      </c>
      <c r="I62" s="93"/>
    </row>
    <row r="63" spans="2:9" x14ac:dyDescent="0.2">
      <c r="B63" s="805">
        <v>2005</v>
      </c>
      <c r="C63" s="95">
        <f>'11. Final Load Forecast'!$D$26</f>
        <v>134</v>
      </c>
      <c r="D63" s="95"/>
      <c r="E63" s="95"/>
      <c r="F63" s="95">
        <f>+'11. Final Load Forecast'!$D$27</f>
        <v>74429057</v>
      </c>
      <c r="G63" s="95"/>
      <c r="H63" s="95">
        <f>+'11. Final Load Forecast'!$D$28</f>
        <v>212943</v>
      </c>
      <c r="I63" s="95"/>
    </row>
    <row r="64" spans="2:9" x14ac:dyDescent="0.2">
      <c r="B64" s="805">
        <v>2006</v>
      </c>
      <c r="C64" s="95">
        <f>'11. Final Load Forecast'!$E$26</f>
        <v>136</v>
      </c>
      <c r="D64" s="95">
        <f t="shared" ref="D64:D73" si="12">C64-C63</f>
        <v>2</v>
      </c>
      <c r="E64" s="187">
        <f t="shared" ref="E64:E74" si="13">(C64-C63)/C63</f>
        <v>1.4925373134328358E-2</v>
      </c>
      <c r="F64" s="95">
        <f>+'11. Final Load Forecast'!$E$27</f>
        <v>75435895</v>
      </c>
      <c r="G64" s="187">
        <f t="shared" ref="G64:G74" si="14">(F64-F63)/F63</f>
        <v>1.3527485643140689E-2</v>
      </c>
      <c r="H64" s="95">
        <f>+'11. Final Load Forecast'!$E$28</f>
        <v>207000</v>
      </c>
      <c r="I64" s="187">
        <f t="shared" ref="I64:I74" si="15">(H64-H63)/H63</f>
        <v>-2.7908877023428806E-2</v>
      </c>
    </row>
    <row r="65" spans="2:9" x14ac:dyDescent="0.2">
      <c r="B65" s="805">
        <v>2007</v>
      </c>
      <c r="C65" s="95">
        <f>'11. Final Load Forecast'!$F$26</f>
        <v>136</v>
      </c>
      <c r="D65" s="95">
        <f t="shared" si="12"/>
        <v>0</v>
      </c>
      <c r="E65" s="187">
        <f t="shared" si="13"/>
        <v>0</v>
      </c>
      <c r="F65" s="95">
        <f>+'11. Final Load Forecast'!$F$27</f>
        <v>78527667</v>
      </c>
      <c r="G65" s="187">
        <f t="shared" si="14"/>
        <v>4.0985422125633955E-2</v>
      </c>
      <c r="H65" s="95">
        <f>+'11. Final Load Forecast'!$F$28</f>
        <v>213039</v>
      </c>
      <c r="I65" s="187">
        <f t="shared" si="15"/>
        <v>2.9173913043478262E-2</v>
      </c>
    </row>
    <row r="66" spans="2:9" x14ac:dyDescent="0.2">
      <c r="B66" s="805">
        <v>2008</v>
      </c>
      <c r="C66" s="95">
        <f>'11. Final Load Forecast'!$G$26</f>
        <v>143</v>
      </c>
      <c r="D66" s="95">
        <f t="shared" si="12"/>
        <v>7</v>
      </c>
      <c r="E66" s="187">
        <f t="shared" si="13"/>
        <v>5.1470588235294115E-2</v>
      </c>
      <c r="F66" s="95">
        <f>+'11. Final Load Forecast'!$G$27</f>
        <v>78693630</v>
      </c>
      <c r="G66" s="187">
        <f t="shared" si="14"/>
        <v>2.1134334730713443E-3</v>
      </c>
      <c r="H66" s="95">
        <f>+'11. Final Load Forecast'!$G$28</f>
        <v>202855</v>
      </c>
      <c r="I66" s="187">
        <f t="shared" si="15"/>
        <v>-4.7803453827702909E-2</v>
      </c>
    </row>
    <row r="67" spans="2:9" x14ac:dyDescent="0.2">
      <c r="B67" s="805">
        <v>2009</v>
      </c>
      <c r="C67" s="95">
        <f>+'11. Final Load Forecast'!$H$26</f>
        <v>144</v>
      </c>
      <c r="D67" s="95">
        <f t="shared" si="12"/>
        <v>1</v>
      </c>
      <c r="E67" s="187">
        <f t="shared" si="13"/>
        <v>6.993006993006993E-3</v>
      </c>
      <c r="F67" s="95">
        <f>+'11. Final Load Forecast'!$H$27</f>
        <v>78622635.780000001</v>
      </c>
      <c r="G67" s="187">
        <f t="shared" si="14"/>
        <v>-9.0215967925229539E-4</v>
      </c>
      <c r="H67" s="95">
        <f>+'11. Final Load Forecast'!$H$28</f>
        <v>209853</v>
      </c>
      <c r="I67" s="187">
        <f t="shared" si="15"/>
        <v>3.4497547509304678E-2</v>
      </c>
    </row>
    <row r="68" spans="2:9" x14ac:dyDescent="0.2">
      <c r="B68" s="805">
        <v>2010</v>
      </c>
      <c r="C68" s="95">
        <f>+'11. Final Load Forecast'!$I$26</f>
        <v>148</v>
      </c>
      <c r="D68" s="95">
        <f t="shared" si="12"/>
        <v>4</v>
      </c>
      <c r="E68" s="187">
        <f t="shared" si="13"/>
        <v>2.7777777777777776E-2</v>
      </c>
      <c r="F68" s="95">
        <f>+'11. Final Load Forecast'!$I$27</f>
        <v>76510234.719999999</v>
      </c>
      <c r="G68" s="187">
        <f t="shared" si="14"/>
        <v>-2.6867594033744596E-2</v>
      </c>
      <c r="H68" s="95">
        <f>+'11. Final Load Forecast'!$I$28</f>
        <v>202775</v>
      </c>
      <c r="I68" s="187">
        <f t="shared" si="15"/>
        <v>-3.3728371764997406E-2</v>
      </c>
    </row>
    <row r="69" spans="2:9" x14ac:dyDescent="0.2">
      <c r="B69" s="805">
        <v>2011</v>
      </c>
      <c r="C69" s="95">
        <f>'11. Final Load Forecast'!$J$26</f>
        <v>145</v>
      </c>
      <c r="D69" s="95">
        <f t="shared" si="12"/>
        <v>-3</v>
      </c>
      <c r="E69" s="187">
        <f t="shared" si="13"/>
        <v>-2.0270270270270271E-2</v>
      </c>
      <c r="F69" s="95">
        <f>+'11. Final Load Forecast'!$J$27</f>
        <v>74853997.430000007</v>
      </c>
      <c r="G69" s="187">
        <f t="shared" si="14"/>
        <v>-2.1647264526912326E-2</v>
      </c>
      <c r="H69" s="95">
        <f>+'11. Final Load Forecast'!$J$28</f>
        <v>203575</v>
      </c>
      <c r="I69" s="187">
        <f t="shared" si="15"/>
        <v>3.9452595241030695E-3</v>
      </c>
    </row>
    <row r="70" spans="2:9" x14ac:dyDescent="0.2">
      <c r="B70" s="805">
        <v>2012</v>
      </c>
      <c r="C70" s="95">
        <f>'11. Final Load Forecast'!$K$26</f>
        <v>145</v>
      </c>
      <c r="D70" s="95">
        <f t="shared" si="12"/>
        <v>0</v>
      </c>
      <c r="E70" s="187">
        <f t="shared" si="13"/>
        <v>0</v>
      </c>
      <c r="F70" s="95">
        <f>+'11. Final Load Forecast'!$K$27</f>
        <v>74516293.329999998</v>
      </c>
      <c r="G70" s="187">
        <f t="shared" si="14"/>
        <v>-4.5115038821515732E-3</v>
      </c>
      <c r="H70" s="95">
        <f>+'11. Final Load Forecast'!$K$28</f>
        <v>207916</v>
      </c>
      <c r="I70" s="187">
        <f t="shared" si="15"/>
        <v>2.1323836423922389E-2</v>
      </c>
    </row>
    <row r="71" spans="2:9" x14ac:dyDescent="0.2">
      <c r="B71" s="805">
        <v>2013</v>
      </c>
      <c r="C71" s="95">
        <f>'11. Final Load Forecast'!$L$26</f>
        <v>145.5</v>
      </c>
      <c r="D71" s="95">
        <f t="shared" si="12"/>
        <v>0.5</v>
      </c>
      <c r="E71" s="187">
        <f t="shared" si="13"/>
        <v>3.4482758620689655E-3</v>
      </c>
      <c r="F71" s="95">
        <f>+'11. Final Load Forecast'!$L$27</f>
        <v>73596923.409999996</v>
      </c>
      <c r="G71" s="187">
        <f t="shared" si="14"/>
        <v>-1.233783752405015E-2</v>
      </c>
      <c r="H71" s="95">
        <f>+'11. Final Load Forecast'!$L$28</f>
        <v>216501</v>
      </c>
      <c r="I71" s="187">
        <f t="shared" si="15"/>
        <v>4.1290713557398183E-2</v>
      </c>
    </row>
    <row r="72" spans="2:9" x14ac:dyDescent="0.2">
      <c r="B72" s="805">
        <v>2014</v>
      </c>
      <c r="C72" s="95">
        <f>'11. Final Load Forecast'!$M$26</f>
        <v>146.5</v>
      </c>
      <c r="D72" s="95">
        <f t="shared" si="12"/>
        <v>1</v>
      </c>
      <c r="E72" s="187">
        <f t="shared" si="13"/>
        <v>6.8728522336769758E-3</v>
      </c>
      <c r="F72" s="95">
        <f>+'11. Final Load Forecast'!$M$27</f>
        <v>72512848.979999989</v>
      </c>
      <c r="G72" s="187">
        <f t="shared" si="14"/>
        <v>-1.472988787806731E-2</v>
      </c>
      <c r="H72" s="95">
        <f>+'11. Final Load Forecast'!$M$28</f>
        <v>206399</v>
      </c>
      <c r="I72" s="187">
        <f t="shared" si="15"/>
        <v>-4.6660292562159068E-2</v>
      </c>
    </row>
    <row r="73" spans="2:9" x14ac:dyDescent="0.2">
      <c r="B73" s="805">
        <v>2015</v>
      </c>
      <c r="C73" s="95">
        <f>'11. Final Load Forecast'!$N$26</f>
        <v>146</v>
      </c>
      <c r="D73" s="95">
        <f t="shared" si="12"/>
        <v>-0.5</v>
      </c>
      <c r="E73" s="188">
        <f t="shared" si="13"/>
        <v>-3.4129692832764505E-3</v>
      </c>
      <c r="F73" s="95">
        <f>+'11. Final Load Forecast'!$N$27</f>
        <v>72299288.797186792</v>
      </c>
      <c r="G73" s="188">
        <f t="shared" si="14"/>
        <v>-2.9451357354901351E-3</v>
      </c>
      <c r="H73" s="95">
        <f>+'11. Final Load Forecast'!$N$28</f>
        <v>198917.84757842109</v>
      </c>
      <c r="I73" s="188">
        <f t="shared" si="15"/>
        <v>-3.6246069126201728E-2</v>
      </c>
    </row>
    <row r="74" spans="2:9" x14ac:dyDescent="0.2">
      <c r="B74" s="805">
        <v>2016</v>
      </c>
      <c r="C74" s="95">
        <f>'11. Final Load Forecast'!$O$26</f>
        <v>148</v>
      </c>
      <c r="D74" s="95">
        <f>C74-C73</f>
        <v>2</v>
      </c>
      <c r="E74" s="188">
        <f t="shared" si="13"/>
        <v>1.3698630136986301E-2</v>
      </c>
      <c r="F74" s="95">
        <f>+'11. Final Load Forecast'!$O$27</f>
        <v>70899912.458517283</v>
      </c>
      <c r="G74" s="188">
        <f t="shared" si="14"/>
        <v>-1.935532647623996E-2</v>
      </c>
      <c r="H74" s="95">
        <f>+'11. Final Load Forecast'!$O$28</f>
        <v>195067.72769658981</v>
      </c>
      <c r="I74" s="188">
        <f t="shared" si="15"/>
        <v>-1.9355326476239988E-2</v>
      </c>
    </row>
    <row r="76" spans="2:9" x14ac:dyDescent="0.2">
      <c r="B76" s="64"/>
      <c r="C76" s="145"/>
      <c r="D76" s="145"/>
      <c r="E76" s="145"/>
      <c r="F76" s="145"/>
      <c r="G76" s="64"/>
    </row>
    <row r="77" spans="2:9" x14ac:dyDescent="0.2">
      <c r="B77" s="916" t="str">
        <f>+'11. Final Load Forecast'!B30</f>
        <v>Streetlighting</v>
      </c>
      <c r="C77" s="917"/>
      <c r="D77" s="917"/>
      <c r="E77" s="917"/>
      <c r="F77" s="917"/>
      <c r="G77" s="917"/>
      <c r="H77" s="917"/>
      <c r="I77" s="917"/>
    </row>
    <row r="78" spans="2:9" x14ac:dyDescent="0.2">
      <c r="B78" s="805" t="s">
        <v>33</v>
      </c>
      <c r="C78" s="805" t="s">
        <v>49</v>
      </c>
      <c r="D78" s="805"/>
      <c r="E78" s="805" t="s">
        <v>62</v>
      </c>
      <c r="F78" s="93" t="s">
        <v>36</v>
      </c>
      <c r="G78" s="805" t="s">
        <v>62</v>
      </c>
      <c r="H78" s="93" t="s">
        <v>37</v>
      </c>
      <c r="I78" s="805" t="s">
        <v>62</v>
      </c>
    </row>
    <row r="79" spans="2:9" x14ac:dyDescent="0.2">
      <c r="B79" s="805">
        <v>2005</v>
      </c>
      <c r="C79" s="95">
        <f>'11. Final Load Forecast'!$D$30</f>
        <v>2604</v>
      </c>
      <c r="D79" s="95"/>
      <c r="E79" s="95"/>
      <c r="F79" s="95">
        <f>+'11. Final Load Forecast'!$D$31</f>
        <v>2426613</v>
      </c>
      <c r="G79" s="95"/>
      <c r="H79" s="95">
        <f>+'11. Final Load Forecast'!$D$32</f>
        <v>6774</v>
      </c>
      <c r="I79" s="95"/>
    </row>
    <row r="80" spans="2:9" x14ac:dyDescent="0.2">
      <c r="B80" s="805">
        <v>2006</v>
      </c>
      <c r="C80" s="95">
        <f>'11. Final Load Forecast'!$E$30</f>
        <v>2635</v>
      </c>
      <c r="D80" s="95">
        <f t="shared" ref="D80:D89" si="16">C80-C79</f>
        <v>31</v>
      </c>
      <c r="E80" s="187">
        <f t="shared" ref="E80:E90" si="17">(C80-C79)/C79</f>
        <v>1.1904761904761904E-2</v>
      </c>
      <c r="F80" s="95">
        <f>+'11. Final Load Forecast'!$E$31</f>
        <v>2517491</v>
      </c>
      <c r="G80" s="187">
        <f t="shared" ref="G80:G90" si="18">(F80-F79)/F79</f>
        <v>3.7450553508120168E-2</v>
      </c>
      <c r="H80" s="95">
        <f>+'11. Final Load Forecast'!$E$32</f>
        <v>6784</v>
      </c>
      <c r="I80" s="187">
        <f t="shared" ref="I80:I90" si="19">(H80-H79)/H79</f>
        <v>1.4762326542663124E-3</v>
      </c>
    </row>
    <row r="81" spans="2:9" x14ac:dyDescent="0.2">
      <c r="B81" s="805">
        <v>2007</v>
      </c>
      <c r="C81" s="95">
        <f>'11. Final Load Forecast'!$F$30</f>
        <v>2648</v>
      </c>
      <c r="D81" s="95">
        <f t="shared" si="16"/>
        <v>13</v>
      </c>
      <c r="E81" s="187">
        <f t="shared" si="17"/>
        <v>4.9335863377609106E-3</v>
      </c>
      <c r="F81" s="95">
        <f>+'11. Final Load Forecast'!$F$31</f>
        <v>2426477</v>
      </c>
      <c r="G81" s="187">
        <f t="shared" si="18"/>
        <v>-3.6152661518948824E-2</v>
      </c>
      <c r="H81" s="95">
        <f>+'11. Final Load Forecast'!$F$32</f>
        <v>6778</v>
      </c>
      <c r="I81" s="187">
        <f t="shared" si="19"/>
        <v>-8.8443396226415096E-4</v>
      </c>
    </row>
    <row r="82" spans="2:9" x14ac:dyDescent="0.2">
      <c r="B82" s="805">
        <v>2008</v>
      </c>
      <c r="C82" s="95">
        <f>'11. Final Load Forecast'!$G$30</f>
        <v>2653</v>
      </c>
      <c r="D82" s="95">
        <f t="shared" si="16"/>
        <v>5</v>
      </c>
      <c r="E82" s="187">
        <f t="shared" si="17"/>
        <v>1.8882175226586104E-3</v>
      </c>
      <c r="F82" s="95">
        <f>+'11. Final Load Forecast'!$G$31</f>
        <v>2370504</v>
      </c>
      <c r="G82" s="187">
        <f t="shared" si="18"/>
        <v>-2.3067599651676072E-2</v>
      </c>
      <c r="H82" s="95">
        <f>+'11. Final Load Forecast'!$G$32</f>
        <v>6728</v>
      </c>
      <c r="I82" s="187">
        <f t="shared" si="19"/>
        <v>-7.3768073177928589E-3</v>
      </c>
    </row>
    <row r="83" spans="2:9" x14ac:dyDescent="0.2">
      <c r="B83" s="805">
        <v>2009</v>
      </c>
      <c r="C83" s="95">
        <f>'11. Final Load Forecast'!$H$30</f>
        <v>2701</v>
      </c>
      <c r="D83" s="95">
        <f t="shared" si="16"/>
        <v>48</v>
      </c>
      <c r="E83" s="187">
        <f t="shared" si="17"/>
        <v>1.8092725216735772E-2</v>
      </c>
      <c r="F83" s="95">
        <f>+'11. Final Load Forecast'!$H$31</f>
        <v>2414486.62</v>
      </c>
      <c r="G83" s="187">
        <f t="shared" si="18"/>
        <v>1.8554121823882226E-2</v>
      </c>
      <c r="H83" s="95">
        <f>+'11. Final Load Forecast'!$H$32</f>
        <v>6652</v>
      </c>
      <c r="I83" s="187">
        <f t="shared" si="19"/>
        <v>-1.1296076099881093E-2</v>
      </c>
    </row>
    <row r="84" spans="2:9" x14ac:dyDescent="0.2">
      <c r="B84" s="805">
        <v>2010</v>
      </c>
      <c r="C84" s="95">
        <f>'11. Final Load Forecast'!$I$30</f>
        <v>2713</v>
      </c>
      <c r="D84" s="95">
        <f t="shared" si="16"/>
        <v>12</v>
      </c>
      <c r="E84" s="187">
        <f t="shared" si="17"/>
        <v>4.4427989633469087E-3</v>
      </c>
      <c r="F84" s="95">
        <f>+'11. Final Load Forecast'!$I$31</f>
        <v>2383707.0499999998</v>
      </c>
      <c r="G84" s="187">
        <f t="shared" si="18"/>
        <v>-1.2747873500330392E-2</v>
      </c>
      <c r="H84" s="95">
        <f>+'11. Final Load Forecast'!$I$32</f>
        <v>6766</v>
      </c>
      <c r="I84" s="187">
        <f t="shared" si="19"/>
        <v>1.7137702946482262E-2</v>
      </c>
    </row>
    <row r="85" spans="2:9" x14ac:dyDescent="0.2">
      <c r="B85" s="805">
        <v>2011</v>
      </c>
      <c r="C85" s="95">
        <f>'11. Final Load Forecast'!$J$30</f>
        <v>2769</v>
      </c>
      <c r="D85" s="95">
        <f t="shared" si="16"/>
        <v>56</v>
      </c>
      <c r="E85" s="187">
        <f t="shared" si="17"/>
        <v>2.0641356431994103E-2</v>
      </c>
      <c r="F85" s="95">
        <f>+'11. Final Load Forecast'!$J$31</f>
        <v>2458955</v>
      </c>
      <c r="G85" s="187">
        <f t="shared" si="18"/>
        <v>3.1567616498847956E-2</v>
      </c>
      <c r="H85" s="95">
        <f>+'11. Final Load Forecast'!$J$32</f>
        <v>6840</v>
      </c>
      <c r="I85" s="187">
        <f t="shared" si="19"/>
        <v>1.093703813183565E-2</v>
      </c>
    </row>
    <row r="86" spans="2:9" x14ac:dyDescent="0.2">
      <c r="B86" s="805">
        <v>2012</v>
      </c>
      <c r="C86" s="95">
        <f>'11. Final Load Forecast'!$K$30</f>
        <v>2774.5</v>
      </c>
      <c r="D86" s="95">
        <f t="shared" si="16"/>
        <v>5.5</v>
      </c>
      <c r="E86" s="187">
        <f t="shared" si="17"/>
        <v>1.9862766341639583E-3</v>
      </c>
      <c r="F86" s="95">
        <f>+'11. Final Load Forecast'!$K$31</f>
        <v>2432689.94</v>
      </c>
      <c r="G86" s="187">
        <f t="shared" si="18"/>
        <v>-1.0681391078730621E-2</v>
      </c>
      <c r="H86" s="95">
        <f>+'11. Final Load Forecast'!$K$32</f>
        <v>6768.3999999999987</v>
      </c>
      <c r="I86" s="187">
        <f t="shared" si="19"/>
        <v>-1.0467836257310128E-2</v>
      </c>
    </row>
    <row r="87" spans="2:9" x14ac:dyDescent="0.2">
      <c r="B87" s="805">
        <v>2013</v>
      </c>
      <c r="C87" s="95">
        <f>'11. Final Load Forecast'!$L$30</f>
        <v>2787</v>
      </c>
      <c r="D87" s="95">
        <f t="shared" si="16"/>
        <v>12.5</v>
      </c>
      <c r="E87" s="187">
        <f t="shared" si="17"/>
        <v>4.5053162732023788E-3</v>
      </c>
      <c r="F87" s="95">
        <f>+'11. Final Load Forecast'!$L$31</f>
        <v>2424248.81</v>
      </c>
      <c r="G87" s="187">
        <f t="shared" si="18"/>
        <v>-3.4698749977154458E-3</v>
      </c>
      <c r="H87" s="95">
        <f>+'11. Final Load Forecast'!$L$32</f>
        <v>6765.9000000000005</v>
      </c>
      <c r="I87" s="187">
        <f t="shared" si="19"/>
        <v>-3.6936351279448341E-4</v>
      </c>
    </row>
    <row r="88" spans="2:9" x14ac:dyDescent="0.2">
      <c r="B88" s="805">
        <v>2014</v>
      </c>
      <c r="C88" s="95">
        <f>'11. Final Load Forecast'!$M$30</f>
        <v>2802.5</v>
      </c>
      <c r="D88" s="95">
        <f t="shared" si="16"/>
        <v>15.5</v>
      </c>
      <c r="E88" s="187">
        <f t="shared" si="17"/>
        <v>5.5615357014711158E-3</v>
      </c>
      <c r="F88" s="95">
        <f>+'11. Final Load Forecast'!$M$31</f>
        <v>2439791.5699999998</v>
      </c>
      <c r="G88" s="187">
        <f t="shared" si="18"/>
        <v>6.4113716116456611E-3</v>
      </c>
      <c r="H88" s="95">
        <f>+'11. Final Load Forecast'!$M$32</f>
        <v>6769.9599999999991</v>
      </c>
      <c r="I88" s="187">
        <f t="shared" si="19"/>
        <v>6.0006798799843049E-4</v>
      </c>
    </row>
    <row r="89" spans="2:9" x14ac:dyDescent="0.2">
      <c r="B89" s="805">
        <v>2015</v>
      </c>
      <c r="C89" s="95">
        <f>'11. Final Load Forecast'!$N$30</f>
        <v>2825.4692256082153</v>
      </c>
      <c r="D89" s="95">
        <f t="shared" si="16"/>
        <v>22.969225608215311</v>
      </c>
      <c r="E89" s="188">
        <f t="shared" si="17"/>
        <v>8.1959770234488177E-3</v>
      </c>
      <c r="F89" s="95">
        <f>+'11. Final Load Forecast'!$N$31</f>
        <v>2432606.0526600452</v>
      </c>
      <c r="G89" s="188">
        <f t="shared" si="18"/>
        <v>-2.9451357354901503E-3</v>
      </c>
      <c r="H89" s="95">
        <f>+'11. Final Load Forecast'!$N$32</f>
        <v>6772.6200970626942</v>
      </c>
      <c r="I89" s="188">
        <f t="shared" si="19"/>
        <v>3.9292655535557949E-4</v>
      </c>
    </row>
    <row r="90" spans="2:9" x14ac:dyDescent="0.2">
      <c r="B90" s="805">
        <v>2016</v>
      </c>
      <c r="C90" s="95">
        <f>'11. Final Load Forecast'!$O$30</f>
        <v>2848.6267064617618</v>
      </c>
      <c r="D90" s="95">
        <f>C90-C89</f>
        <v>23.157480853546531</v>
      </c>
      <c r="E90" s="188">
        <f t="shared" si="17"/>
        <v>8.1959770234487726E-3</v>
      </c>
      <c r="F90" s="95">
        <f>+'11. Final Load Forecast'!$O$31</f>
        <v>1249433.2366620938</v>
      </c>
      <c r="G90" s="188">
        <f t="shared" si="18"/>
        <v>-0.48638077452128203</v>
      </c>
      <c r="H90" s="95">
        <f>+'11. Final Load Forecast'!$O$32</f>
        <v>3478.5478887149402</v>
      </c>
      <c r="I90" s="188">
        <f t="shared" si="19"/>
        <v>-0.48638077452128209</v>
      </c>
    </row>
    <row r="93" spans="2:9" x14ac:dyDescent="0.2">
      <c r="B93" s="916" t="str">
        <f>+'11. Final Load Forecast'!B34</f>
        <v>Sentinel Lighting</v>
      </c>
      <c r="C93" s="917"/>
      <c r="D93" s="917"/>
      <c r="E93" s="917"/>
      <c r="F93" s="917"/>
      <c r="G93" s="917"/>
      <c r="H93" s="917"/>
      <c r="I93" s="917"/>
    </row>
    <row r="94" spans="2:9" x14ac:dyDescent="0.2">
      <c r="B94" s="805" t="s">
        <v>33</v>
      </c>
      <c r="C94" s="805" t="s">
        <v>49</v>
      </c>
      <c r="D94" s="805" t="s">
        <v>281</v>
      </c>
      <c r="E94" s="805" t="s">
        <v>62</v>
      </c>
      <c r="F94" s="93" t="s">
        <v>36</v>
      </c>
      <c r="G94" s="805" t="s">
        <v>62</v>
      </c>
      <c r="H94" s="93" t="s">
        <v>37</v>
      </c>
      <c r="I94" s="805" t="s">
        <v>62</v>
      </c>
    </row>
    <row r="95" spans="2:9" x14ac:dyDescent="0.2">
      <c r="B95" s="805">
        <v>2005</v>
      </c>
      <c r="C95" s="95">
        <f>'11. Final Load Forecast'!$D$34</f>
        <v>250</v>
      </c>
      <c r="D95" s="95"/>
      <c r="E95" s="95"/>
      <c r="F95" s="95">
        <f>+'11. Final Load Forecast'!$D$35</f>
        <v>284178</v>
      </c>
      <c r="G95" s="95"/>
      <c r="H95" s="95">
        <f>+'11. Final Load Forecast'!$D$36</f>
        <v>783</v>
      </c>
      <c r="I95" s="95"/>
    </row>
    <row r="96" spans="2:9" x14ac:dyDescent="0.2">
      <c r="B96" s="805">
        <v>2006</v>
      </c>
      <c r="C96" s="95">
        <f>'11. Final Load Forecast'!$E$34</f>
        <v>225</v>
      </c>
      <c r="D96" s="95">
        <f t="shared" ref="D96:D105" si="20">C96-C95</f>
        <v>-25</v>
      </c>
      <c r="E96" s="187">
        <f t="shared" ref="E96:E106" si="21">(C96-C95)/C95</f>
        <v>-0.1</v>
      </c>
      <c r="F96" s="95">
        <f>+'11. Final Load Forecast'!$E$35</f>
        <v>267504</v>
      </c>
      <c r="G96" s="187">
        <f t="shared" ref="G96:G106" si="22">(F96-F95)/F95</f>
        <v>-5.8674492747503325E-2</v>
      </c>
      <c r="H96" s="95">
        <f>+'11. Final Load Forecast'!$E$36</f>
        <v>767</v>
      </c>
      <c r="I96" s="187">
        <f t="shared" ref="I96:I106" si="23">(H96-H95)/H95</f>
        <v>-2.0434227330779056E-2</v>
      </c>
    </row>
    <row r="97" spans="2:9" x14ac:dyDescent="0.2">
      <c r="B97" s="805">
        <v>2007</v>
      </c>
      <c r="C97" s="95">
        <f>'11. Final Load Forecast'!$F$34</f>
        <v>225</v>
      </c>
      <c r="D97" s="95">
        <f t="shared" si="20"/>
        <v>0</v>
      </c>
      <c r="E97" s="187">
        <f t="shared" si="21"/>
        <v>0</v>
      </c>
      <c r="F97" s="95">
        <f>+'11. Final Load Forecast'!$F$35</f>
        <v>266011</v>
      </c>
      <c r="G97" s="187">
        <f t="shared" si="22"/>
        <v>-5.5812249536455532E-3</v>
      </c>
      <c r="H97" s="95">
        <f>+'11. Final Load Forecast'!$F$36</f>
        <v>766</v>
      </c>
      <c r="I97" s="187">
        <f t="shared" si="23"/>
        <v>-1.3037809647979139E-3</v>
      </c>
    </row>
    <row r="98" spans="2:9" x14ac:dyDescent="0.2">
      <c r="B98" s="805">
        <v>2008</v>
      </c>
      <c r="C98" s="95">
        <f>'11. Final Load Forecast'!$G$34</f>
        <v>226</v>
      </c>
      <c r="D98" s="95">
        <f t="shared" si="20"/>
        <v>1</v>
      </c>
      <c r="E98" s="187">
        <f t="shared" si="21"/>
        <v>4.4444444444444444E-3</v>
      </c>
      <c r="F98" s="95">
        <f>+'11. Final Load Forecast'!$G$35</f>
        <v>262124</v>
      </c>
      <c r="G98" s="187">
        <f t="shared" si="22"/>
        <v>-1.461217769189996E-2</v>
      </c>
      <c r="H98" s="95">
        <f>+'11. Final Load Forecast'!$G$36</f>
        <v>751</v>
      </c>
      <c r="I98" s="187">
        <f t="shared" si="23"/>
        <v>-1.95822454308094E-2</v>
      </c>
    </row>
    <row r="99" spans="2:9" x14ac:dyDescent="0.2">
      <c r="B99" s="805">
        <v>2009</v>
      </c>
      <c r="C99" s="95">
        <f>'11. Final Load Forecast'!$H$34</f>
        <v>226</v>
      </c>
      <c r="D99" s="95">
        <f t="shared" si="20"/>
        <v>0</v>
      </c>
      <c r="E99" s="187">
        <f t="shared" si="21"/>
        <v>0</v>
      </c>
      <c r="F99" s="95">
        <f>+'11. Final Load Forecast'!$H$35</f>
        <v>265370.21000000002</v>
      </c>
      <c r="G99" s="187">
        <f t="shared" si="22"/>
        <v>1.2384253254185122E-2</v>
      </c>
      <c r="H99" s="95">
        <f>+'11. Final Load Forecast'!$H$36</f>
        <v>756</v>
      </c>
      <c r="I99" s="187">
        <f t="shared" si="23"/>
        <v>6.6577896138482022E-3</v>
      </c>
    </row>
    <row r="100" spans="2:9" x14ac:dyDescent="0.2">
      <c r="B100" s="805">
        <v>2010</v>
      </c>
      <c r="C100" s="95">
        <f>'11. Final Load Forecast'!$I$34</f>
        <v>216</v>
      </c>
      <c r="D100" s="95">
        <f t="shared" si="20"/>
        <v>-10</v>
      </c>
      <c r="E100" s="187">
        <f t="shared" si="21"/>
        <v>-4.4247787610619468E-2</v>
      </c>
      <c r="F100" s="95">
        <f>+'11. Final Load Forecast'!$I$35</f>
        <v>233685.69</v>
      </c>
      <c r="G100" s="187">
        <f t="shared" si="22"/>
        <v>-0.11939742595824911</v>
      </c>
      <c r="H100" s="95">
        <f>+'11. Final Load Forecast'!$I$36</f>
        <v>766</v>
      </c>
      <c r="I100" s="187">
        <f t="shared" si="23"/>
        <v>1.3227513227513227E-2</v>
      </c>
    </row>
    <row r="101" spans="2:9" x14ac:dyDescent="0.2">
      <c r="B101" s="805">
        <v>2011</v>
      </c>
      <c r="C101" s="95">
        <f>'11. Final Load Forecast'!$J$34</f>
        <v>209</v>
      </c>
      <c r="D101" s="95">
        <f t="shared" si="20"/>
        <v>-7</v>
      </c>
      <c r="E101" s="187">
        <f t="shared" si="21"/>
        <v>-3.2407407407407406E-2</v>
      </c>
      <c r="F101" s="95">
        <f>+'11. Final Load Forecast'!$J$35</f>
        <v>270899.02</v>
      </c>
      <c r="G101" s="187">
        <f t="shared" si="22"/>
        <v>0.15924522378755848</v>
      </c>
      <c r="H101" s="95">
        <f>+'11. Final Load Forecast'!$J$36</f>
        <v>734</v>
      </c>
      <c r="I101" s="187">
        <f t="shared" si="23"/>
        <v>-4.1775456919060053E-2</v>
      </c>
    </row>
    <row r="102" spans="2:9" x14ac:dyDescent="0.2">
      <c r="B102" s="805">
        <v>2012</v>
      </c>
      <c r="C102" s="95">
        <f>'11. Final Load Forecast'!$K$34</f>
        <v>208.5</v>
      </c>
      <c r="D102" s="95">
        <f t="shared" si="20"/>
        <v>-0.5</v>
      </c>
      <c r="E102" s="187">
        <f t="shared" si="21"/>
        <v>-2.3923444976076554E-3</v>
      </c>
      <c r="F102" s="95">
        <f>+'11. Final Load Forecast'!$K$35</f>
        <v>243747.31</v>
      </c>
      <c r="G102" s="187">
        <f t="shared" si="22"/>
        <v>-0.10022815881725973</v>
      </c>
      <c r="H102" s="95">
        <f>+'11. Final Load Forecast'!$K$36</f>
        <v>713</v>
      </c>
      <c r="I102" s="187">
        <f t="shared" si="23"/>
        <v>-2.8610354223433242E-2</v>
      </c>
    </row>
    <row r="103" spans="2:9" x14ac:dyDescent="0.2">
      <c r="B103" s="805">
        <v>2013</v>
      </c>
      <c r="C103" s="95">
        <f>'11. Final Load Forecast'!$L$34</f>
        <v>206.5</v>
      </c>
      <c r="D103" s="95">
        <f t="shared" si="20"/>
        <v>-2</v>
      </c>
      <c r="E103" s="187">
        <f t="shared" si="21"/>
        <v>-9.5923261390887284E-3</v>
      </c>
      <c r="F103" s="95">
        <f>+'11. Final Load Forecast'!$L$35</f>
        <v>270899.02</v>
      </c>
      <c r="G103" s="187">
        <f t="shared" si="22"/>
        <v>0.11139286008940989</v>
      </c>
      <c r="H103" s="95">
        <f>+'11. Final Load Forecast'!$L$36</f>
        <v>700</v>
      </c>
      <c r="I103" s="187">
        <f t="shared" si="23"/>
        <v>-1.82328190743338E-2</v>
      </c>
    </row>
    <row r="104" spans="2:9" x14ac:dyDescent="0.2">
      <c r="B104" s="805">
        <v>2014</v>
      </c>
      <c r="C104" s="95">
        <f>'11. Final Load Forecast'!$M$34</f>
        <v>204</v>
      </c>
      <c r="D104" s="95">
        <f t="shared" si="20"/>
        <v>-2.5</v>
      </c>
      <c r="E104" s="187">
        <f t="shared" si="21"/>
        <v>-1.2106537530266344E-2</v>
      </c>
      <c r="F104" s="95">
        <f>+'11. Final Load Forecast'!$M$35</f>
        <v>245570.47</v>
      </c>
      <c r="G104" s="187">
        <f t="shared" si="22"/>
        <v>-9.3498123396681232E-2</v>
      </c>
      <c r="H104" s="95">
        <f>+'11. Final Load Forecast'!$M$36</f>
        <v>683.5</v>
      </c>
      <c r="I104" s="187">
        <f t="shared" si="23"/>
        <v>-2.3571428571428573E-2</v>
      </c>
    </row>
    <row r="105" spans="2:9" x14ac:dyDescent="0.2">
      <c r="B105" s="805">
        <v>2015</v>
      </c>
      <c r="C105" s="95">
        <f>'11. Final Load Forecast'!$N$34</f>
        <v>199.44261639611278</v>
      </c>
      <c r="D105" s="95">
        <f t="shared" si="20"/>
        <v>-4.5573836038872173</v>
      </c>
      <c r="E105" s="188">
        <f t="shared" si="21"/>
        <v>-2.2340115705329497E-2</v>
      </c>
      <c r="F105" s="95">
        <f>+'11. Final Load Forecast'!$N$35</f>
        <v>244847.23163322191</v>
      </c>
      <c r="G105" s="188">
        <f t="shared" si="22"/>
        <v>-2.9451357354900853E-3</v>
      </c>
      <c r="H105" s="95">
        <f>+'11. Final Load Forecast'!$N$36</f>
        <v>697.71463936548889</v>
      </c>
      <c r="I105" s="188">
        <f t="shared" si="23"/>
        <v>2.0796838866845489E-2</v>
      </c>
    </row>
    <row r="106" spans="2:9" x14ac:dyDescent="0.2">
      <c r="B106" s="805">
        <v>2016</v>
      </c>
      <c r="C106" s="95">
        <f>'11. Final Load Forecast'!$O$34</f>
        <v>194.98704526924996</v>
      </c>
      <c r="D106" s="95">
        <f>C106-C105</f>
        <v>-4.4555711268628215</v>
      </c>
      <c r="E106" s="188">
        <f t="shared" si="21"/>
        <v>-2.2340115705329577E-2</v>
      </c>
      <c r="F106" s="95">
        <f>+'11. Final Load Forecast'!$O$35</f>
        <v>240108.13352815731</v>
      </c>
      <c r="G106" s="188">
        <f t="shared" si="22"/>
        <v>-1.9355326476240102E-2</v>
      </c>
      <c r="H106" s="95">
        <f>+'11. Final Load Forecast'!$O$36</f>
        <v>684.21014473331786</v>
      </c>
      <c r="I106" s="188">
        <f t="shared" si="23"/>
        <v>-1.9355326476239915E-2</v>
      </c>
    </row>
    <row r="109" spans="2:9" x14ac:dyDescent="0.2">
      <c r="B109" s="916">
        <f>+'11. Final Load Forecast'!B38</f>
        <v>0</v>
      </c>
      <c r="C109" s="917"/>
      <c r="D109" s="917"/>
      <c r="E109" s="917"/>
      <c r="F109" s="917"/>
      <c r="G109" s="917"/>
      <c r="H109" s="917"/>
      <c r="I109" s="917"/>
    </row>
    <row r="110" spans="2:9" x14ac:dyDescent="0.2">
      <c r="B110" s="805" t="s">
        <v>33</v>
      </c>
      <c r="C110" s="805" t="s">
        <v>49</v>
      </c>
      <c r="D110" s="805" t="s">
        <v>281</v>
      </c>
      <c r="E110" s="805" t="s">
        <v>62</v>
      </c>
      <c r="F110" s="93" t="s">
        <v>36</v>
      </c>
      <c r="G110" s="805" t="s">
        <v>62</v>
      </c>
      <c r="H110" s="93" t="s">
        <v>37</v>
      </c>
      <c r="I110" s="805" t="s">
        <v>62</v>
      </c>
    </row>
    <row r="111" spans="2:9" x14ac:dyDescent="0.2">
      <c r="B111" s="805">
        <v>2005</v>
      </c>
      <c r="C111" s="95">
        <f>'11. Final Load Forecast'!$D$39</f>
        <v>0</v>
      </c>
      <c r="D111" s="95"/>
      <c r="E111" s="95"/>
      <c r="F111" s="95">
        <f>+'11. Final Load Forecast'!$D$39</f>
        <v>0</v>
      </c>
      <c r="G111" s="95"/>
      <c r="H111" s="95">
        <f>+'11. Final Load Forecast'!$D$40</f>
        <v>0</v>
      </c>
      <c r="I111" s="95"/>
    </row>
    <row r="112" spans="2:9" x14ac:dyDescent="0.2">
      <c r="B112" s="805">
        <v>2006</v>
      </c>
      <c r="C112" s="95">
        <f>'11. Final Load Forecast'!$E$38</f>
        <v>0</v>
      </c>
      <c r="D112" s="95">
        <f t="shared" ref="D112:D121" si="24">C112-C111</f>
        <v>0</v>
      </c>
      <c r="E112" s="187" t="e">
        <f t="shared" ref="E112:E122" si="25">(C112-C111)/C111</f>
        <v>#DIV/0!</v>
      </c>
      <c r="F112" s="95">
        <f>+'11. Final Load Forecast'!$E$39</f>
        <v>0</v>
      </c>
      <c r="G112" s="187" t="e">
        <f t="shared" ref="G112:G122" si="26">(F112-F111)/F111</f>
        <v>#DIV/0!</v>
      </c>
      <c r="H112" s="95">
        <f>+'11. Final Load Forecast'!$E$40</f>
        <v>0</v>
      </c>
      <c r="I112" s="187" t="e">
        <f t="shared" ref="I112:I122" si="27">(H112-H111)/H111</f>
        <v>#DIV/0!</v>
      </c>
    </row>
    <row r="113" spans="2:9" x14ac:dyDescent="0.2">
      <c r="B113" s="805">
        <v>2007</v>
      </c>
      <c r="C113" s="95">
        <f>'11. Final Load Forecast'!$F$38</f>
        <v>0</v>
      </c>
      <c r="D113" s="95">
        <f t="shared" si="24"/>
        <v>0</v>
      </c>
      <c r="E113" s="187" t="e">
        <f t="shared" si="25"/>
        <v>#DIV/0!</v>
      </c>
      <c r="F113" s="95">
        <f>+'11. Final Load Forecast'!$F$39</f>
        <v>0</v>
      </c>
      <c r="G113" s="187" t="e">
        <f t="shared" si="26"/>
        <v>#DIV/0!</v>
      </c>
      <c r="H113" s="95">
        <f>+'11. Final Load Forecast'!$F$40</f>
        <v>0</v>
      </c>
      <c r="I113" s="187" t="e">
        <f t="shared" si="27"/>
        <v>#DIV/0!</v>
      </c>
    </row>
    <row r="114" spans="2:9" x14ac:dyDescent="0.2">
      <c r="B114" s="805">
        <v>2008</v>
      </c>
      <c r="C114" s="95">
        <f>'11. Final Load Forecast'!$G$38</f>
        <v>0</v>
      </c>
      <c r="D114" s="95">
        <f t="shared" si="24"/>
        <v>0</v>
      </c>
      <c r="E114" s="187" t="e">
        <f t="shared" si="25"/>
        <v>#DIV/0!</v>
      </c>
      <c r="F114" s="95">
        <f>+'11. Final Load Forecast'!$G$39</f>
        <v>0</v>
      </c>
      <c r="G114" s="187" t="e">
        <f t="shared" si="26"/>
        <v>#DIV/0!</v>
      </c>
      <c r="H114" s="95">
        <f>+'11. Final Load Forecast'!$G$40</f>
        <v>0</v>
      </c>
      <c r="I114" s="187" t="e">
        <f t="shared" si="27"/>
        <v>#DIV/0!</v>
      </c>
    </row>
    <row r="115" spans="2:9" x14ac:dyDescent="0.2">
      <c r="B115" s="805">
        <v>2009</v>
      </c>
      <c r="C115" s="95">
        <f>'11. Final Load Forecast'!$H$38</f>
        <v>0</v>
      </c>
      <c r="D115" s="95">
        <f t="shared" si="24"/>
        <v>0</v>
      </c>
      <c r="E115" s="187" t="e">
        <f t="shared" si="25"/>
        <v>#DIV/0!</v>
      </c>
      <c r="F115" s="95">
        <f>+'11. Final Load Forecast'!$H$39</f>
        <v>0</v>
      </c>
      <c r="G115" s="187" t="e">
        <f t="shared" si="26"/>
        <v>#DIV/0!</v>
      </c>
      <c r="H115" s="95">
        <f>+'11. Final Load Forecast'!$H$40</f>
        <v>0</v>
      </c>
      <c r="I115" s="187" t="e">
        <f t="shared" si="27"/>
        <v>#DIV/0!</v>
      </c>
    </row>
    <row r="116" spans="2:9" x14ac:dyDescent="0.2">
      <c r="B116" s="805">
        <v>2010</v>
      </c>
      <c r="C116" s="95">
        <f>'11. Final Load Forecast'!$I$38</f>
        <v>0</v>
      </c>
      <c r="D116" s="95">
        <f t="shared" si="24"/>
        <v>0</v>
      </c>
      <c r="E116" s="187" t="e">
        <f t="shared" si="25"/>
        <v>#DIV/0!</v>
      </c>
      <c r="F116" s="95">
        <f>+'11. Final Load Forecast'!$I$39</f>
        <v>0</v>
      </c>
      <c r="G116" s="187" t="e">
        <f t="shared" si="26"/>
        <v>#DIV/0!</v>
      </c>
      <c r="H116" s="95">
        <f>+'11. Final Load Forecast'!$I$40</f>
        <v>0</v>
      </c>
      <c r="I116" s="187" t="e">
        <f t="shared" si="27"/>
        <v>#DIV/0!</v>
      </c>
    </row>
    <row r="117" spans="2:9" x14ac:dyDescent="0.2">
      <c r="B117" s="805">
        <v>2011</v>
      </c>
      <c r="C117" s="95">
        <f>'11. Final Load Forecast'!$J$38</f>
        <v>0</v>
      </c>
      <c r="D117" s="95">
        <f t="shared" si="24"/>
        <v>0</v>
      </c>
      <c r="E117" s="187" t="e">
        <f t="shared" si="25"/>
        <v>#DIV/0!</v>
      </c>
      <c r="F117" s="95">
        <f>+'11. Final Load Forecast'!$J$39</f>
        <v>0</v>
      </c>
      <c r="G117" s="187" t="e">
        <f t="shared" si="26"/>
        <v>#DIV/0!</v>
      </c>
      <c r="H117" s="95">
        <f>+'11. Final Load Forecast'!$J$40</f>
        <v>0</v>
      </c>
      <c r="I117" s="187" t="e">
        <f t="shared" si="27"/>
        <v>#DIV/0!</v>
      </c>
    </row>
    <row r="118" spans="2:9" x14ac:dyDescent="0.2">
      <c r="B118" s="805">
        <v>2012</v>
      </c>
      <c r="C118" s="95">
        <f>'11. Final Load Forecast'!$K$38</f>
        <v>0</v>
      </c>
      <c r="D118" s="95">
        <f t="shared" si="24"/>
        <v>0</v>
      </c>
      <c r="E118" s="187" t="e">
        <f t="shared" si="25"/>
        <v>#DIV/0!</v>
      </c>
      <c r="F118" s="95">
        <f>+'11. Final Load Forecast'!$K$39</f>
        <v>0</v>
      </c>
      <c r="G118" s="187" t="e">
        <f t="shared" si="26"/>
        <v>#DIV/0!</v>
      </c>
      <c r="H118" s="95">
        <f>+'11. Final Load Forecast'!$K$40</f>
        <v>0</v>
      </c>
      <c r="I118" s="187" t="e">
        <f t="shared" si="27"/>
        <v>#DIV/0!</v>
      </c>
    </row>
    <row r="119" spans="2:9" x14ac:dyDescent="0.2">
      <c r="B119" s="805">
        <v>2013</v>
      </c>
      <c r="C119" s="95">
        <f>'11. Final Load Forecast'!$L$38</f>
        <v>0</v>
      </c>
      <c r="D119" s="95">
        <f t="shared" si="24"/>
        <v>0</v>
      </c>
      <c r="E119" s="187" t="e">
        <f t="shared" si="25"/>
        <v>#DIV/0!</v>
      </c>
      <c r="F119" s="95">
        <f>+'11. Final Load Forecast'!$L$39</f>
        <v>0</v>
      </c>
      <c r="G119" s="187" t="e">
        <f t="shared" si="26"/>
        <v>#DIV/0!</v>
      </c>
      <c r="H119" s="95">
        <f>+'11. Final Load Forecast'!$L$40</f>
        <v>0</v>
      </c>
      <c r="I119" s="187" t="e">
        <f t="shared" si="27"/>
        <v>#DIV/0!</v>
      </c>
    </row>
    <row r="120" spans="2:9" x14ac:dyDescent="0.2">
      <c r="B120" s="805">
        <v>2014</v>
      </c>
      <c r="C120" s="95">
        <f>'11. Final Load Forecast'!$M$38</f>
        <v>0</v>
      </c>
      <c r="D120" s="95">
        <f t="shared" si="24"/>
        <v>0</v>
      </c>
      <c r="E120" s="187" t="e">
        <f t="shared" si="25"/>
        <v>#DIV/0!</v>
      </c>
      <c r="F120" s="95">
        <f>+'11. Final Load Forecast'!$M$39</f>
        <v>0</v>
      </c>
      <c r="G120" s="187" t="e">
        <f t="shared" si="26"/>
        <v>#DIV/0!</v>
      </c>
      <c r="H120" s="95">
        <f>+'11. Final Load Forecast'!$M$40</f>
        <v>0</v>
      </c>
      <c r="I120" s="187" t="e">
        <f t="shared" si="27"/>
        <v>#DIV/0!</v>
      </c>
    </row>
    <row r="121" spans="2:9" x14ac:dyDescent="0.2">
      <c r="B121" s="805">
        <v>2015</v>
      </c>
      <c r="C121" s="95">
        <f>'11. Final Load Forecast'!$N$38</f>
        <v>0</v>
      </c>
      <c r="D121" s="95">
        <f t="shared" si="24"/>
        <v>0</v>
      </c>
      <c r="E121" s="188" t="e">
        <f t="shared" si="25"/>
        <v>#DIV/0!</v>
      </c>
      <c r="F121" s="95">
        <f>+'11. Final Load Forecast'!$N$39</f>
        <v>0</v>
      </c>
      <c r="G121" s="188" t="e">
        <f t="shared" si="26"/>
        <v>#DIV/0!</v>
      </c>
      <c r="H121" s="95">
        <f>+'11. Final Load Forecast'!$N$40</f>
        <v>0</v>
      </c>
      <c r="I121" s="188" t="e">
        <f t="shared" si="27"/>
        <v>#DIV/0!</v>
      </c>
    </row>
    <row r="122" spans="2:9" x14ac:dyDescent="0.2">
      <c r="B122" s="805">
        <v>2016</v>
      </c>
      <c r="C122" s="95">
        <f>'11. Final Load Forecast'!$O$38</f>
        <v>0</v>
      </c>
      <c r="D122" s="95">
        <f>C122-C121</f>
        <v>0</v>
      </c>
      <c r="E122" s="188" t="e">
        <f t="shared" si="25"/>
        <v>#DIV/0!</v>
      </c>
      <c r="F122" s="95">
        <f>+'11. Final Load Forecast'!$O$39</f>
        <v>0</v>
      </c>
      <c r="G122" s="188" t="e">
        <f t="shared" si="26"/>
        <v>#DIV/0!</v>
      </c>
      <c r="H122" s="95">
        <f>+'11. Final Load Forecast'!$O$40</f>
        <v>0</v>
      </c>
      <c r="I122" s="188" t="e">
        <f t="shared" si="27"/>
        <v>#DIV/0!</v>
      </c>
    </row>
  </sheetData>
  <mergeCells count="7">
    <mergeCell ref="B13:I13"/>
    <mergeCell ref="B77:I77"/>
    <mergeCell ref="B93:I93"/>
    <mergeCell ref="B109:I109"/>
    <mergeCell ref="B61:I61"/>
    <mergeCell ref="B45:I45"/>
    <mergeCell ref="B29:I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M37"/>
  <sheetViews>
    <sheetView showGridLines="0" zoomScaleNormal="100" workbookViewId="0">
      <selection activeCell="B28" sqref="B28"/>
    </sheetView>
  </sheetViews>
  <sheetFormatPr defaultRowHeight="12.75" x14ac:dyDescent="0.2"/>
  <cols>
    <col min="1" max="1" width="13.6640625" customWidth="1"/>
    <col min="2" max="2" width="68.6640625" customWidth="1"/>
    <col min="3" max="3" width="25.1640625" customWidth="1"/>
    <col min="4" max="4" width="29.5" style="136" customWidth="1"/>
    <col min="5" max="5" width="4.83203125" style="136" customWidth="1"/>
    <col min="6" max="6" width="12" style="136" customWidth="1"/>
    <col min="7" max="7" width="18" customWidth="1"/>
    <col min="9" max="9" width="14.83203125" bestFit="1" customWidth="1"/>
    <col min="10" max="10" width="2.1640625" bestFit="1" customWidth="1"/>
  </cols>
  <sheetData>
    <row r="1" spans="1:13" s="536" customFormat="1" x14ac:dyDescent="0.2">
      <c r="A1" s="758" t="s">
        <v>272</v>
      </c>
    </row>
    <row r="2" spans="1:13" s="536" customFormat="1" x14ac:dyDescent="0.2"/>
    <row r="3" spans="1:13" s="536" customFormat="1" x14ac:dyDescent="0.2"/>
    <row r="4" spans="1:13" s="536" customFormat="1" x14ac:dyDescent="0.2"/>
    <row r="5" spans="1:13" s="536" customFormat="1" x14ac:dyDescent="0.2"/>
    <row r="6" spans="1:13" s="536" customFormat="1" x14ac:dyDescent="0.2"/>
    <row r="7" spans="1:13" s="536" customFormat="1" x14ac:dyDescent="0.2"/>
    <row r="8" spans="1:13" s="536" customFormat="1" x14ac:dyDescent="0.2"/>
    <row r="9" spans="1:13" s="536" customFormat="1" x14ac:dyDescent="0.2"/>
    <row r="10" spans="1:13" ht="12.75" customHeight="1" x14ac:dyDescent="0.2">
      <c r="B10" s="809"/>
      <c r="C10" s="809"/>
      <c r="D10" s="809"/>
      <c r="E10" s="809"/>
      <c r="F10" s="809"/>
      <c r="G10" s="809"/>
      <c r="H10" s="809"/>
      <c r="I10" s="809"/>
      <c r="J10" s="514"/>
      <c r="K10" s="514"/>
      <c r="L10" s="514"/>
      <c r="M10" s="514"/>
    </row>
    <row r="11" spans="1:13" ht="23.25" x14ac:dyDescent="0.2">
      <c r="B11" s="810" t="s">
        <v>150</v>
      </c>
      <c r="C11" s="810"/>
      <c r="D11" s="162"/>
      <c r="E11"/>
      <c r="F11" s="137"/>
      <c r="G11" s="137"/>
      <c r="H11" s="137"/>
    </row>
    <row r="12" spans="1:13" ht="18.75" thickBot="1" x14ac:dyDescent="0.25">
      <c r="C12" s="137"/>
      <c r="D12" s="137"/>
      <c r="E12" s="137"/>
      <c r="F12" s="137"/>
      <c r="G12" s="137"/>
      <c r="H12" s="137"/>
      <c r="I12" s="137"/>
      <c r="J12" s="137"/>
    </row>
    <row r="13" spans="1:13" ht="72" customHeight="1" x14ac:dyDescent="0.2">
      <c r="B13" s="739" t="s">
        <v>97</v>
      </c>
      <c r="C13" s="740" t="s">
        <v>127</v>
      </c>
      <c r="D13" s="741" t="s">
        <v>128</v>
      </c>
      <c r="E13"/>
      <c r="F13"/>
    </row>
    <row r="14" spans="1:13" x14ac:dyDescent="0.2">
      <c r="B14" s="735" t="s">
        <v>6</v>
      </c>
      <c r="C14" s="764" t="s">
        <v>126</v>
      </c>
      <c r="D14" s="765" t="s">
        <v>129</v>
      </c>
      <c r="F14" s="812" t="s">
        <v>172</v>
      </c>
      <c r="G14" s="812"/>
      <c r="I14" s="515" t="s">
        <v>36</v>
      </c>
    </row>
    <row r="15" spans="1:13" x14ac:dyDescent="0.2">
      <c r="B15" s="735" t="s">
        <v>98</v>
      </c>
      <c r="C15" s="764" t="s">
        <v>126</v>
      </c>
      <c r="D15" s="765" t="s">
        <v>129</v>
      </c>
      <c r="E15" s="734"/>
      <c r="F15" s="812"/>
      <c r="G15" s="812"/>
      <c r="I15" s="515" t="s">
        <v>36</v>
      </c>
    </row>
    <row r="16" spans="1:13" x14ac:dyDescent="0.2">
      <c r="B16" s="735" t="s">
        <v>105</v>
      </c>
      <c r="C16" s="764" t="s">
        <v>42</v>
      </c>
      <c r="D16" s="765" t="s">
        <v>42</v>
      </c>
      <c r="E16" s="734"/>
      <c r="F16" s="812"/>
      <c r="G16" s="812"/>
      <c r="I16" s="515" t="s">
        <v>36</v>
      </c>
    </row>
    <row r="17" spans="2:9" ht="13.5" thickBot="1" x14ac:dyDescent="0.25">
      <c r="B17" s="736"/>
      <c r="C17" s="766" t="s">
        <v>129</v>
      </c>
      <c r="D17" s="767" t="s">
        <v>129</v>
      </c>
      <c r="E17" s="734"/>
      <c r="F17" s="812"/>
      <c r="G17" s="812"/>
    </row>
    <row r="18" spans="2:9" ht="13.5" customHeight="1" x14ac:dyDescent="0.2">
      <c r="B18" s="737" t="s">
        <v>267</v>
      </c>
      <c r="C18" s="768" t="s">
        <v>126</v>
      </c>
      <c r="D18" s="769" t="s">
        <v>42</v>
      </c>
      <c r="E18"/>
      <c r="F18" s="813" t="s">
        <v>173</v>
      </c>
      <c r="G18" s="813"/>
      <c r="I18" s="515" t="s">
        <v>37</v>
      </c>
    </row>
    <row r="19" spans="2:9" x14ac:dyDescent="0.2">
      <c r="B19" s="738" t="s">
        <v>104</v>
      </c>
      <c r="C19" s="764" t="s">
        <v>42</v>
      </c>
      <c r="D19" s="765" t="s">
        <v>42</v>
      </c>
      <c r="E19"/>
      <c r="F19" s="813"/>
      <c r="G19" s="813"/>
      <c r="I19" s="515" t="s">
        <v>37</v>
      </c>
    </row>
    <row r="20" spans="2:9" ht="13.5" thickBot="1" x14ac:dyDescent="0.25">
      <c r="B20" s="742" t="s">
        <v>87</v>
      </c>
      <c r="C20" s="770" t="s">
        <v>42</v>
      </c>
      <c r="D20" s="771" t="s">
        <v>42</v>
      </c>
      <c r="E20"/>
      <c r="F20" s="813"/>
      <c r="G20" s="813"/>
      <c r="I20" s="515" t="s">
        <v>37</v>
      </c>
    </row>
    <row r="21" spans="2:9" ht="13.5" thickBot="1" x14ac:dyDescent="0.25">
      <c r="B21" s="743"/>
      <c r="C21" s="772" t="s">
        <v>129</v>
      </c>
      <c r="D21" s="773" t="s">
        <v>129</v>
      </c>
      <c r="E21"/>
      <c r="F21" s="508"/>
      <c r="G21" s="508"/>
      <c r="I21" s="515" t="s">
        <v>37</v>
      </c>
    </row>
    <row r="22" spans="2:9" hidden="1" x14ac:dyDescent="0.2">
      <c r="B22" s="505" t="s">
        <v>106</v>
      </c>
      <c r="C22" s="506" t="s">
        <v>129</v>
      </c>
      <c r="D22" s="507" t="s">
        <v>129</v>
      </c>
      <c r="E22"/>
      <c r="F22"/>
    </row>
    <row r="23" spans="2:9" ht="13.5" hidden="1" thickBot="1" x14ac:dyDescent="0.25">
      <c r="B23" s="292" t="s">
        <v>106</v>
      </c>
      <c r="C23" s="290" t="s">
        <v>129</v>
      </c>
      <c r="D23" s="291" t="s">
        <v>129</v>
      </c>
      <c r="E23"/>
      <c r="F23"/>
    </row>
    <row r="24" spans="2:9" x14ac:dyDescent="0.2">
      <c r="D24"/>
      <c r="E24"/>
      <c r="F24"/>
    </row>
    <row r="25" spans="2:9" x14ac:dyDescent="0.2">
      <c r="D25"/>
      <c r="E25"/>
      <c r="F25"/>
    </row>
    <row r="26" spans="2:9" x14ac:dyDescent="0.2">
      <c r="D26"/>
      <c r="E26"/>
      <c r="F26"/>
    </row>
    <row r="27" spans="2:9" x14ac:dyDescent="0.2">
      <c r="D27"/>
      <c r="E27"/>
      <c r="F27"/>
    </row>
    <row r="28" spans="2:9" x14ac:dyDescent="0.2">
      <c r="D28"/>
      <c r="E28"/>
      <c r="F28"/>
    </row>
    <row r="29" spans="2:9" x14ac:dyDescent="0.2">
      <c r="D29"/>
      <c r="E29"/>
      <c r="F29"/>
    </row>
    <row r="30" spans="2:9" x14ac:dyDescent="0.2">
      <c r="D30"/>
      <c r="E30"/>
      <c r="F30"/>
    </row>
    <row r="31" spans="2:9" x14ac:dyDescent="0.2">
      <c r="D31"/>
      <c r="E31"/>
      <c r="F31"/>
    </row>
    <row r="32" spans="2:9" x14ac:dyDescent="0.2">
      <c r="D32"/>
      <c r="E32"/>
      <c r="F32"/>
    </row>
    <row r="33" spans="3:7" x14ac:dyDescent="0.2">
      <c r="D33"/>
      <c r="E33"/>
      <c r="F33"/>
    </row>
    <row r="34" spans="3:7" x14ac:dyDescent="0.2">
      <c r="D34"/>
      <c r="E34"/>
      <c r="F34"/>
    </row>
    <row r="35" spans="3:7" x14ac:dyDescent="0.2">
      <c r="D35"/>
      <c r="E35"/>
      <c r="F35"/>
    </row>
    <row r="36" spans="3:7" x14ac:dyDescent="0.2">
      <c r="C36" s="136"/>
      <c r="F36"/>
    </row>
    <row r="37" spans="3:7" x14ac:dyDescent="0.2">
      <c r="G37" s="515" t="s">
        <v>30</v>
      </c>
    </row>
  </sheetData>
  <mergeCells count="4">
    <mergeCell ref="B11:C11"/>
    <mergeCell ref="F14:G17"/>
    <mergeCell ref="F18:G20"/>
    <mergeCell ref="B10:I10"/>
  </mergeCells>
  <dataValidations count="1">
    <dataValidation type="list" allowBlank="1" showInputMessage="1" showErrorMessage="1" sqref="C14:D23">
      <formula1>"Weather-Sensitive,Non-Weather Sensitive,n/a"</formula1>
    </dataValidation>
  </dataValidations>
  <pageMargins left="0.7" right="0.7" top="0.75" bottom="0.75" header="0.3" footer="0.3"/>
  <pageSetup scale="71" orientation="landscape"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A174"/>
  <sheetViews>
    <sheetView showGridLines="0" zoomScaleNormal="100" workbookViewId="0">
      <selection activeCell="F54" sqref="F54"/>
    </sheetView>
  </sheetViews>
  <sheetFormatPr defaultRowHeight="12.75" x14ac:dyDescent="0.2"/>
  <cols>
    <col min="1" max="1" width="13.6640625" style="30" customWidth="1"/>
    <col min="2" max="2" width="18" style="30" customWidth="1"/>
    <col min="3" max="3" width="16.83203125" style="32" customWidth="1"/>
    <col min="4" max="4" width="14.1640625" style="32" customWidth="1"/>
    <col min="5" max="5" width="14.1640625" style="31" customWidth="1"/>
    <col min="6" max="6" width="14.1640625" style="32" customWidth="1"/>
    <col min="7" max="7" width="14.1640625" style="31" customWidth="1"/>
    <col min="8" max="8" width="14.1640625" style="32" customWidth="1"/>
    <col min="9" max="9" width="15.1640625" style="31" customWidth="1"/>
    <col min="10" max="10" width="14.1640625" style="31" customWidth="1"/>
    <col min="11" max="11" width="13.33203125" style="31" bestFit="1" customWidth="1"/>
    <col min="12" max="13" width="14.1640625" style="32" customWidth="1"/>
    <col min="14" max="14" width="14.1640625" style="31" customWidth="1"/>
    <col min="15" max="16" width="14.1640625" style="32" customWidth="1"/>
    <col min="17" max="17" width="14.1640625" style="31" customWidth="1"/>
    <col min="18" max="19" width="14.1640625" style="32" customWidth="1"/>
    <col min="20" max="20" width="14.1640625" style="31" customWidth="1"/>
    <col min="21" max="21" width="13.5" style="32" customWidth="1"/>
    <col min="22" max="22" width="13.5" style="537" customWidth="1"/>
    <col min="23" max="23" width="13.5" style="31" customWidth="1"/>
    <col min="24" max="27" width="13.5" style="30" customWidth="1"/>
    <col min="28" max="16384" width="9.33203125" style="30"/>
  </cols>
  <sheetData>
    <row r="1" spans="1:23" s="536" customFormat="1" x14ac:dyDescent="0.2">
      <c r="A1" s="758" t="s">
        <v>272</v>
      </c>
    </row>
    <row r="2" spans="1:23" s="536" customFormat="1" x14ac:dyDescent="0.2"/>
    <row r="3" spans="1:23" s="536" customFormat="1" x14ac:dyDescent="0.2"/>
    <row r="4" spans="1:23" s="536" customFormat="1" x14ac:dyDescent="0.2"/>
    <row r="5" spans="1:23" s="536" customFormat="1" x14ac:dyDescent="0.2"/>
    <row r="6" spans="1:23" s="536" customFormat="1" x14ac:dyDescent="0.2"/>
    <row r="7" spans="1:23" s="536" customFormat="1" x14ac:dyDescent="0.2"/>
    <row r="8" spans="1:23" s="536" customFormat="1" x14ac:dyDescent="0.2"/>
    <row r="9" spans="1:23" s="536" customFormat="1" x14ac:dyDescent="0.2"/>
    <row r="10" spans="1:23" customFormat="1" ht="12.75" customHeight="1" x14ac:dyDescent="0.2">
      <c r="B10" s="809"/>
      <c r="C10" s="809"/>
      <c r="D10" s="809"/>
      <c r="E10" s="809"/>
      <c r="F10" s="809"/>
      <c r="G10" s="809"/>
      <c r="H10" s="809"/>
      <c r="I10" s="809"/>
      <c r="J10" s="514"/>
      <c r="K10" s="514"/>
      <c r="L10" s="514"/>
      <c r="M10" s="514"/>
    </row>
    <row r="11" spans="1:23" s="1" customFormat="1" ht="23.25" x14ac:dyDescent="0.2">
      <c r="A11"/>
      <c r="B11" s="133" t="s">
        <v>101</v>
      </c>
      <c r="D11" s="58"/>
      <c r="E11" s="58"/>
      <c r="F11" s="58"/>
      <c r="G11" s="58"/>
      <c r="L11" s="58"/>
      <c r="N11" s="58"/>
      <c r="O11" s="58"/>
      <c r="Q11" s="58"/>
      <c r="V11" s="536"/>
    </row>
    <row r="12" spans="1:23" ht="15" x14ac:dyDescent="0.2">
      <c r="B12" s="63" t="s">
        <v>64</v>
      </c>
      <c r="C12" s="30"/>
      <c r="D12" s="99"/>
      <c r="E12" s="99"/>
      <c r="F12" s="99"/>
      <c r="G12" s="99"/>
      <c r="H12"/>
      <c r="L12" s="99"/>
      <c r="M12" s="99"/>
      <c r="N12" s="99"/>
      <c r="O12" s="99"/>
      <c r="P12" s="99"/>
      <c r="Q12" s="99"/>
      <c r="R12" s="99"/>
      <c r="T12" s="537"/>
      <c r="U12" s="31"/>
      <c r="V12" s="30"/>
      <c r="W12" s="30"/>
    </row>
    <row r="13" spans="1:23" ht="14.25" x14ac:dyDescent="0.2">
      <c r="B13" s="100" t="s">
        <v>68</v>
      </c>
      <c r="C13" s="30"/>
      <c r="D13" s="100"/>
      <c r="E13" s="100"/>
      <c r="F13" s="100"/>
      <c r="G13" s="99"/>
      <c r="L13" s="99"/>
      <c r="M13" s="99"/>
      <c r="N13" s="99"/>
      <c r="O13" s="99"/>
      <c r="P13" s="99"/>
      <c r="Q13" s="99"/>
      <c r="R13" s="99"/>
      <c r="T13" s="537"/>
      <c r="U13" s="31"/>
      <c r="V13" s="30"/>
      <c r="W13" s="30"/>
    </row>
    <row r="14" spans="1:23" ht="14.25" x14ac:dyDescent="0.2">
      <c r="B14" s="100" t="s">
        <v>67</v>
      </c>
      <c r="C14" s="30"/>
      <c r="D14" s="100"/>
      <c r="E14" s="100"/>
      <c r="F14" s="100"/>
      <c r="G14" s="99"/>
      <c r="L14" s="99"/>
      <c r="M14" s="99"/>
      <c r="N14" s="99"/>
      <c r="O14" s="99"/>
      <c r="P14" s="99"/>
      <c r="Q14" s="99"/>
      <c r="R14" s="99"/>
      <c r="S14" s="99"/>
      <c r="T14" s="99"/>
    </row>
    <row r="15" spans="1:23" ht="14.25" x14ac:dyDescent="0.2">
      <c r="B15" s="100" t="s">
        <v>69</v>
      </c>
      <c r="C15" s="30"/>
      <c r="D15" s="100"/>
      <c r="E15" s="100"/>
      <c r="F15" s="100"/>
      <c r="G15" s="99"/>
      <c r="L15" s="99"/>
      <c r="M15" s="99"/>
      <c r="N15" s="99"/>
      <c r="O15" s="99"/>
      <c r="P15" s="99"/>
      <c r="Q15" s="99"/>
      <c r="R15" s="99"/>
      <c r="S15" s="99"/>
      <c r="T15" s="99"/>
    </row>
    <row r="16" spans="1:23" ht="14.25" x14ac:dyDescent="0.2">
      <c r="B16" s="100" t="s">
        <v>66</v>
      </c>
      <c r="C16" s="30"/>
      <c r="D16" s="100"/>
      <c r="E16" s="100"/>
      <c r="F16" s="100"/>
      <c r="G16" s="99"/>
      <c r="L16" s="99"/>
      <c r="M16" s="99"/>
      <c r="N16" s="99"/>
      <c r="O16" s="99"/>
      <c r="P16" s="99"/>
      <c r="Q16" s="99"/>
      <c r="R16" s="99"/>
      <c r="S16" s="99"/>
      <c r="T16" s="99"/>
    </row>
    <row r="17" spans="2:27" ht="14.25" x14ac:dyDescent="0.2">
      <c r="C17" s="100"/>
      <c r="D17" s="100"/>
      <c r="E17" s="100"/>
      <c r="F17" s="100"/>
      <c r="G17" s="99"/>
      <c r="L17" s="99"/>
      <c r="M17" s="99"/>
      <c r="N17" s="99"/>
      <c r="O17" s="99"/>
      <c r="P17" s="99"/>
      <c r="Q17" s="99"/>
      <c r="R17" s="99"/>
      <c r="S17" s="99"/>
      <c r="T17" s="99"/>
    </row>
    <row r="18" spans="2:27" ht="15" x14ac:dyDescent="0.25">
      <c r="B18" s="101" t="s">
        <v>65</v>
      </c>
      <c r="C18" s="30"/>
      <c r="D18" s="101"/>
      <c r="E18" s="100"/>
      <c r="F18" s="100"/>
      <c r="G18" s="99"/>
      <c r="L18" s="99"/>
      <c r="M18" s="99"/>
      <c r="N18" s="99"/>
      <c r="O18" s="99"/>
      <c r="P18" s="99"/>
      <c r="Q18" s="99"/>
      <c r="R18" s="99"/>
      <c r="S18" s="99"/>
      <c r="T18" s="99"/>
    </row>
    <row r="19" spans="2:27" ht="13.5" thickBot="1" x14ac:dyDescent="0.25"/>
    <row r="20" spans="2:27" ht="12.75" customHeight="1" x14ac:dyDescent="0.2">
      <c r="B20" s="33"/>
      <c r="C20" s="33"/>
      <c r="D20" s="823" t="str">
        <f>'2. Customer Classes'!B14</f>
        <v>Residential</v>
      </c>
      <c r="E20" s="824"/>
      <c r="F20" s="823" t="str">
        <f>'2. Customer Classes'!B15</f>
        <v>General Service &lt; 50 kW</v>
      </c>
      <c r="G20" s="824"/>
      <c r="H20" s="826" t="str">
        <f>+'2. Customer Classes'!B16</f>
        <v>Unmetered Scattered Load</v>
      </c>
      <c r="I20" s="827"/>
      <c r="J20" s="828">
        <f>+'2. Customer Classes'!B17</f>
        <v>0</v>
      </c>
      <c r="K20" s="818"/>
      <c r="L20" s="823" t="str">
        <f>'2. Customer Classes'!B18</f>
        <v>General Service &gt; 50 kW - 4999 kW</v>
      </c>
      <c r="M20" s="825"/>
      <c r="N20" s="824"/>
      <c r="O20" s="814" t="str">
        <f>'2. Customer Classes'!B19</f>
        <v>Streetlighting</v>
      </c>
      <c r="P20" s="815"/>
      <c r="Q20" s="816"/>
      <c r="R20" s="814" t="str">
        <f>'2. Customer Classes'!B20</f>
        <v>Sentinel Lighting</v>
      </c>
      <c r="S20" s="815"/>
      <c r="T20" s="816"/>
      <c r="U20" s="817">
        <f>'2. Customer Classes'!B21</f>
        <v>0</v>
      </c>
      <c r="V20" s="821"/>
      <c r="W20" s="818"/>
      <c r="X20" s="817" t="str">
        <f>'2. Customer Classes'!B22</f>
        <v>other</v>
      </c>
      <c r="Y20" s="818"/>
      <c r="Z20" s="817" t="str">
        <f>'2. Customer Classes'!B23</f>
        <v>other</v>
      </c>
      <c r="AA20" s="818"/>
    </row>
    <row r="21" spans="2:27" ht="12.75" customHeight="1" x14ac:dyDescent="0.2">
      <c r="B21" s="165"/>
      <c r="C21" s="165"/>
      <c r="D21" s="819" t="s">
        <v>121</v>
      </c>
      <c r="E21" s="820"/>
      <c r="F21" s="819" t="s">
        <v>121</v>
      </c>
      <c r="G21" s="820"/>
      <c r="H21" s="819" t="s">
        <v>121</v>
      </c>
      <c r="I21" s="820"/>
      <c r="J21" s="819" t="s">
        <v>121</v>
      </c>
      <c r="K21" s="820"/>
      <c r="L21" s="819" t="s">
        <v>121</v>
      </c>
      <c r="M21" s="822"/>
      <c r="N21" s="820"/>
      <c r="O21" s="819" t="s">
        <v>121</v>
      </c>
      <c r="P21" s="822"/>
      <c r="Q21" s="820"/>
      <c r="R21" s="819" t="s">
        <v>121</v>
      </c>
      <c r="S21" s="822"/>
      <c r="T21" s="820"/>
      <c r="U21" s="819" t="s">
        <v>121</v>
      </c>
      <c r="V21" s="822"/>
      <c r="W21" s="820"/>
      <c r="X21" s="819" t="s">
        <v>121</v>
      </c>
      <c r="Y21" s="820"/>
      <c r="Z21" s="819" t="s">
        <v>121</v>
      </c>
      <c r="AA21" s="820"/>
    </row>
    <row r="22" spans="2:27" x14ac:dyDescent="0.2">
      <c r="B22" s="34"/>
      <c r="C22" s="34"/>
      <c r="D22" s="35"/>
      <c r="E22" s="36" t="s">
        <v>35</v>
      </c>
      <c r="F22" s="35"/>
      <c r="G22" s="36" t="s">
        <v>35</v>
      </c>
      <c r="H22" s="35"/>
      <c r="I22" s="36" t="s">
        <v>35</v>
      </c>
      <c r="J22" s="35"/>
      <c r="K22" s="36" t="s">
        <v>35</v>
      </c>
      <c r="L22" s="35"/>
      <c r="M22" s="19"/>
      <c r="N22" s="36" t="s">
        <v>35</v>
      </c>
      <c r="O22" s="35"/>
      <c r="P22" s="19"/>
      <c r="Q22" s="36" t="s">
        <v>35</v>
      </c>
      <c r="R22" s="35"/>
      <c r="S22" s="19"/>
      <c r="T22" s="36" t="s">
        <v>35</v>
      </c>
      <c r="U22" s="35"/>
      <c r="V22" s="518"/>
      <c r="W22" s="36" t="s">
        <v>35</v>
      </c>
      <c r="X22" s="35"/>
      <c r="Y22" s="36" t="s">
        <v>35</v>
      </c>
      <c r="Z22" s="35"/>
      <c r="AA22" s="36" t="s">
        <v>35</v>
      </c>
    </row>
    <row r="23" spans="2:27" ht="13.5" thickBot="1" x14ac:dyDescent="0.25">
      <c r="B23" s="37"/>
      <c r="C23" s="37"/>
      <c r="D23" s="38" t="s">
        <v>36</v>
      </c>
      <c r="E23" s="39" t="s">
        <v>0</v>
      </c>
      <c r="F23" s="38" t="s">
        <v>36</v>
      </c>
      <c r="G23" s="39" t="s">
        <v>0</v>
      </c>
      <c r="H23" s="40" t="s">
        <v>36</v>
      </c>
      <c r="I23" s="41" t="s">
        <v>0</v>
      </c>
      <c r="J23" s="40" t="s">
        <v>36</v>
      </c>
      <c r="K23" s="41" t="s">
        <v>0</v>
      </c>
      <c r="L23" s="38" t="s">
        <v>36</v>
      </c>
      <c r="M23" s="23" t="s">
        <v>37</v>
      </c>
      <c r="N23" s="39" t="s">
        <v>0</v>
      </c>
      <c r="O23" s="38" t="s">
        <v>36</v>
      </c>
      <c r="P23" s="23" t="s">
        <v>37</v>
      </c>
      <c r="Q23" s="39" t="s">
        <v>0</v>
      </c>
      <c r="R23" s="38" t="s">
        <v>36</v>
      </c>
      <c r="S23" s="23" t="s">
        <v>37</v>
      </c>
      <c r="T23" s="39" t="s">
        <v>0</v>
      </c>
      <c r="U23" s="40" t="s">
        <v>36</v>
      </c>
      <c r="V23" s="538" t="s">
        <v>37</v>
      </c>
      <c r="W23" s="41" t="s">
        <v>0</v>
      </c>
      <c r="X23" s="40" t="s">
        <v>36</v>
      </c>
      <c r="Y23" s="41" t="s">
        <v>0</v>
      </c>
      <c r="Z23" s="40" t="s">
        <v>36</v>
      </c>
      <c r="AA23" s="41" t="s">
        <v>0</v>
      </c>
    </row>
    <row r="24" spans="2:27" ht="15.75" customHeight="1" thickBot="1" x14ac:dyDescent="0.25">
      <c r="B24" s="33" t="s">
        <v>33</v>
      </c>
      <c r="C24" s="33" t="s">
        <v>107</v>
      </c>
      <c r="D24" s="286"/>
      <c r="E24" s="287"/>
      <c r="F24" s="286"/>
      <c r="G24" s="287"/>
      <c r="H24" s="288"/>
      <c r="I24" s="287"/>
      <c r="J24" s="288"/>
      <c r="K24" s="287"/>
      <c r="L24" s="286"/>
      <c r="M24" s="289"/>
      <c r="N24" s="287"/>
      <c r="O24" s="286"/>
      <c r="P24" s="289"/>
      <c r="Q24" s="287"/>
      <c r="R24" s="286"/>
      <c r="S24" s="289"/>
      <c r="T24" s="287"/>
      <c r="U24" s="43"/>
      <c r="V24" s="539"/>
      <c r="W24" s="42"/>
      <c r="X24" s="43"/>
      <c r="Y24" s="42"/>
      <c r="Z24" s="43"/>
      <c r="AA24" s="42"/>
    </row>
    <row r="25" spans="2:27" x14ac:dyDescent="0.2">
      <c r="B25" s="166">
        <f>'1. LDC Info'!$F$27-11</f>
        <v>2005</v>
      </c>
      <c r="C25" s="44" t="s">
        <v>112</v>
      </c>
      <c r="D25" s="523"/>
      <c r="E25" s="541"/>
      <c r="F25" s="523"/>
      <c r="G25" s="541"/>
      <c r="H25" s="543"/>
      <c r="I25" s="541"/>
      <c r="J25" s="543"/>
      <c r="K25" s="541"/>
      <c r="L25" s="523"/>
      <c r="M25" s="542"/>
      <c r="N25" s="541"/>
      <c r="O25" s="523"/>
      <c r="P25" s="542"/>
      <c r="Q25" s="541"/>
      <c r="R25" s="543"/>
      <c r="S25" s="542"/>
      <c r="T25" s="541"/>
      <c r="U25" s="543"/>
      <c r="V25" s="542"/>
      <c r="W25" s="541"/>
      <c r="X25" s="224"/>
      <c r="Y25" s="222"/>
      <c r="Z25" s="224"/>
      <c r="AA25" s="46"/>
    </row>
    <row r="26" spans="2:27" x14ac:dyDescent="0.2">
      <c r="B26" s="166">
        <f>'1. LDC Info'!$F$27-11</f>
        <v>2005</v>
      </c>
      <c r="C26" s="44" t="s">
        <v>113</v>
      </c>
      <c r="D26" s="523"/>
      <c r="E26" s="541"/>
      <c r="F26" s="523"/>
      <c r="G26" s="541"/>
      <c r="H26" s="543"/>
      <c r="I26" s="541"/>
      <c r="J26" s="543"/>
      <c r="K26" s="541"/>
      <c r="L26" s="523"/>
      <c r="M26" s="542"/>
      <c r="N26" s="541"/>
      <c r="O26" s="523"/>
      <c r="P26" s="542"/>
      <c r="Q26" s="541"/>
      <c r="R26" s="543"/>
      <c r="S26" s="542"/>
      <c r="T26" s="541"/>
      <c r="U26" s="543"/>
      <c r="V26" s="542"/>
      <c r="W26" s="541"/>
      <c r="X26" s="224"/>
      <c r="Y26" s="222"/>
      <c r="Z26" s="224"/>
      <c r="AA26" s="46"/>
    </row>
    <row r="27" spans="2:27" x14ac:dyDescent="0.2">
      <c r="B27" s="166">
        <f>'1. LDC Info'!$F$27-11</f>
        <v>2005</v>
      </c>
      <c r="C27" s="44" t="s">
        <v>114</v>
      </c>
      <c r="D27" s="523"/>
      <c r="E27" s="541"/>
      <c r="F27" s="523"/>
      <c r="G27" s="541"/>
      <c r="H27" s="543"/>
      <c r="I27" s="541"/>
      <c r="J27" s="543"/>
      <c r="K27" s="541"/>
      <c r="L27" s="523"/>
      <c r="M27" s="542"/>
      <c r="N27" s="541"/>
      <c r="O27" s="523"/>
      <c r="P27" s="542"/>
      <c r="Q27" s="541"/>
      <c r="R27" s="543"/>
      <c r="S27" s="542"/>
      <c r="T27" s="541"/>
      <c r="U27" s="543"/>
      <c r="V27" s="542"/>
      <c r="W27" s="541"/>
      <c r="X27" s="224"/>
      <c r="Y27" s="222"/>
      <c r="Z27" s="224"/>
      <c r="AA27" s="46"/>
    </row>
    <row r="28" spans="2:27" x14ac:dyDescent="0.2">
      <c r="B28" s="166">
        <f>'1. LDC Info'!$F$27-11</f>
        <v>2005</v>
      </c>
      <c r="C28" s="44" t="s">
        <v>115</v>
      </c>
      <c r="D28" s="523"/>
      <c r="E28" s="541"/>
      <c r="F28" s="523"/>
      <c r="G28" s="541"/>
      <c r="H28" s="543"/>
      <c r="I28" s="541"/>
      <c r="J28" s="543"/>
      <c r="K28" s="541"/>
      <c r="L28" s="523"/>
      <c r="M28" s="542"/>
      <c r="N28" s="541"/>
      <c r="O28" s="523"/>
      <c r="P28" s="542"/>
      <c r="Q28" s="541"/>
      <c r="R28" s="543"/>
      <c r="S28" s="542"/>
      <c r="T28" s="541"/>
      <c r="U28" s="543"/>
      <c r="V28" s="542"/>
      <c r="W28" s="541"/>
      <c r="X28" s="224"/>
      <c r="Y28" s="222"/>
      <c r="Z28" s="224"/>
      <c r="AA28" s="46"/>
    </row>
    <row r="29" spans="2:27" x14ac:dyDescent="0.2">
      <c r="B29" s="166">
        <f>'1. LDC Info'!$F$27-11</f>
        <v>2005</v>
      </c>
      <c r="C29" s="44" t="s">
        <v>116</v>
      </c>
      <c r="D29" s="523"/>
      <c r="E29" s="541"/>
      <c r="F29" s="523"/>
      <c r="G29" s="541"/>
      <c r="H29" s="543"/>
      <c r="I29" s="541"/>
      <c r="J29" s="543"/>
      <c r="K29" s="541"/>
      <c r="L29" s="523"/>
      <c r="M29" s="542"/>
      <c r="N29" s="541"/>
      <c r="O29" s="523"/>
      <c r="P29" s="542"/>
      <c r="Q29" s="541"/>
      <c r="R29" s="543"/>
      <c r="S29" s="542"/>
      <c r="T29" s="541"/>
      <c r="U29" s="543"/>
      <c r="V29" s="542"/>
      <c r="W29" s="541"/>
      <c r="X29" s="224"/>
      <c r="Y29" s="222"/>
      <c r="Z29" s="224"/>
      <c r="AA29" s="46"/>
    </row>
    <row r="30" spans="2:27" x14ac:dyDescent="0.2">
      <c r="B30" s="166">
        <f>'1. LDC Info'!$F$27-11</f>
        <v>2005</v>
      </c>
      <c r="C30" s="44" t="s">
        <v>117</v>
      </c>
      <c r="D30" s="523"/>
      <c r="E30" s="541"/>
      <c r="F30" s="523"/>
      <c r="G30" s="541"/>
      <c r="H30" s="543"/>
      <c r="I30" s="541"/>
      <c r="J30" s="543"/>
      <c r="K30" s="541"/>
      <c r="L30" s="523"/>
      <c r="M30" s="542"/>
      <c r="N30" s="541"/>
      <c r="O30" s="523"/>
      <c r="P30" s="542"/>
      <c r="Q30" s="541"/>
      <c r="R30" s="543"/>
      <c r="S30" s="542"/>
      <c r="T30" s="541"/>
      <c r="U30" s="543"/>
      <c r="V30" s="542"/>
      <c r="W30" s="541"/>
      <c r="X30" s="224"/>
      <c r="Y30" s="222"/>
      <c r="Z30" s="224"/>
      <c r="AA30" s="46"/>
    </row>
    <row r="31" spans="2:27" x14ac:dyDescent="0.2">
      <c r="B31" s="166">
        <f>'1. LDC Info'!$F$27-11</f>
        <v>2005</v>
      </c>
      <c r="C31" s="44" t="s">
        <v>118</v>
      </c>
      <c r="D31" s="523"/>
      <c r="E31" s="541"/>
      <c r="F31" s="523"/>
      <c r="G31" s="541"/>
      <c r="H31" s="543"/>
      <c r="I31" s="541"/>
      <c r="J31" s="543"/>
      <c r="K31" s="541"/>
      <c r="L31" s="523"/>
      <c r="M31" s="542"/>
      <c r="N31" s="541"/>
      <c r="O31" s="523"/>
      <c r="P31" s="542"/>
      <c r="Q31" s="541"/>
      <c r="R31" s="543"/>
      <c r="S31" s="542"/>
      <c r="T31" s="541"/>
      <c r="U31" s="543"/>
      <c r="V31" s="542"/>
      <c r="W31" s="541"/>
      <c r="X31" s="224"/>
      <c r="Y31" s="222"/>
      <c r="Z31" s="224"/>
      <c r="AA31" s="46"/>
    </row>
    <row r="32" spans="2:27" x14ac:dyDescent="0.2">
      <c r="B32" s="166">
        <f>'1. LDC Info'!$F$27-11</f>
        <v>2005</v>
      </c>
      <c r="C32" s="44" t="s">
        <v>119</v>
      </c>
      <c r="D32" s="523"/>
      <c r="E32" s="541"/>
      <c r="F32" s="523"/>
      <c r="G32" s="541"/>
      <c r="H32" s="543"/>
      <c r="I32" s="541"/>
      <c r="J32" s="543"/>
      <c r="K32" s="541"/>
      <c r="L32" s="523"/>
      <c r="M32" s="542"/>
      <c r="N32" s="541"/>
      <c r="O32" s="523"/>
      <c r="P32" s="542"/>
      <c r="Q32" s="541"/>
      <c r="R32" s="543"/>
      <c r="S32" s="542"/>
      <c r="T32" s="541"/>
      <c r="U32" s="543"/>
      <c r="V32" s="542"/>
      <c r="W32" s="541"/>
      <c r="X32" s="224"/>
      <c r="Y32" s="222"/>
      <c r="Z32" s="224"/>
      <c r="AA32" s="46"/>
    </row>
    <row r="33" spans="2:27" x14ac:dyDescent="0.2">
      <c r="B33" s="166">
        <f>'1. LDC Info'!$F$27-11</f>
        <v>2005</v>
      </c>
      <c r="C33" s="44" t="s">
        <v>109</v>
      </c>
      <c r="D33" s="523"/>
      <c r="E33" s="541"/>
      <c r="F33" s="523"/>
      <c r="G33" s="541"/>
      <c r="H33" s="543"/>
      <c r="I33" s="541"/>
      <c r="J33" s="543"/>
      <c r="K33" s="541"/>
      <c r="L33" s="523"/>
      <c r="M33" s="542"/>
      <c r="N33" s="541"/>
      <c r="O33" s="523"/>
      <c r="P33" s="542"/>
      <c r="Q33" s="541"/>
      <c r="R33" s="543"/>
      <c r="S33" s="542"/>
      <c r="T33" s="541"/>
      <c r="U33" s="543"/>
      <c r="V33" s="542"/>
      <c r="W33" s="541"/>
      <c r="X33" s="224"/>
      <c r="Y33" s="222"/>
      <c r="Z33" s="224"/>
      <c r="AA33" s="46"/>
    </row>
    <row r="34" spans="2:27" x14ac:dyDescent="0.2">
      <c r="B34" s="166">
        <f>'1. LDC Info'!$F$27-11</f>
        <v>2005</v>
      </c>
      <c r="C34" s="44" t="s">
        <v>110</v>
      </c>
      <c r="D34" s="523"/>
      <c r="E34" s="541"/>
      <c r="F34" s="523"/>
      <c r="G34" s="541"/>
      <c r="H34" s="543"/>
      <c r="I34" s="541"/>
      <c r="J34" s="543"/>
      <c r="K34" s="541"/>
      <c r="L34" s="523"/>
      <c r="M34" s="542"/>
      <c r="N34" s="541"/>
      <c r="O34" s="523"/>
      <c r="P34" s="542"/>
      <c r="Q34" s="541"/>
      <c r="R34" s="543"/>
      <c r="S34" s="542"/>
      <c r="T34" s="541"/>
      <c r="U34" s="543"/>
      <c r="V34" s="542"/>
      <c r="W34" s="541"/>
      <c r="X34" s="224"/>
      <c r="Y34" s="222"/>
      <c r="Z34" s="224"/>
      <c r="AA34" s="46"/>
    </row>
    <row r="35" spans="2:27" x14ac:dyDescent="0.2">
      <c r="B35" s="166">
        <f>'1. LDC Info'!$F$27-11</f>
        <v>2005</v>
      </c>
      <c r="C35" s="44" t="s">
        <v>111</v>
      </c>
      <c r="D35" s="523"/>
      <c r="E35" s="541"/>
      <c r="F35" s="523"/>
      <c r="G35" s="541"/>
      <c r="H35" s="543"/>
      <c r="I35" s="541"/>
      <c r="J35" s="543"/>
      <c r="K35" s="541"/>
      <c r="L35" s="523"/>
      <c r="M35" s="542"/>
      <c r="N35" s="541"/>
      <c r="O35" s="523"/>
      <c r="P35" s="542"/>
      <c r="Q35" s="541"/>
      <c r="R35" s="543"/>
      <c r="S35" s="542"/>
      <c r="T35" s="541"/>
      <c r="U35" s="543"/>
      <c r="V35" s="542"/>
      <c r="W35" s="541"/>
      <c r="X35" s="224"/>
      <c r="Y35" s="222"/>
      <c r="Z35" s="224"/>
      <c r="AA35" s="46"/>
    </row>
    <row r="36" spans="2:27" x14ac:dyDescent="0.2">
      <c r="B36" s="166">
        <f>'1. LDC Info'!$F$27-11</f>
        <v>2005</v>
      </c>
      <c r="C36" s="44" t="s">
        <v>108</v>
      </c>
      <c r="D36" s="523">
        <v>76867401</v>
      </c>
      <c r="E36" s="541">
        <v>8625</v>
      </c>
      <c r="F36" s="523">
        <v>43814909</v>
      </c>
      <c r="G36" s="541">
        <v>1496</v>
      </c>
      <c r="H36" s="543">
        <v>593390</v>
      </c>
      <c r="I36" s="541">
        <v>17</v>
      </c>
      <c r="J36" s="543"/>
      <c r="K36" s="541"/>
      <c r="L36" s="523">
        <v>74429057</v>
      </c>
      <c r="M36" s="542">
        <v>212943</v>
      </c>
      <c r="N36" s="541">
        <v>134</v>
      </c>
      <c r="O36" s="523">
        <v>2426613</v>
      </c>
      <c r="P36" s="542">
        <v>6774</v>
      </c>
      <c r="Q36" s="541">
        <v>2604</v>
      </c>
      <c r="R36" s="543">
        <v>284178</v>
      </c>
      <c r="S36" s="542">
        <v>783</v>
      </c>
      <c r="T36" s="541">
        <v>250</v>
      </c>
      <c r="U36" s="543"/>
      <c r="V36" s="542"/>
      <c r="W36" s="541"/>
      <c r="X36" s="224"/>
      <c r="Y36" s="222"/>
      <c r="Z36" s="224"/>
      <c r="AA36" s="46"/>
    </row>
    <row r="37" spans="2:27" x14ac:dyDescent="0.2">
      <c r="B37" s="166">
        <f>'1. LDC Info'!$F$27-10</f>
        <v>2006</v>
      </c>
      <c r="C37" s="44" t="s">
        <v>112</v>
      </c>
      <c r="D37" s="523"/>
      <c r="E37" s="541"/>
      <c r="F37" s="523"/>
      <c r="G37" s="541"/>
      <c r="H37" s="544"/>
      <c r="I37" s="541"/>
      <c r="J37" s="544"/>
      <c r="K37" s="541"/>
      <c r="L37" s="523"/>
      <c r="M37" s="542"/>
      <c r="N37" s="541"/>
      <c r="O37" s="523"/>
      <c r="P37" s="542"/>
      <c r="Q37" s="541"/>
      <c r="R37" s="543"/>
      <c r="S37" s="542"/>
      <c r="T37" s="541"/>
      <c r="U37" s="544"/>
      <c r="V37" s="542"/>
      <c r="W37" s="541"/>
      <c r="X37" s="224"/>
      <c r="Y37" s="222"/>
      <c r="Z37" s="224"/>
      <c r="AA37" s="46"/>
    </row>
    <row r="38" spans="2:27" x14ac:dyDescent="0.2">
      <c r="B38" s="166">
        <f>'1. LDC Info'!$F$27-10</f>
        <v>2006</v>
      </c>
      <c r="C38" s="44" t="s">
        <v>113</v>
      </c>
      <c r="D38" s="523"/>
      <c r="E38" s="541"/>
      <c r="F38" s="523"/>
      <c r="G38" s="541"/>
      <c r="H38" s="544"/>
      <c r="I38" s="541"/>
      <c r="J38" s="544"/>
      <c r="K38" s="541"/>
      <c r="L38" s="523"/>
      <c r="M38" s="542"/>
      <c r="N38" s="541"/>
      <c r="O38" s="523"/>
      <c r="P38" s="542"/>
      <c r="Q38" s="541"/>
      <c r="R38" s="543"/>
      <c r="S38" s="542"/>
      <c r="T38" s="541"/>
      <c r="U38" s="544"/>
      <c r="V38" s="542"/>
      <c r="W38" s="541"/>
      <c r="X38" s="224"/>
      <c r="Y38" s="222"/>
      <c r="Z38" s="224"/>
      <c r="AA38" s="46"/>
    </row>
    <row r="39" spans="2:27" x14ac:dyDescent="0.2">
      <c r="B39" s="166">
        <f>'1. LDC Info'!$F$27-10</f>
        <v>2006</v>
      </c>
      <c r="C39" s="44" t="s">
        <v>114</v>
      </c>
      <c r="D39" s="523"/>
      <c r="E39" s="541"/>
      <c r="F39" s="523"/>
      <c r="G39" s="541"/>
      <c r="H39" s="544"/>
      <c r="I39" s="541"/>
      <c r="J39" s="544"/>
      <c r="K39" s="541"/>
      <c r="L39" s="523"/>
      <c r="M39" s="542"/>
      <c r="N39" s="541"/>
      <c r="O39" s="523"/>
      <c r="P39" s="542"/>
      <c r="Q39" s="541"/>
      <c r="R39" s="543"/>
      <c r="S39" s="542"/>
      <c r="T39" s="541"/>
      <c r="U39" s="544"/>
      <c r="V39" s="542"/>
      <c r="W39" s="541"/>
      <c r="X39" s="224"/>
      <c r="Y39" s="222"/>
      <c r="Z39" s="224"/>
      <c r="AA39" s="46"/>
    </row>
    <row r="40" spans="2:27" x14ac:dyDescent="0.2">
      <c r="B40" s="166">
        <f>'1. LDC Info'!$F$27-10</f>
        <v>2006</v>
      </c>
      <c r="C40" s="44" t="s">
        <v>115</v>
      </c>
      <c r="D40" s="523"/>
      <c r="E40" s="541"/>
      <c r="F40" s="523"/>
      <c r="G40" s="541"/>
      <c r="H40" s="544"/>
      <c r="I40" s="541"/>
      <c r="J40" s="544"/>
      <c r="K40" s="541"/>
      <c r="L40" s="523"/>
      <c r="M40" s="542"/>
      <c r="N40" s="541"/>
      <c r="O40" s="523"/>
      <c r="P40" s="542"/>
      <c r="Q40" s="541"/>
      <c r="R40" s="543"/>
      <c r="S40" s="542"/>
      <c r="T40" s="541"/>
      <c r="U40" s="544"/>
      <c r="V40" s="542"/>
      <c r="W40" s="541"/>
      <c r="X40" s="224"/>
      <c r="Y40" s="222"/>
      <c r="Z40" s="224"/>
      <c r="AA40" s="46"/>
    </row>
    <row r="41" spans="2:27" x14ac:dyDescent="0.2">
      <c r="B41" s="166">
        <f>'1. LDC Info'!$F$27-10</f>
        <v>2006</v>
      </c>
      <c r="C41" s="44" t="s">
        <v>116</v>
      </c>
      <c r="D41" s="523"/>
      <c r="E41" s="541"/>
      <c r="F41" s="523"/>
      <c r="G41" s="541"/>
      <c r="H41" s="544"/>
      <c r="I41" s="541"/>
      <c r="J41" s="544"/>
      <c r="K41" s="541"/>
      <c r="L41" s="523"/>
      <c r="M41" s="542"/>
      <c r="N41" s="541"/>
      <c r="O41" s="523"/>
      <c r="P41" s="542"/>
      <c r="Q41" s="541"/>
      <c r="R41" s="543"/>
      <c r="S41" s="542"/>
      <c r="T41" s="541"/>
      <c r="U41" s="544"/>
      <c r="V41" s="542"/>
      <c r="W41" s="541"/>
      <c r="X41" s="224"/>
      <c r="Y41" s="222"/>
      <c r="Z41" s="224"/>
      <c r="AA41" s="46"/>
    </row>
    <row r="42" spans="2:27" x14ac:dyDescent="0.2">
      <c r="B42" s="166">
        <f>'1. LDC Info'!$F$27-10</f>
        <v>2006</v>
      </c>
      <c r="C42" s="44" t="s">
        <v>117</v>
      </c>
      <c r="D42" s="523"/>
      <c r="E42" s="541"/>
      <c r="F42" s="523"/>
      <c r="G42" s="541"/>
      <c r="H42" s="544"/>
      <c r="I42" s="541"/>
      <c r="J42" s="544"/>
      <c r="K42" s="541"/>
      <c r="L42" s="523"/>
      <c r="M42" s="542"/>
      <c r="N42" s="541"/>
      <c r="O42" s="523"/>
      <c r="P42" s="542"/>
      <c r="Q42" s="541"/>
      <c r="R42" s="543"/>
      <c r="S42" s="542"/>
      <c r="T42" s="541"/>
      <c r="U42" s="544"/>
      <c r="V42" s="542"/>
      <c r="W42" s="541"/>
      <c r="X42" s="224"/>
      <c r="Y42" s="222"/>
      <c r="Z42" s="224"/>
      <c r="AA42" s="46"/>
    </row>
    <row r="43" spans="2:27" x14ac:dyDescent="0.2">
      <c r="B43" s="166">
        <f>'1. LDC Info'!$F$27-10</f>
        <v>2006</v>
      </c>
      <c r="C43" s="44" t="s">
        <v>118</v>
      </c>
      <c r="D43" s="523"/>
      <c r="E43" s="541"/>
      <c r="F43" s="523"/>
      <c r="G43" s="541"/>
      <c r="H43" s="544"/>
      <c r="I43" s="541"/>
      <c r="J43" s="544"/>
      <c r="K43" s="541"/>
      <c r="L43" s="523"/>
      <c r="M43" s="542"/>
      <c r="N43" s="541"/>
      <c r="O43" s="523"/>
      <c r="P43" s="542"/>
      <c r="Q43" s="541"/>
      <c r="R43" s="543"/>
      <c r="S43" s="542"/>
      <c r="T43" s="541"/>
      <c r="U43" s="544"/>
      <c r="V43" s="542"/>
      <c r="W43" s="541"/>
      <c r="X43" s="224"/>
      <c r="Y43" s="222"/>
      <c r="Z43" s="224"/>
      <c r="AA43" s="46"/>
    </row>
    <row r="44" spans="2:27" x14ac:dyDescent="0.2">
      <c r="B44" s="166">
        <f>'1. LDC Info'!$F$27-10</f>
        <v>2006</v>
      </c>
      <c r="C44" s="44" t="s">
        <v>119</v>
      </c>
      <c r="D44" s="523"/>
      <c r="E44" s="541"/>
      <c r="F44" s="523"/>
      <c r="G44" s="541"/>
      <c r="H44" s="544"/>
      <c r="I44" s="541"/>
      <c r="J44" s="544"/>
      <c r="K44" s="541"/>
      <c r="L44" s="523"/>
      <c r="M44" s="542"/>
      <c r="N44" s="541"/>
      <c r="O44" s="523"/>
      <c r="P44" s="542"/>
      <c r="Q44" s="541"/>
      <c r="R44" s="543"/>
      <c r="S44" s="542"/>
      <c r="T44" s="541"/>
      <c r="U44" s="544"/>
      <c r="V44" s="542"/>
      <c r="W44" s="541"/>
      <c r="X44" s="224"/>
      <c r="Y44" s="222"/>
      <c r="Z44" s="224"/>
      <c r="AA44" s="46"/>
    </row>
    <row r="45" spans="2:27" x14ac:dyDescent="0.2">
      <c r="B45" s="166">
        <f>'1. LDC Info'!$F$27-10</f>
        <v>2006</v>
      </c>
      <c r="C45" s="44" t="s">
        <v>109</v>
      </c>
      <c r="D45" s="523"/>
      <c r="E45" s="541"/>
      <c r="F45" s="523"/>
      <c r="G45" s="541"/>
      <c r="H45" s="544"/>
      <c r="I45" s="541"/>
      <c r="J45" s="544"/>
      <c r="K45" s="541"/>
      <c r="L45" s="523"/>
      <c r="M45" s="542"/>
      <c r="N45" s="541"/>
      <c r="O45" s="523"/>
      <c r="P45" s="542"/>
      <c r="Q45" s="541"/>
      <c r="R45" s="543"/>
      <c r="S45" s="542"/>
      <c r="T45" s="541"/>
      <c r="U45" s="544"/>
      <c r="V45" s="542"/>
      <c r="W45" s="541"/>
      <c r="X45" s="224"/>
      <c r="Y45" s="222"/>
      <c r="Z45" s="224"/>
      <c r="AA45" s="46"/>
    </row>
    <row r="46" spans="2:27" x14ac:dyDescent="0.2">
      <c r="B46" s="166">
        <f>'1. LDC Info'!$F$27-10</f>
        <v>2006</v>
      </c>
      <c r="C46" s="44" t="s">
        <v>110</v>
      </c>
      <c r="D46" s="523"/>
      <c r="E46" s="541"/>
      <c r="F46" s="523"/>
      <c r="G46" s="541"/>
      <c r="H46" s="544"/>
      <c r="I46" s="541"/>
      <c r="J46" s="544"/>
      <c r="K46" s="541"/>
      <c r="L46" s="523"/>
      <c r="M46" s="542"/>
      <c r="N46" s="541"/>
      <c r="O46" s="523"/>
      <c r="P46" s="542"/>
      <c r="Q46" s="541"/>
      <c r="R46" s="543"/>
      <c r="S46" s="542"/>
      <c r="T46" s="541"/>
      <c r="U46" s="544"/>
      <c r="V46" s="542"/>
      <c r="W46" s="541"/>
      <c r="X46" s="224"/>
      <c r="Y46" s="222"/>
      <c r="Z46" s="224"/>
      <c r="AA46" s="46"/>
    </row>
    <row r="47" spans="2:27" x14ac:dyDescent="0.2">
      <c r="B47" s="166">
        <f>'1. LDC Info'!$F$27-10</f>
        <v>2006</v>
      </c>
      <c r="C47" s="44" t="s">
        <v>111</v>
      </c>
      <c r="D47" s="523"/>
      <c r="E47" s="541"/>
      <c r="F47" s="523"/>
      <c r="G47" s="541"/>
      <c r="H47" s="544"/>
      <c r="I47" s="541"/>
      <c r="J47" s="544"/>
      <c r="K47" s="541"/>
      <c r="L47" s="523"/>
      <c r="M47" s="542"/>
      <c r="N47" s="541"/>
      <c r="O47" s="523"/>
      <c r="P47" s="542"/>
      <c r="Q47" s="541"/>
      <c r="R47" s="543"/>
      <c r="S47" s="542"/>
      <c r="T47" s="541"/>
      <c r="U47" s="544"/>
      <c r="V47" s="542"/>
      <c r="W47" s="541"/>
      <c r="X47" s="224"/>
      <c r="Y47" s="222"/>
      <c r="Z47" s="224"/>
      <c r="AA47" s="46"/>
    </row>
    <row r="48" spans="2:27" x14ac:dyDescent="0.2">
      <c r="B48" s="166">
        <f>'1. LDC Info'!$F$27-10</f>
        <v>2006</v>
      </c>
      <c r="C48" s="44" t="s">
        <v>108</v>
      </c>
      <c r="D48" s="523">
        <v>80301785</v>
      </c>
      <c r="E48" s="541">
        <v>8696</v>
      </c>
      <c r="F48" s="523">
        <v>39580098</v>
      </c>
      <c r="G48" s="541">
        <v>1449</v>
      </c>
      <c r="H48" s="543">
        <v>364006</v>
      </c>
      <c r="I48" s="541">
        <v>20</v>
      </c>
      <c r="J48" s="543"/>
      <c r="K48" s="541"/>
      <c r="L48" s="523">
        <v>75435895</v>
      </c>
      <c r="M48" s="542">
        <v>207000</v>
      </c>
      <c r="N48" s="541">
        <v>136</v>
      </c>
      <c r="O48" s="523">
        <v>2517491</v>
      </c>
      <c r="P48" s="542">
        <v>6784</v>
      </c>
      <c r="Q48" s="541">
        <v>2635</v>
      </c>
      <c r="R48" s="543">
        <v>267504</v>
      </c>
      <c r="S48" s="542">
        <v>767</v>
      </c>
      <c r="T48" s="541">
        <v>225</v>
      </c>
      <c r="U48" s="543"/>
      <c r="V48" s="542"/>
      <c r="W48" s="541"/>
      <c r="X48" s="224"/>
      <c r="Y48" s="222"/>
      <c r="Z48" s="224"/>
      <c r="AA48" s="46"/>
    </row>
    <row r="49" spans="2:27" x14ac:dyDescent="0.2">
      <c r="B49" s="166">
        <f>'1. LDC Info'!$F$27-9</f>
        <v>2007</v>
      </c>
      <c r="C49" s="44" t="s">
        <v>112</v>
      </c>
      <c r="D49" s="523"/>
      <c r="E49" s="541"/>
      <c r="F49" s="523"/>
      <c r="G49" s="541"/>
      <c r="H49" s="544"/>
      <c r="I49" s="541"/>
      <c r="J49" s="544"/>
      <c r="K49" s="541"/>
      <c r="L49" s="523"/>
      <c r="M49" s="542"/>
      <c r="N49" s="541"/>
      <c r="O49" s="523"/>
      <c r="P49" s="542"/>
      <c r="Q49" s="541"/>
      <c r="R49" s="543"/>
      <c r="S49" s="542"/>
      <c r="T49" s="541"/>
      <c r="U49" s="544"/>
      <c r="V49" s="542"/>
      <c r="W49" s="541"/>
      <c r="X49" s="224"/>
      <c r="Y49" s="222"/>
      <c r="Z49" s="224"/>
      <c r="AA49" s="46"/>
    </row>
    <row r="50" spans="2:27" x14ac:dyDescent="0.2">
      <c r="B50" s="166">
        <f>'1. LDC Info'!$F$27-9</f>
        <v>2007</v>
      </c>
      <c r="C50" s="44" t="s">
        <v>113</v>
      </c>
      <c r="D50" s="523"/>
      <c r="E50" s="541"/>
      <c r="F50" s="523"/>
      <c r="G50" s="541"/>
      <c r="H50" s="544"/>
      <c r="I50" s="541"/>
      <c r="J50" s="544"/>
      <c r="K50" s="541"/>
      <c r="L50" s="523"/>
      <c r="M50" s="542"/>
      <c r="N50" s="541"/>
      <c r="O50" s="523"/>
      <c r="P50" s="542"/>
      <c r="Q50" s="541"/>
      <c r="R50" s="543"/>
      <c r="S50" s="542"/>
      <c r="T50" s="541"/>
      <c r="U50" s="544"/>
      <c r="V50" s="542"/>
      <c r="W50" s="541"/>
      <c r="X50" s="224"/>
      <c r="Y50" s="222"/>
      <c r="Z50" s="224"/>
      <c r="AA50" s="46"/>
    </row>
    <row r="51" spans="2:27" x14ac:dyDescent="0.2">
      <c r="B51" s="166">
        <f>'1. LDC Info'!$F$27-9</f>
        <v>2007</v>
      </c>
      <c r="C51" s="44" t="s">
        <v>114</v>
      </c>
      <c r="D51" s="523"/>
      <c r="E51" s="541"/>
      <c r="F51" s="523"/>
      <c r="G51" s="541"/>
      <c r="H51" s="544"/>
      <c r="I51" s="541"/>
      <c r="J51" s="544"/>
      <c r="K51" s="541"/>
      <c r="L51" s="523"/>
      <c r="M51" s="542"/>
      <c r="N51" s="541"/>
      <c r="O51" s="523"/>
      <c r="P51" s="542"/>
      <c r="Q51" s="541"/>
      <c r="R51" s="543"/>
      <c r="S51" s="542"/>
      <c r="T51" s="541"/>
      <c r="U51" s="544"/>
      <c r="V51" s="542"/>
      <c r="W51" s="541"/>
      <c r="X51" s="224"/>
      <c r="Y51" s="222"/>
      <c r="Z51" s="224"/>
      <c r="AA51" s="46"/>
    </row>
    <row r="52" spans="2:27" x14ac:dyDescent="0.2">
      <c r="B52" s="166">
        <f>'1. LDC Info'!$F$27-9</f>
        <v>2007</v>
      </c>
      <c r="C52" s="44" t="s">
        <v>115</v>
      </c>
      <c r="D52" s="523"/>
      <c r="E52" s="541"/>
      <c r="F52" s="523"/>
      <c r="G52" s="541"/>
      <c r="H52" s="544"/>
      <c r="I52" s="541"/>
      <c r="J52" s="544"/>
      <c r="K52" s="541"/>
      <c r="L52" s="523"/>
      <c r="M52" s="542"/>
      <c r="N52" s="541"/>
      <c r="O52" s="523"/>
      <c r="P52" s="542"/>
      <c r="Q52" s="541"/>
      <c r="R52" s="543"/>
      <c r="S52" s="542"/>
      <c r="T52" s="541"/>
      <c r="U52" s="544"/>
      <c r="V52" s="542"/>
      <c r="W52" s="541"/>
      <c r="X52" s="224"/>
      <c r="Y52" s="222"/>
      <c r="Z52" s="224"/>
      <c r="AA52" s="46"/>
    </row>
    <row r="53" spans="2:27" x14ac:dyDescent="0.2">
      <c r="B53" s="166">
        <f>'1. LDC Info'!$F$27-9</f>
        <v>2007</v>
      </c>
      <c r="C53" s="44" t="s">
        <v>116</v>
      </c>
      <c r="D53" s="523"/>
      <c r="E53" s="541"/>
      <c r="F53" s="523"/>
      <c r="G53" s="541"/>
      <c r="H53" s="544"/>
      <c r="I53" s="541"/>
      <c r="J53" s="544"/>
      <c r="K53" s="541"/>
      <c r="L53" s="523"/>
      <c r="M53" s="542"/>
      <c r="N53" s="541"/>
      <c r="O53" s="523"/>
      <c r="P53" s="542"/>
      <c r="Q53" s="541"/>
      <c r="R53" s="543"/>
      <c r="S53" s="542"/>
      <c r="T53" s="541"/>
      <c r="U53" s="544"/>
      <c r="V53" s="542"/>
      <c r="W53" s="541"/>
      <c r="X53" s="224"/>
      <c r="Y53" s="222"/>
      <c r="Z53" s="224"/>
      <c r="AA53" s="46"/>
    </row>
    <row r="54" spans="2:27" x14ac:dyDescent="0.2">
      <c r="B54" s="166">
        <f>'1. LDC Info'!$F$27-9</f>
        <v>2007</v>
      </c>
      <c r="C54" s="44" t="s">
        <v>117</v>
      </c>
      <c r="D54" s="523"/>
      <c r="E54" s="541"/>
      <c r="F54" s="523"/>
      <c r="G54" s="541"/>
      <c r="H54" s="544"/>
      <c r="I54" s="541"/>
      <c r="J54" s="544"/>
      <c r="K54" s="541"/>
      <c r="L54" s="523"/>
      <c r="M54" s="542"/>
      <c r="N54" s="541"/>
      <c r="O54" s="523"/>
      <c r="P54" s="542"/>
      <c r="Q54" s="541"/>
      <c r="R54" s="543"/>
      <c r="S54" s="542"/>
      <c r="T54" s="541"/>
      <c r="U54" s="544"/>
      <c r="V54" s="542"/>
      <c r="W54" s="541"/>
      <c r="X54" s="224"/>
      <c r="Y54" s="222"/>
      <c r="Z54" s="224"/>
      <c r="AA54" s="46"/>
    </row>
    <row r="55" spans="2:27" x14ac:dyDescent="0.2">
      <c r="B55" s="166">
        <f>'1. LDC Info'!$F$27-9</f>
        <v>2007</v>
      </c>
      <c r="C55" s="44" t="s">
        <v>118</v>
      </c>
      <c r="D55" s="523"/>
      <c r="E55" s="541"/>
      <c r="F55" s="523"/>
      <c r="G55" s="541"/>
      <c r="H55" s="544"/>
      <c r="I55" s="541"/>
      <c r="J55" s="544"/>
      <c r="K55" s="541"/>
      <c r="L55" s="523"/>
      <c r="M55" s="542"/>
      <c r="N55" s="541"/>
      <c r="O55" s="523"/>
      <c r="P55" s="542"/>
      <c r="Q55" s="541"/>
      <c r="R55" s="543"/>
      <c r="S55" s="542"/>
      <c r="T55" s="541"/>
      <c r="U55" s="544"/>
      <c r="V55" s="542"/>
      <c r="W55" s="541"/>
      <c r="X55" s="224"/>
      <c r="Y55" s="222"/>
      <c r="Z55" s="224"/>
      <c r="AA55" s="46"/>
    </row>
    <row r="56" spans="2:27" x14ac:dyDescent="0.2">
      <c r="B56" s="166">
        <f>'1. LDC Info'!$F$27-9</f>
        <v>2007</v>
      </c>
      <c r="C56" s="44" t="s">
        <v>119</v>
      </c>
      <c r="D56" s="523"/>
      <c r="E56" s="541"/>
      <c r="F56" s="523"/>
      <c r="G56" s="541"/>
      <c r="H56" s="544"/>
      <c r="I56" s="541"/>
      <c r="J56" s="544"/>
      <c r="K56" s="541"/>
      <c r="L56" s="523"/>
      <c r="M56" s="542"/>
      <c r="N56" s="541"/>
      <c r="O56" s="523"/>
      <c r="P56" s="542"/>
      <c r="Q56" s="541"/>
      <c r="R56" s="543"/>
      <c r="S56" s="542"/>
      <c r="T56" s="541"/>
      <c r="U56" s="544"/>
      <c r="V56" s="542"/>
      <c r="W56" s="541"/>
      <c r="X56" s="224"/>
      <c r="Y56" s="222"/>
      <c r="Z56" s="224"/>
      <c r="AA56" s="46"/>
    </row>
    <row r="57" spans="2:27" x14ac:dyDescent="0.2">
      <c r="B57" s="166">
        <f>'1. LDC Info'!$F$27-9</f>
        <v>2007</v>
      </c>
      <c r="C57" s="44" t="s">
        <v>109</v>
      </c>
      <c r="D57" s="523"/>
      <c r="E57" s="541"/>
      <c r="F57" s="523"/>
      <c r="G57" s="541"/>
      <c r="H57" s="544"/>
      <c r="I57" s="541"/>
      <c r="J57" s="544"/>
      <c r="K57" s="541"/>
      <c r="L57" s="523"/>
      <c r="M57" s="542"/>
      <c r="N57" s="541"/>
      <c r="O57" s="523"/>
      <c r="P57" s="542"/>
      <c r="Q57" s="541"/>
      <c r="R57" s="543"/>
      <c r="S57" s="542"/>
      <c r="T57" s="541"/>
      <c r="U57" s="544"/>
      <c r="V57" s="542"/>
      <c r="W57" s="541"/>
      <c r="X57" s="224"/>
      <c r="Y57" s="222"/>
      <c r="Z57" s="224"/>
      <c r="AA57" s="46"/>
    </row>
    <row r="58" spans="2:27" x14ac:dyDescent="0.2">
      <c r="B58" s="166">
        <f>'1. LDC Info'!$F$27-9</f>
        <v>2007</v>
      </c>
      <c r="C58" s="44" t="s">
        <v>110</v>
      </c>
      <c r="D58" s="523"/>
      <c r="E58" s="541"/>
      <c r="F58" s="523"/>
      <c r="G58" s="541"/>
      <c r="H58" s="544"/>
      <c r="I58" s="541"/>
      <c r="J58" s="544"/>
      <c r="K58" s="541"/>
      <c r="L58" s="523"/>
      <c r="M58" s="542"/>
      <c r="N58" s="541"/>
      <c r="O58" s="523"/>
      <c r="P58" s="542"/>
      <c r="Q58" s="541"/>
      <c r="R58" s="543"/>
      <c r="S58" s="542"/>
      <c r="T58" s="541"/>
      <c r="U58" s="544"/>
      <c r="V58" s="542"/>
      <c r="W58" s="541"/>
      <c r="X58" s="224"/>
      <c r="Y58" s="222"/>
      <c r="Z58" s="224"/>
      <c r="AA58" s="46"/>
    </row>
    <row r="59" spans="2:27" x14ac:dyDescent="0.2">
      <c r="B59" s="166">
        <f>'1. LDC Info'!$F$27-9</f>
        <v>2007</v>
      </c>
      <c r="C59" s="44" t="s">
        <v>111</v>
      </c>
      <c r="D59" s="523"/>
      <c r="E59" s="541"/>
      <c r="F59" s="523"/>
      <c r="G59" s="541"/>
      <c r="H59" s="544"/>
      <c r="I59" s="541"/>
      <c r="J59" s="544"/>
      <c r="K59" s="541"/>
      <c r="L59" s="523"/>
      <c r="M59" s="542"/>
      <c r="N59" s="541"/>
      <c r="O59" s="523"/>
      <c r="P59" s="542"/>
      <c r="Q59" s="541"/>
      <c r="R59" s="543"/>
      <c r="S59" s="542"/>
      <c r="T59" s="541"/>
      <c r="U59" s="544"/>
      <c r="V59" s="542"/>
      <c r="W59" s="541"/>
      <c r="X59" s="224"/>
      <c r="Y59" s="222"/>
      <c r="Z59" s="224"/>
      <c r="AA59" s="46"/>
    </row>
    <row r="60" spans="2:27" x14ac:dyDescent="0.2">
      <c r="B60" s="166">
        <f>'1. LDC Info'!$F$27-9</f>
        <v>2007</v>
      </c>
      <c r="C60" s="44" t="s">
        <v>108</v>
      </c>
      <c r="D60" s="523">
        <v>78894594</v>
      </c>
      <c r="E60" s="541">
        <v>8809</v>
      </c>
      <c r="F60" s="523">
        <v>35721757</v>
      </c>
      <c r="G60" s="541">
        <v>1442</v>
      </c>
      <c r="H60" s="543">
        <v>348199</v>
      </c>
      <c r="I60" s="541">
        <v>20</v>
      </c>
      <c r="J60" s="543"/>
      <c r="K60" s="541"/>
      <c r="L60" s="523">
        <v>78527667</v>
      </c>
      <c r="M60" s="542">
        <v>213039</v>
      </c>
      <c r="N60" s="541">
        <v>136</v>
      </c>
      <c r="O60" s="523">
        <v>2426477</v>
      </c>
      <c r="P60" s="542">
        <v>6778</v>
      </c>
      <c r="Q60" s="541">
        <v>2648</v>
      </c>
      <c r="R60" s="543">
        <v>266011</v>
      </c>
      <c r="S60" s="542">
        <v>766</v>
      </c>
      <c r="T60" s="541">
        <v>225</v>
      </c>
      <c r="U60" s="543"/>
      <c r="V60" s="542"/>
      <c r="W60" s="541"/>
      <c r="X60" s="224"/>
      <c r="Y60" s="222"/>
      <c r="Z60" s="224"/>
      <c r="AA60" s="46"/>
    </row>
    <row r="61" spans="2:27" x14ac:dyDescent="0.2">
      <c r="B61" s="166">
        <f>'1. LDC Info'!$F$27-8</f>
        <v>2008</v>
      </c>
      <c r="C61" s="44" t="s">
        <v>112</v>
      </c>
      <c r="D61" s="523"/>
      <c r="E61" s="541"/>
      <c r="F61" s="543"/>
      <c r="G61" s="541"/>
      <c r="H61" s="544"/>
      <c r="I61" s="541"/>
      <c r="J61" s="544"/>
      <c r="K61" s="541"/>
      <c r="L61" s="523"/>
      <c r="M61" s="542"/>
      <c r="N61" s="541"/>
      <c r="O61" s="523"/>
      <c r="P61" s="542"/>
      <c r="Q61" s="541"/>
      <c r="R61" s="543"/>
      <c r="S61" s="542"/>
      <c r="T61" s="541"/>
      <c r="U61" s="544"/>
      <c r="V61" s="542"/>
      <c r="W61" s="541"/>
      <c r="X61" s="224"/>
      <c r="Y61" s="222"/>
      <c r="Z61" s="224"/>
      <c r="AA61" s="46"/>
    </row>
    <row r="62" spans="2:27" x14ac:dyDescent="0.2">
      <c r="B62" s="166">
        <f>'1. LDC Info'!$F$27-8</f>
        <v>2008</v>
      </c>
      <c r="C62" s="44" t="s">
        <v>113</v>
      </c>
      <c r="D62" s="523"/>
      <c r="E62" s="541"/>
      <c r="F62" s="543"/>
      <c r="G62" s="541"/>
      <c r="H62" s="544"/>
      <c r="I62" s="541"/>
      <c r="J62" s="544"/>
      <c r="K62" s="541"/>
      <c r="L62" s="523"/>
      <c r="M62" s="542"/>
      <c r="N62" s="541"/>
      <c r="O62" s="523"/>
      <c r="P62" s="542"/>
      <c r="Q62" s="541"/>
      <c r="R62" s="543"/>
      <c r="S62" s="542"/>
      <c r="T62" s="541"/>
      <c r="U62" s="544"/>
      <c r="V62" s="542"/>
      <c r="W62" s="541"/>
      <c r="X62" s="224"/>
      <c r="Y62" s="222"/>
      <c r="Z62" s="224"/>
      <c r="AA62" s="46"/>
    </row>
    <row r="63" spans="2:27" x14ac:dyDescent="0.2">
      <c r="B63" s="166">
        <f>'1. LDC Info'!$F$27-8</f>
        <v>2008</v>
      </c>
      <c r="C63" s="44" t="s">
        <v>114</v>
      </c>
      <c r="D63" s="523"/>
      <c r="E63" s="541"/>
      <c r="F63" s="543"/>
      <c r="G63" s="541"/>
      <c r="H63" s="544"/>
      <c r="I63" s="541"/>
      <c r="J63" s="544"/>
      <c r="K63" s="541"/>
      <c r="L63" s="523"/>
      <c r="M63" s="542"/>
      <c r="N63" s="541"/>
      <c r="O63" s="523"/>
      <c r="P63" s="542"/>
      <c r="Q63" s="541"/>
      <c r="R63" s="543"/>
      <c r="S63" s="542"/>
      <c r="T63" s="541"/>
      <c r="U63" s="544"/>
      <c r="V63" s="542"/>
      <c r="W63" s="541"/>
      <c r="X63" s="224"/>
      <c r="Y63" s="222"/>
      <c r="Z63" s="224"/>
      <c r="AA63" s="46"/>
    </row>
    <row r="64" spans="2:27" x14ac:dyDescent="0.2">
      <c r="B64" s="166">
        <f>'1. LDC Info'!$F$27-8</f>
        <v>2008</v>
      </c>
      <c r="C64" s="44" t="s">
        <v>115</v>
      </c>
      <c r="D64" s="523"/>
      <c r="E64" s="541"/>
      <c r="F64" s="543"/>
      <c r="G64" s="541"/>
      <c r="H64" s="544"/>
      <c r="I64" s="541"/>
      <c r="J64" s="544"/>
      <c r="K64" s="541"/>
      <c r="L64" s="523"/>
      <c r="M64" s="542"/>
      <c r="N64" s="541"/>
      <c r="O64" s="523"/>
      <c r="P64" s="542"/>
      <c r="Q64" s="541"/>
      <c r="R64" s="543"/>
      <c r="S64" s="542"/>
      <c r="T64" s="541"/>
      <c r="U64" s="544"/>
      <c r="V64" s="542"/>
      <c r="W64" s="541"/>
      <c r="X64" s="224"/>
      <c r="Y64" s="222"/>
      <c r="Z64" s="224"/>
      <c r="AA64" s="46"/>
    </row>
    <row r="65" spans="2:27" x14ac:dyDescent="0.2">
      <c r="B65" s="166">
        <f>'1. LDC Info'!$F$27-8</f>
        <v>2008</v>
      </c>
      <c r="C65" s="44" t="s">
        <v>116</v>
      </c>
      <c r="D65" s="523"/>
      <c r="E65" s="541"/>
      <c r="F65" s="543"/>
      <c r="G65" s="541"/>
      <c r="H65" s="544"/>
      <c r="I65" s="541"/>
      <c r="J65" s="544"/>
      <c r="K65" s="541"/>
      <c r="L65" s="523"/>
      <c r="M65" s="542"/>
      <c r="N65" s="541"/>
      <c r="O65" s="523"/>
      <c r="P65" s="542"/>
      <c r="Q65" s="541"/>
      <c r="R65" s="543"/>
      <c r="S65" s="542"/>
      <c r="T65" s="541"/>
      <c r="U65" s="544"/>
      <c r="V65" s="542"/>
      <c r="W65" s="541"/>
      <c r="X65" s="224"/>
      <c r="Y65" s="222"/>
      <c r="Z65" s="224"/>
      <c r="AA65" s="46"/>
    </row>
    <row r="66" spans="2:27" x14ac:dyDescent="0.2">
      <c r="B66" s="166">
        <f>'1. LDC Info'!$F$27-8</f>
        <v>2008</v>
      </c>
      <c r="C66" s="44" t="s">
        <v>117</v>
      </c>
      <c r="D66" s="523"/>
      <c r="E66" s="541"/>
      <c r="F66" s="543"/>
      <c r="G66" s="541"/>
      <c r="H66" s="544"/>
      <c r="I66" s="541"/>
      <c r="J66" s="544"/>
      <c r="K66" s="541"/>
      <c r="L66" s="523"/>
      <c r="M66" s="542"/>
      <c r="N66" s="541"/>
      <c r="O66" s="523"/>
      <c r="P66" s="542"/>
      <c r="Q66" s="541"/>
      <c r="R66" s="543"/>
      <c r="S66" s="542"/>
      <c r="T66" s="541"/>
      <c r="U66" s="544"/>
      <c r="V66" s="542"/>
      <c r="W66" s="541"/>
      <c r="X66" s="224"/>
      <c r="Y66" s="222"/>
      <c r="Z66" s="224"/>
      <c r="AA66" s="46"/>
    </row>
    <row r="67" spans="2:27" x14ac:dyDescent="0.2">
      <c r="B67" s="166">
        <f>'1. LDC Info'!$F$27-8</f>
        <v>2008</v>
      </c>
      <c r="C67" s="44" t="s">
        <v>118</v>
      </c>
      <c r="D67" s="523"/>
      <c r="E67" s="541"/>
      <c r="F67" s="543"/>
      <c r="G67" s="541"/>
      <c r="H67" s="544"/>
      <c r="I67" s="541"/>
      <c r="J67" s="544"/>
      <c r="K67" s="541"/>
      <c r="L67" s="523"/>
      <c r="M67" s="542"/>
      <c r="N67" s="541"/>
      <c r="O67" s="523"/>
      <c r="P67" s="542"/>
      <c r="Q67" s="541"/>
      <c r="R67" s="543"/>
      <c r="S67" s="542"/>
      <c r="T67" s="541"/>
      <c r="U67" s="544"/>
      <c r="V67" s="542"/>
      <c r="W67" s="541"/>
      <c r="X67" s="224"/>
      <c r="Y67" s="222"/>
      <c r="Z67" s="224"/>
      <c r="AA67" s="46"/>
    </row>
    <row r="68" spans="2:27" x14ac:dyDescent="0.2">
      <c r="B68" s="166">
        <f>'1. LDC Info'!$F$27-8</f>
        <v>2008</v>
      </c>
      <c r="C68" s="44" t="s">
        <v>119</v>
      </c>
      <c r="D68" s="523"/>
      <c r="E68" s="541"/>
      <c r="F68" s="543"/>
      <c r="G68" s="541"/>
      <c r="H68" s="544"/>
      <c r="I68" s="541"/>
      <c r="J68" s="544"/>
      <c r="K68" s="541"/>
      <c r="L68" s="523"/>
      <c r="M68" s="542"/>
      <c r="N68" s="541"/>
      <c r="O68" s="523"/>
      <c r="P68" s="542"/>
      <c r="Q68" s="541"/>
      <c r="R68" s="543"/>
      <c r="S68" s="542"/>
      <c r="T68" s="541"/>
      <c r="U68" s="544"/>
      <c r="V68" s="542"/>
      <c r="W68" s="541"/>
      <c r="X68" s="224"/>
      <c r="Y68" s="222"/>
      <c r="Z68" s="224"/>
      <c r="AA68" s="46"/>
    </row>
    <row r="69" spans="2:27" x14ac:dyDescent="0.2">
      <c r="B69" s="166">
        <f>'1. LDC Info'!$F$27-8</f>
        <v>2008</v>
      </c>
      <c r="C69" s="44" t="s">
        <v>109</v>
      </c>
      <c r="D69" s="523"/>
      <c r="E69" s="541"/>
      <c r="F69" s="543"/>
      <c r="G69" s="541"/>
      <c r="H69" s="544"/>
      <c r="I69" s="541"/>
      <c r="J69" s="544"/>
      <c r="K69" s="541"/>
      <c r="L69" s="523"/>
      <c r="M69" s="542"/>
      <c r="N69" s="541"/>
      <c r="O69" s="523"/>
      <c r="P69" s="542"/>
      <c r="Q69" s="541"/>
      <c r="R69" s="543"/>
      <c r="S69" s="542"/>
      <c r="T69" s="541"/>
      <c r="U69" s="544"/>
      <c r="V69" s="542"/>
      <c r="W69" s="541"/>
      <c r="X69" s="224"/>
      <c r="Y69" s="222"/>
      <c r="Z69" s="224"/>
      <c r="AA69" s="46"/>
    </row>
    <row r="70" spans="2:27" x14ac:dyDescent="0.2">
      <c r="B70" s="166">
        <f>'1. LDC Info'!$F$27-8</f>
        <v>2008</v>
      </c>
      <c r="C70" s="44" t="s">
        <v>110</v>
      </c>
      <c r="D70" s="523"/>
      <c r="E70" s="541"/>
      <c r="F70" s="543"/>
      <c r="G70" s="541"/>
      <c r="H70" s="544"/>
      <c r="I70" s="541"/>
      <c r="J70" s="544"/>
      <c r="K70" s="541"/>
      <c r="L70" s="523"/>
      <c r="M70" s="542"/>
      <c r="N70" s="541"/>
      <c r="O70" s="523"/>
      <c r="P70" s="542"/>
      <c r="Q70" s="541"/>
      <c r="R70" s="543"/>
      <c r="S70" s="542"/>
      <c r="T70" s="541"/>
      <c r="U70" s="544"/>
      <c r="V70" s="542"/>
      <c r="W70" s="541"/>
      <c r="X70" s="224"/>
      <c r="Y70" s="222"/>
      <c r="Z70" s="224"/>
      <c r="AA70" s="46"/>
    </row>
    <row r="71" spans="2:27" x14ac:dyDescent="0.2">
      <c r="B71" s="166">
        <f>'1. LDC Info'!$F$27-8</f>
        <v>2008</v>
      </c>
      <c r="C71" s="44" t="s">
        <v>111</v>
      </c>
      <c r="D71" s="523"/>
      <c r="E71" s="541"/>
      <c r="F71" s="543"/>
      <c r="G71" s="541"/>
      <c r="H71" s="544"/>
      <c r="I71" s="541"/>
      <c r="J71" s="544"/>
      <c r="K71" s="541"/>
      <c r="L71" s="523"/>
      <c r="M71" s="542"/>
      <c r="N71" s="541"/>
      <c r="O71" s="523"/>
      <c r="P71" s="542"/>
      <c r="Q71" s="541"/>
      <c r="R71" s="543"/>
      <c r="S71" s="542"/>
      <c r="T71" s="541"/>
      <c r="U71" s="544"/>
      <c r="V71" s="542"/>
      <c r="W71" s="541"/>
      <c r="X71" s="224"/>
      <c r="Y71" s="222"/>
      <c r="Z71" s="224"/>
      <c r="AA71" s="46"/>
    </row>
    <row r="72" spans="2:27" x14ac:dyDescent="0.2">
      <c r="B72" s="166">
        <f>'1. LDC Info'!$F$27-8</f>
        <v>2008</v>
      </c>
      <c r="C72" s="44" t="s">
        <v>108</v>
      </c>
      <c r="D72" s="523">
        <v>78894594</v>
      </c>
      <c r="E72" s="541">
        <v>8809</v>
      </c>
      <c r="F72" s="523">
        <v>35801702</v>
      </c>
      <c r="G72" s="541">
        <v>1409</v>
      </c>
      <c r="H72" s="543">
        <v>386944</v>
      </c>
      <c r="I72" s="541">
        <v>20</v>
      </c>
      <c r="J72" s="543"/>
      <c r="K72" s="541"/>
      <c r="L72" s="523">
        <v>78693630</v>
      </c>
      <c r="M72" s="542">
        <v>202855</v>
      </c>
      <c r="N72" s="541">
        <v>143</v>
      </c>
      <c r="O72" s="523">
        <v>2370504</v>
      </c>
      <c r="P72" s="542">
        <v>6728</v>
      </c>
      <c r="Q72" s="541">
        <v>2653</v>
      </c>
      <c r="R72" s="543">
        <v>262124</v>
      </c>
      <c r="S72" s="542">
        <v>751</v>
      </c>
      <c r="T72" s="541">
        <v>226</v>
      </c>
      <c r="U72" s="543"/>
      <c r="V72" s="542"/>
      <c r="W72" s="541"/>
      <c r="X72" s="224"/>
      <c r="Y72" s="222"/>
      <c r="Z72" s="224"/>
      <c r="AA72" s="46"/>
    </row>
    <row r="73" spans="2:27" x14ac:dyDescent="0.2">
      <c r="B73" s="166">
        <f>'1. LDC Info'!$F$27-7</f>
        <v>2009</v>
      </c>
      <c r="C73" s="44" t="s">
        <v>112</v>
      </c>
      <c r="D73" s="523"/>
      <c r="E73" s="541"/>
      <c r="F73" s="543"/>
      <c r="G73" s="541"/>
      <c r="H73" s="544"/>
      <c r="I73" s="541"/>
      <c r="J73" s="544"/>
      <c r="K73" s="541"/>
      <c r="L73" s="523"/>
      <c r="M73" s="542"/>
      <c r="N73" s="541"/>
      <c r="O73" s="523"/>
      <c r="P73" s="542"/>
      <c r="Q73" s="541"/>
      <c r="R73" s="543"/>
      <c r="S73" s="542"/>
      <c r="T73" s="541"/>
      <c r="U73" s="544"/>
      <c r="V73" s="542"/>
      <c r="W73" s="541"/>
      <c r="X73" s="224"/>
      <c r="Y73" s="222"/>
      <c r="Z73" s="224"/>
      <c r="AA73" s="46"/>
    </row>
    <row r="74" spans="2:27" x14ac:dyDescent="0.2">
      <c r="B74" s="166">
        <f>'1. LDC Info'!$F$27-7</f>
        <v>2009</v>
      </c>
      <c r="C74" s="44" t="s">
        <v>113</v>
      </c>
      <c r="D74" s="523"/>
      <c r="E74" s="541"/>
      <c r="F74" s="543"/>
      <c r="G74" s="541"/>
      <c r="H74" s="544"/>
      <c r="I74" s="541"/>
      <c r="J74" s="544"/>
      <c r="K74" s="541"/>
      <c r="L74" s="523"/>
      <c r="M74" s="542"/>
      <c r="N74" s="541"/>
      <c r="O74" s="523"/>
      <c r="P74" s="542"/>
      <c r="Q74" s="541"/>
      <c r="R74" s="543"/>
      <c r="S74" s="542"/>
      <c r="T74" s="541"/>
      <c r="U74" s="544"/>
      <c r="V74" s="542"/>
      <c r="W74" s="541"/>
      <c r="X74" s="224"/>
      <c r="Y74" s="222"/>
      <c r="Z74" s="224"/>
      <c r="AA74" s="46"/>
    </row>
    <row r="75" spans="2:27" x14ac:dyDescent="0.2">
      <c r="B75" s="166">
        <f>'1. LDC Info'!$F$27-7</f>
        <v>2009</v>
      </c>
      <c r="C75" s="44" t="s">
        <v>114</v>
      </c>
      <c r="D75" s="523"/>
      <c r="E75" s="541"/>
      <c r="F75" s="543"/>
      <c r="G75" s="541"/>
      <c r="H75" s="544"/>
      <c r="I75" s="541"/>
      <c r="J75" s="544"/>
      <c r="K75" s="541"/>
      <c r="L75" s="523"/>
      <c r="M75" s="542"/>
      <c r="N75" s="541"/>
      <c r="O75" s="523"/>
      <c r="P75" s="542"/>
      <c r="Q75" s="541"/>
      <c r="R75" s="543"/>
      <c r="S75" s="542"/>
      <c r="T75" s="541"/>
      <c r="U75" s="544"/>
      <c r="V75" s="542"/>
      <c r="W75" s="541"/>
      <c r="X75" s="224"/>
      <c r="Y75" s="222"/>
      <c r="Z75" s="224"/>
      <c r="AA75" s="46"/>
    </row>
    <row r="76" spans="2:27" x14ac:dyDescent="0.2">
      <c r="B76" s="166">
        <f>'1. LDC Info'!$F$27-7</f>
        <v>2009</v>
      </c>
      <c r="C76" s="44" t="s">
        <v>115</v>
      </c>
      <c r="D76" s="523"/>
      <c r="E76" s="541"/>
      <c r="F76" s="543"/>
      <c r="G76" s="541"/>
      <c r="H76" s="544"/>
      <c r="I76" s="541"/>
      <c r="J76" s="544"/>
      <c r="K76" s="541"/>
      <c r="L76" s="523"/>
      <c r="M76" s="542"/>
      <c r="N76" s="541"/>
      <c r="O76" s="523"/>
      <c r="P76" s="542"/>
      <c r="Q76" s="541"/>
      <c r="R76" s="543"/>
      <c r="S76" s="542"/>
      <c r="T76" s="541"/>
      <c r="U76" s="544"/>
      <c r="V76" s="542"/>
      <c r="W76" s="541"/>
      <c r="X76" s="224"/>
      <c r="Y76" s="222"/>
      <c r="Z76" s="224"/>
      <c r="AA76" s="46"/>
    </row>
    <row r="77" spans="2:27" x14ac:dyDescent="0.2">
      <c r="B77" s="166">
        <f>'1. LDC Info'!$F$27-7</f>
        <v>2009</v>
      </c>
      <c r="C77" s="44" t="s">
        <v>116</v>
      </c>
      <c r="D77" s="523"/>
      <c r="E77" s="541"/>
      <c r="F77" s="543"/>
      <c r="G77" s="541"/>
      <c r="H77" s="544"/>
      <c r="I77" s="541"/>
      <c r="J77" s="544"/>
      <c r="K77" s="541"/>
      <c r="L77" s="523"/>
      <c r="M77" s="542"/>
      <c r="N77" s="541"/>
      <c r="O77" s="523"/>
      <c r="P77" s="542"/>
      <c r="Q77" s="541"/>
      <c r="R77" s="543"/>
      <c r="S77" s="542"/>
      <c r="T77" s="541"/>
      <c r="U77" s="544"/>
      <c r="V77" s="542"/>
      <c r="W77" s="541"/>
      <c r="X77" s="224"/>
      <c r="Y77" s="222"/>
      <c r="Z77" s="224"/>
      <c r="AA77" s="46"/>
    </row>
    <row r="78" spans="2:27" x14ac:dyDescent="0.2">
      <c r="B78" s="166">
        <f>'1. LDC Info'!$F$27-7</f>
        <v>2009</v>
      </c>
      <c r="C78" s="44" t="s">
        <v>117</v>
      </c>
      <c r="D78" s="523"/>
      <c r="E78" s="541"/>
      <c r="F78" s="543"/>
      <c r="G78" s="541"/>
      <c r="H78" s="544"/>
      <c r="I78" s="541"/>
      <c r="J78" s="544"/>
      <c r="K78" s="541"/>
      <c r="L78" s="523"/>
      <c r="M78" s="542"/>
      <c r="N78" s="541"/>
      <c r="O78" s="523"/>
      <c r="P78" s="542"/>
      <c r="Q78" s="541"/>
      <c r="R78" s="543"/>
      <c r="S78" s="542"/>
      <c r="T78" s="541"/>
      <c r="U78" s="544"/>
      <c r="V78" s="542"/>
      <c r="W78" s="541"/>
      <c r="X78" s="224"/>
      <c r="Y78" s="222"/>
      <c r="Z78" s="224"/>
      <c r="AA78" s="46"/>
    </row>
    <row r="79" spans="2:27" x14ac:dyDescent="0.2">
      <c r="B79" s="166">
        <f>'1. LDC Info'!$F$27-7</f>
        <v>2009</v>
      </c>
      <c r="C79" s="44" t="s">
        <v>118</v>
      </c>
      <c r="D79" s="523"/>
      <c r="E79" s="541"/>
      <c r="F79" s="543"/>
      <c r="G79" s="541"/>
      <c r="H79" s="544"/>
      <c r="I79" s="541"/>
      <c r="J79" s="544"/>
      <c r="K79" s="541"/>
      <c r="L79" s="523"/>
      <c r="M79" s="542"/>
      <c r="N79" s="541"/>
      <c r="O79" s="523"/>
      <c r="P79" s="542"/>
      <c r="Q79" s="541"/>
      <c r="R79" s="543"/>
      <c r="S79" s="542"/>
      <c r="T79" s="541"/>
      <c r="U79" s="544"/>
      <c r="V79" s="542"/>
      <c r="W79" s="541"/>
      <c r="X79" s="224"/>
      <c r="Y79" s="222"/>
      <c r="Z79" s="224"/>
      <c r="AA79" s="46"/>
    </row>
    <row r="80" spans="2:27" x14ac:dyDescent="0.2">
      <c r="B80" s="166">
        <f>'1. LDC Info'!$F$27-7</f>
        <v>2009</v>
      </c>
      <c r="C80" s="44" t="s">
        <v>119</v>
      </c>
      <c r="D80" s="523"/>
      <c r="E80" s="541"/>
      <c r="F80" s="543"/>
      <c r="G80" s="541"/>
      <c r="H80" s="544"/>
      <c r="I80" s="541"/>
      <c r="J80" s="544"/>
      <c r="K80" s="541"/>
      <c r="L80" s="523"/>
      <c r="M80" s="542"/>
      <c r="N80" s="541"/>
      <c r="O80" s="523"/>
      <c r="P80" s="542"/>
      <c r="Q80" s="541"/>
      <c r="R80" s="543"/>
      <c r="S80" s="542"/>
      <c r="T80" s="541"/>
      <c r="U80" s="544"/>
      <c r="V80" s="542"/>
      <c r="W80" s="541"/>
      <c r="X80" s="224"/>
      <c r="Y80" s="222"/>
      <c r="Z80" s="224"/>
      <c r="AA80" s="46"/>
    </row>
    <row r="81" spans="2:27" x14ac:dyDescent="0.2">
      <c r="B81" s="166">
        <f>'1. LDC Info'!$F$27-7</f>
        <v>2009</v>
      </c>
      <c r="C81" s="44" t="s">
        <v>109</v>
      </c>
      <c r="D81" s="523"/>
      <c r="E81" s="541"/>
      <c r="F81" s="543"/>
      <c r="G81" s="541"/>
      <c r="H81" s="544"/>
      <c r="I81" s="541"/>
      <c r="J81" s="544"/>
      <c r="K81" s="541"/>
      <c r="L81" s="523"/>
      <c r="M81" s="542"/>
      <c r="N81" s="541"/>
      <c r="O81" s="523"/>
      <c r="P81" s="542"/>
      <c r="Q81" s="541"/>
      <c r="R81" s="543"/>
      <c r="S81" s="542"/>
      <c r="T81" s="541"/>
      <c r="U81" s="544"/>
      <c r="V81" s="542"/>
      <c r="W81" s="541"/>
      <c r="X81" s="224"/>
      <c r="Y81" s="222"/>
      <c r="Z81" s="224"/>
      <c r="AA81" s="46"/>
    </row>
    <row r="82" spans="2:27" x14ac:dyDescent="0.2">
      <c r="B82" s="166">
        <f>'1. LDC Info'!$F$27-7</f>
        <v>2009</v>
      </c>
      <c r="C82" s="44" t="s">
        <v>110</v>
      </c>
      <c r="D82" s="523"/>
      <c r="E82" s="541"/>
      <c r="F82" s="543"/>
      <c r="G82" s="541"/>
      <c r="H82" s="544"/>
      <c r="I82" s="541"/>
      <c r="J82" s="544"/>
      <c r="K82" s="541"/>
      <c r="L82" s="523"/>
      <c r="M82" s="542"/>
      <c r="N82" s="541"/>
      <c r="O82" s="523"/>
      <c r="P82" s="542"/>
      <c r="Q82" s="541"/>
      <c r="R82" s="543"/>
      <c r="S82" s="542"/>
      <c r="T82" s="541"/>
      <c r="U82" s="544"/>
      <c r="V82" s="542"/>
      <c r="W82" s="541"/>
      <c r="X82" s="224"/>
      <c r="Y82" s="222"/>
      <c r="Z82" s="224"/>
      <c r="AA82" s="46"/>
    </row>
    <row r="83" spans="2:27" x14ac:dyDescent="0.2">
      <c r="B83" s="166">
        <f>'1. LDC Info'!$F$27-7</f>
        <v>2009</v>
      </c>
      <c r="C83" s="44" t="s">
        <v>111</v>
      </c>
      <c r="D83" s="523"/>
      <c r="E83" s="541"/>
      <c r="F83" s="543"/>
      <c r="G83" s="541"/>
      <c r="H83" s="544"/>
      <c r="I83" s="541"/>
      <c r="J83" s="544"/>
      <c r="K83" s="541"/>
      <c r="L83" s="523"/>
      <c r="M83" s="542"/>
      <c r="N83" s="541"/>
      <c r="O83" s="523"/>
      <c r="P83" s="542"/>
      <c r="Q83" s="541"/>
      <c r="R83" s="543"/>
      <c r="S83" s="542"/>
      <c r="T83" s="541"/>
      <c r="U83" s="544"/>
      <c r="V83" s="542"/>
      <c r="W83" s="541"/>
      <c r="X83" s="224"/>
      <c r="Y83" s="222"/>
      <c r="Z83" s="224"/>
      <c r="AA83" s="46"/>
    </row>
    <row r="84" spans="2:27" x14ac:dyDescent="0.2">
      <c r="B84" s="166">
        <f>'1. LDC Info'!$F$27-7</f>
        <v>2009</v>
      </c>
      <c r="C84" s="44" t="s">
        <v>108</v>
      </c>
      <c r="D84" s="523">
        <v>76058961.349999994</v>
      </c>
      <c r="E84" s="541">
        <v>8941</v>
      </c>
      <c r="F84" s="523">
        <v>34198078.359999999</v>
      </c>
      <c r="G84" s="541">
        <v>1394</v>
      </c>
      <c r="H84" s="543">
        <v>437952.27</v>
      </c>
      <c r="I84" s="541">
        <v>20</v>
      </c>
      <c r="J84" s="543"/>
      <c r="K84" s="541"/>
      <c r="L84" s="523">
        <v>78622635.780000001</v>
      </c>
      <c r="M84" s="542">
        <v>209853</v>
      </c>
      <c r="N84" s="541">
        <v>144</v>
      </c>
      <c r="O84" s="523">
        <v>2414486.62</v>
      </c>
      <c r="P84" s="542">
        <v>6652</v>
      </c>
      <c r="Q84" s="541">
        <v>2701</v>
      </c>
      <c r="R84" s="543">
        <v>265370.21000000002</v>
      </c>
      <c r="S84" s="542">
        <v>756</v>
      </c>
      <c r="T84" s="541">
        <v>226</v>
      </c>
      <c r="U84" s="543"/>
      <c r="V84" s="542"/>
      <c r="W84" s="541"/>
      <c r="X84" s="224"/>
      <c r="Y84" s="222"/>
      <c r="Z84" s="224"/>
      <c r="AA84" s="46"/>
    </row>
    <row r="85" spans="2:27" x14ac:dyDescent="0.2">
      <c r="B85" s="166">
        <f>'1. LDC Info'!$F$27-6</f>
        <v>2010</v>
      </c>
      <c r="C85" s="44" t="s">
        <v>112</v>
      </c>
      <c r="D85" s="523"/>
      <c r="E85" s="541"/>
      <c r="F85" s="523"/>
      <c r="G85" s="541"/>
      <c r="H85" s="544"/>
      <c r="I85" s="541"/>
      <c r="J85" s="544"/>
      <c r="K85" s="541"/>
      <c r="L85" s="523"/>
      <c r="M85" s="524"/>
      <c r="N85" s="541"/>
      <c r="O85" s="523"/>
      <c r="P85" s="524"/>
      <c r="Q85" s="541"/>
      <c r="R85" s="543"/>
      <c r="S85" s="542"/>
      <c r="T85" s="541"/>
      <c r="U85" s="544"/>
      <c r="V85" s="542"/>
      <c r="W85" s="541"/>
      <c r="X85" s="224"/>
      <c r="Y85" s="222"/>
      <c r="Z85" s="224"/>
      <c r="AA85" s="46"/>
    </row>
    <row r="86" spans="2:27" x14ac:dyDescent="0.2">
      <c r="B86" s="166">
        <f>'1. LDC Info'!$F$27-6</f>
        <v>2010</v>
      </c>
      <c r="C86" s="44" t="s">
        <v>113</v>
      </c>
      <c r="D86" s="523"/>
      <c r="E86" s="541"/>
      <c r="F86" s="523"/>
      <c r="G86" s="541"/>
      <c r="H86" s="544"/>
      <c r="I86" s="541"/>
      <c r="J86" s="544"/>
      <c r="K86" s="541"/>
      <c r="L86" s="523"/>
      <c r="M86" s="524"/>
      <c r="N86" s="541"/>
      <c r="O86" s="523"/>
      <c r="P86" s="524"/>
      <c r="Q86" s="541"/>
      <c r="R86" s="543"/>
      <c r="S86" s="542"/>
      <c r="T86" s="541"/>
      <c r="U86" s="544"/>
      <c r="V86" s="542"/>
      <c r="W86" s="541"/>
      <c r="X86" s="224"/>
      <c r="Y86" s="222"/>
      <c r="Z86" s="224"/>
      <c r="AA86" s="46"/>
    </row>
    <row r="87" spans="2:27" x14ac:dyDescent="0.2">
      <c r="B87" s="166">
        <f>'1. LDC Info'!$F$27-6</f>
        <v>2010</v>
      </c>
      <c r="C87" s="44" t="s">
        <v>114</v>
      </c>
      <c r="D87" s="523"/>
      <c r="E87" s="541"/>
      <c r="F87" s="523"/>
      <c r="G87" s="541"/>
      <c r="H87" s="544"/>
      <c r="I87" s="541"/>
      <c r="J87" s="544"/>
      <c r="K87" s="541"/>
      <c r="L87" s="523"/>
      <c r="M87" s="524"/>
      <c r="N87" s="541"/>
      <c r="O87" s="523"/>
      <c r="P87" s="524"/>
      <c r="Q87" s="541"/>
      <c r="R87" s="543"/>
      <c r="S87" s="542"/>
      <c r="T87" s="541"/>
      <c r="U87" s="544"/>
      <c r="V87" s="542"/>
      <c r="W87" s="541"/>
      <c r="X87" s="224"/>
      <c r="Y87" s="222"/>
      <c r="Z87" s="224"/>
      <c r="AA87" s="46"/>
    </row>
    <row r="88" spans="2:27" x14ac:dyDescent="0.2">
      <c r="B88" s="166">
        <f>'1. LDC Info'!$F$27-6</f>
        <v>2010</v>
      </c>
      <c r="C88" s="44" t="s">
        <v>115</v>
      </c>
      <c r="D88" s="523"/>
      <c r="E88" s="541"/>
      <c r="F88" s="523"/>
      <c r="G88" s="541"/>
      <c r="H88" s="544"/>
      <c r="I88" s="541"/>
      <c r="J88" s="544"/>
      <c r="K88" s="541"/>
      <c r="L88" s="523"/>
      <c r="M88" s="524"/>
      <c r="N88" s="541"/>
      <c r="O88" s="523"/>
      <c r="P88" s="524"/>
      <c r="Q88" s="541"/>
      <c r="R88" s="543"/>
      <c r="S88" s="542"/>
      <c r="T88" s="541"/>
      <c r="U88" s="544"/>
      <c r="V88" s="542"/>
      <c r="W88" s="541"/>
      <c r="X88" s="224"/>
      <c r="Y88" s="222"/>
      <c r="Z88" s="224"/>
      <c r="AA88" s="46"/>
    </row>
    <row r="89" spans="2:27" x14ac:dyDescent="0.2">
      <c r="B89" s="166">
        <f>'1. LDC Info'!$F$27-6</f>
        <v>2010</v>
      </c>
      <c r="C89" s="44" t="s">
        <v>116</v>
      </c>
      <c r="D89" s="523"/>
      <c r="E89" s="541"/>
      <c r="F89" s="523"/>
      <c r="G89" s="541"/>
      <c r="H89" s="544"/>
      <c r="I89" s="541"/>
      <c r="J89" s="544"/>
      <c r="K89" s="541"/>
      <c r="L89" s="523"/>
      <c r="M89" s="524"/>
      <c r="N89" s="541"/>
      <c r="O89" s="523"/>
      <c r="P89" s="524"/>
      <c r="Q89" s="541"/>
      <c r="R89" s="543"/>
      <c r="S89" s="542"/>
      <c r="T89" s="541"/>
      <c r="U89" s="544"/>
      <c r="V89" s="542"/>
      <c r="W89" s="541"/>
      <c r="X89" s="224"/>
      <c r="Y89" s="222"/>
      <c r="Z89" s="224"/>
      <c r="AA89" s="46"/>
    </row>
    <row r="90" spans="2:27" x14ac:dyDescent="0.2">
      <c r="B90" s="166">
        <f>'1. LDC Info'!$F$27-6</f>
        <v>2010</v>
      </c>
      <c r="C90" s="44" t="s">
        <v>117</v>
      </c>
      <c r="D90" s="523"/>
      <c r="E90" s="541"/>
      <c r="F90" s="523"/>
      <c r="G90" s="541"/>
      <c r="H90" s="544"/>
      <c r="I90" s="541"/>
      <c r="J90" s="544"/>
      <c r="K90" s="541"/>
      <c r="L90" s="523"/>
      <c r="M90" s="524"/>
      <c r="N90" s="541"/>
      <c r="O90" s="523"/>
      <c r="P90" s="524"/>
      <c r="Q90" s="541"/>
      <c r="R90" s="543"/>
      <c r="S90" s="542"/>
      <c r="T90" s="541"/>
      <c r="U90" s="544"/>
      <c r="V90" s="542"/>
      <c r="W90" s="541"/>
      <c r="X90" s="224"/>
      <c r="Y90" s="222"/>
      <c r="Z90" s="224"/>
      <c r="AA90" s="46"/>
    </row>
    <row r="91" spans="2:27" x14ac:dyDescent="0.2">
      <c r="B91" s="166">
        <f>'1. LDC Info'!$F$27-6</f>
        <v>2010</v>
      </c>
      <c r="C91" s="44" t="s">
        <v>118</v>
      </c>
      <c r="D91" s="523"/>
      <c r="E91" s="541"/>
      <c r="F91" s="523"/>
      <c r="G91" s="541"/>
      <c r="H91" s="544"/>
      <c r="I91" s="541"/>
      <c r="J91" s="544"/>
      <c r="K91" s="541"/>
      <c r="L91" s="523"/>
      <c r="M91" s="524"/>
      <c r="N91" s="541"/>
      <c r="O91" s="523"/>
      <c r="P91" s="524"/>
      <c r="Q91" s="541"/>
      <c r="R91" s="543"/>
      <c r="S91" s="542"/>
      <c r="T91" s="541"/>
      <c r="U91" s="544"/>
      <c r="V91" s="542"/>
      <c r="W91" s="541"/>
      <c r="X91" s="224"/>
      <c r="Y91" s="222"/>
      <c r="Z91" s="224"/>
      <c r="AA91" s="46"/>
    </row>
    <row r="92" spans="2:27" x14ac:dyDescent="0.2">
      <c r="B92" s="166">
        <f>'1. LDC Info'!$F$27-6</f>
        <v>2010</v>
      </c>
      <c r="C92" s="44" t="s">
        <v>119</v>
      </c>
      <c r="D92" s="523"/>
      <c r="E92" s="541"/>
      <c r="F92" s="523"/>
      <c r="G92" s="541"/>
      <c r="H92" s="544"/>
      <c r="I92" s="541"/>
      <c r="J92" s="544"/>
      <c r="K92" s="541"/>
      <c r="L92" s="523"/>
      <c r="M92" s="524"/>
      <c r="N92" s="541"/>
      <c r="O92" s="523"/>
      <c r="P92" s="524"/>
      <c r="Q92" s="541"/>
      <c r="R92" s="543"/>
      <c r="S92" s="542"/>
      <c r="T92" s="541"/>
      <c r="U92" s="544"/>
      <c r="V92" s="542"/>
      <c r="W92" s="541"/>
      <c r="X92" s="224"/>
      <c r="Y92" s="222"/>
      <c r="Z92" s="224"/>
      <c r="AA92" s="46"/>
    </row>
    <row r="93" spans="2:27" x14ac:dyDescent="0.2">
      <c r="B93" s="166">
        <f>'1. LDC Info'!$F$27-6</f>
        <v>2010</v>
      </c>
      <c r="C93" s="44" t="s">
        <v>109</v>
      </c>
      <c r="D93" s="523"/>
      <c r="E93" s="541"/>
      <c r="F93" s="523"/>
      <c r="G93" s="541"/>
      <c r="H93" s="544"/>
      <c r="I93" s="541"/>
      <c r="J93" s="544"/>
      <c r="K93" s="541"/>
      <c r="L93" s="523"/>
      <c r="M93" s="524"/>
      <c r="N93" s="541"/>
      <c r="O93" s="523"/>
      <c r="P93" s="524"/>
      <c r="Q93" s="541"/>
      <c r="R93" s="543"/>
      <c r="S93" s="542"/>
      <c r="T93" s="541"/>
      <c r="U93" s="544"/>
      <c r="V93" s="542"/>
      <c r="W93" s="541"/>
      <c r="X93" s="224"/>
      <c r="Y93" s="222"/>
      <c r="Z93" s="224"/>
      <c r="AA93" s="46"/>
    </row>
    <row r="94" spans="2:27" x14ac:dyDescent="0.2">
      <c r="B94" s="166">
        <f>'1. LDC Info'!$F$27-6</f>
        <v>2010</v>
      </c>
      <c r="C94" s="44" t="s">
        <v>110</v>
      </c>
      <c r="D94" s="523"/>
      <c r="E94" s="541"/>
      <c r="F94" s="523"/>
      <c r="G94" s="541"/>
      <c r="H94" s="544"/>
      <c r="I94" s="541"/>
      <c r="J94" s="544"/>
      <c r="K94" s="541"/>
      <c r="L94" s="523"/>
      <c r="M94" s="524"/>
      <c r="N94" s="541"/>
      <c r="O94" s="523"/>
      <c r="P94" s="524"/>
      <c r="Q94" s="541"/>
      <c r="R94" s="543"/>
      <c r="S94" s="542"/>
      <c r="T94" s="541"/>
      <c r="U94" s="544"/>
      <c r="V94" s="542"/>
      <c r="W94" s="541"/>
      <c r="X94" s="224"/>
      <c r="Y94" s="222"/>
      <c r="Z94" s="224"/>
      <c r="AA94" s="46"/>
    </row>
    <row r="95" spans="2:27" x14ac:dyDescent="0.2">
      <c r="B95" s="166">
        <f>'1. LDC Info'!$F$27-6</f>
        <v>2010</v>
      </c>
      <c r="C95" s="44" t="s">
        <v>111</v>
      </c>
      <c r="D95" s="523"/>
      <c r="E95" s="541"/>
      <c r="F95" s="523"/>
      <c r="G95" s="541"/>
      <c r="H95" s="544"/>
      <c r="I95" s="541"/>
      <c r="J95" s="544"/>
      <c r="K95" s="541"/>
      <c r="L95" s="523"/>
      <c r="M95" s="524"/>
      <c r="N95" s="541"/>
      <c r="O95" s="523"/>
      <c r="P95" s="524"/>
      <c r="Q95" s="541"/>
      <c r="R95" s="543"/>
      <c r="S95" s="542"/>
      <c r="T95" s="541"/>
      <c r="U95" s="544"/>
      <c r="V95" s="542"/>
      <c r="W95" s="541"/>
      <c r="X95" s="224"/>
      <c r="Y95" s="222"/>
      <c r="Z95" s="224"/>
      <c r="AA95" s="46"/>
    </row>
    <row r="96" spans="2:27" x14ac:dyDescent="0.2">
      <c r="B96" s="166">
        <f>'1. LDC Info'!$F$27-6</f>
        <v>2010</v>
      </c>
      <c r="C96" s="44" t="s">
        <v>108</v>
      </c>
      <c r="D96" s="523">
        <v>75301012.150000006</v>
      </c>
      <c r="E96" s="541">
        <v>8955</v>
      </c>
      <c r="F96" s="523">
        <v>33358216.629999999</v>
      </c>
      <c r="G96" s="541">
        <v>1372</v>
      </c>
      <c r="H96" s="543">
        <v>458526.4</v>
      </c>
      <c r="I96" s="541">
        <v>20</v>
      </c>
      <c r="J96" s="543"/>
      <c r="K96" s="541"/>
      <c r="L96" s="523">
        <v>76510234.719999999</v>
      </c>
      <c r="M96" s="542">
        <v>202775</v>
      </c>
      <c r="N96" s="541">
        <v>148</v>
      </c>
      <c r="O96" s="523">
        <v>2383707.0499999998</v>
      </c>
      <c r="P96" s="542">
        <v>6766</v>
      </c>
      <c r="Q96" s="541">
        <v>2713</v>
      </c>
      <c r="R96" s="543">
        <v>233685.69</v>
      </c>
      <c r="S96" s="542">
        <v>766</v>
      </c>
      <c r="T96" s="541">
        <v>216</v>
      </c>
      <c r="U96" s="543"/>
      <c r="V96" s="542"/>
      <c r="W96" s="541"/>
      <c r="X96" s="224"/>
      <c r="Y96" s="222"/>
      <c r="Z96" s="224"/>
      <c r="AA96" s="46"/>
    </row>
    <row r="97" spans="2:27" x14ac:dyDescent="0.2">
      <c r="B97" s="166">
        <f>'1. LDC Info'!$F$27-5</f>
        <v>2011</v>
      </c>
      <c r="C97" s="44" t="s">
        <v>112</v>
      </c>
      <c r="D97" s="523"/>
      <c r="E97" s="541"/>
      <c r="F97" s="523"/>
      <c r="G97" s="541"/>
      <c r="H97" s="545"/>
      <c r="I97" s="541"/>
      <c r="J97" s="545"/>
      <c r="K97" s="541"/>
      <c r="L97" s="523"/>
      <c r="M97" s="542"/>
      <c r="N97" s="541"/>
      <c r="O97" s="523"/>
      <c r="P97" s="542"/>
      <c r="Q97" s="541"/>
      <c r="R97" s="543"/>
      <c r="S97" s="542"/>
      <c r="T97" s="541"/>
      <c r="U97" s="545"/>
      <c r="V97" s="542"/>
      <c r="W97" s="541"/>
      <c r="X97" s="49"/>
      <c r="Y97" s="222"/>
      <c r="Z97" s="49"/>
      <c r="AA97" s="46"/>
    </row>
    <row r="98" spans="2:27" x14ac:dyDescent="0.2">
      <c r="B98" s="166">
        <f>'1. LDC Info'!$F$27-5</f>
        <v>2011</v>
      </c>
      <c r="C98" s="44" t="s">
        <v>113</v>
      </c>
      <c r="D98" s="523"/>
      <c r="E98" s="541"/>
      <c r="F98" s="523"/>
      <c r="G98" s="541"/>
      <c r="H98" s="545"/>
      <c r="I98" s="541"/>
      <c r="J98" s="545"/>
      <c r="K98" s="541"/>
      <c r="L98" s="523"/>
      <c r="M98" s="542"/>
      <c r="N98" s="541"/>
      <c r="O98" s="523"/>
      <c r="P98" s="542"/>
      <c r="Q98" s="541"/>
      <c r="R98" s="543"/>
      <c r="S98" s="542"/>
      <c r="T98" s="541"/>
      <c r="U98" s="545"/>
      <c r="V98" s="542"/>
      <c r="W98" s="541"/>
      <c r="X98" s="49"/>
      <c r="Y98" s="222"/>
      <c r="Z98" s="49"/>
      <c r="AA98" s="46"/>
    </row>
    <row r="99" spans="2:27" x14ac:dyDescent="0.2">
      <c r="B99" s="166">
        <f>'1. LDC Info'!$F$27-5</f>
        <v>2011</v>
      </c>
      <c r="C99" s="44" t="s">
        <v>114</v>
      </c>
      <c r="D99" s="523"/>
      <c r="E99" s="541"/>
      <c r="F99" s="523"/>
      <c r="G99" s="541"/>
      <c r="H99" s="545"/>
      <c r="I99" s="541"/>
      <c r="J99" s="545"/>
      <c r="K99" s="541"/>
      <c r="L99" s="523"/>
      <c r="M99" s="542"/>
      <c r="N99" s="541"/>
      <c r="O99" s="523"/>
      <c r="P99" s="542"/>
      <c r="Q99" s="541"/>
      <c r="R99" s="543"/>
      <c r="S99" s="542"/>
      <c r="T99" s="541"/>
      <c r="U99" s="545"/>
      <c r="V99" s="542"/>
      <c r="W99" s="541"/>
      <c r="X99" s="49"/>
      <c r="Y99" s="222"/>
      <c r="Z99" s="49"/>
      <c r="AA99" s="46"/>
    </row>
    <row r="100" spans="2:27" x14ac:dyDescent="0.2">
      <c r="B100" s="166">
        <f>'1. LDC Info'!$F$27-5</f>
        <v>2011</v>
      </c>
      <c r="C100" s="44" t="s">
        <v>115</v>
      </c>
      <c r="D100" s="523"/>
      <c r="E100" s="541"/>
      <c r="F100" s="523"/>
      <c r="G100" s="541"/>
      <c r="H100" s="545"/>
      <c r="I100" s="541"/>
      <c r="J100" s="545"/>
      <c r="K100" s="541"/>
      <c r="L100" s="523"/>
      <c r="M100" s="542"/>
      <c r="N100" s="541"/>
      <c r="O100" s="523"/>
      <c r="P100" s="542"/>
      <c r="Q100" s="541"/>
      <c r="R100" s="543"/>
      <c r="S100" s="542"/>
      <c r="T100" s="541"/>
      <c r="U100" s="545"/>
      <c r="V100" s="542"/>
      <c r="W100" s="541"/>
      <c r="X100" s="49"/>
      <c r="Y100" s="222"/>
      <c r="Z100" s="49"/>
      <c r="AA100" s="46"/>
    </row>
    <row r="101" spans="2:27" x14ac:dyDescent="0.2">
      <c r="B101" s="166">
        <f>'1. LDC Info'!$F$27-5</f>
        <v>2011</v>
      </c>
      <c r="C101" s="44" t="s">
        <v>116</v>
      </c>
      <c r="D101" s="523"/>
      <c r="E101" s="541"/>
      <c r="F101" s="523"/>
      <c r="G101" s="541"/>
      <c r="H101" s="545"/>
      <c r="I101" s="541"/>
      <c r="J101" s="545"/>
      <c r="K101" s="541"/>
      <c r="L101" s="523"/>
      <c r="M101" s="542"/>
      <c r="N101" s="541"/>
      <c r="O101" s="523"/>
      <c r="P101" s="542"/>
      <c r="Q101" s="541"/>
      <c r="R101" s="543"/>
      <c r="S101" s="542"/>
      <c r="T101" s="541"/>
      <c r="U101" s="545"/>
      <c r="V101" s="542"/>
      <c r="W101" s="541"/>
      <c r="X101" s="49"/>
      <c r="Y101" s="222"/>
      <c r="Z101" s="49"/>
      <c r="AA101" s="46"/>
    </row>
    <row r="102" spans="2:27" x14ac:dyDescent="0.2">
      <c r="B102" s="166">
        <f>'1. LDC Info'!$F$27-5</f>
        <v>2011</v>
      </c>
      <c r="C102" s="44" t="s">
        <v>117</v>
      </c>
      <c r="D102" s="523"/>
      <c r="E102" s="541"/>
      <c r="F102" s="523"/>
      <c r="G102" s="541"/>
      <c r="H102" s="545"/>
      <c r="I102" s="541"/>
      <c r="J102" s="545"/>
      <c r="K102" s="541"/>
      <c r="L102" s="523"/>
      <c r="M102" s="542"/>
      <c r="N102" s="541"/>
      <c r="O102" s="523"/>
      <c r="P102" s="542"/>
      <c r="Q102" s="541"/>
      <c r="R102" s="543"/>
      <c r="S102" s="542"/>
      <c r="T102" s="541"/>
      <c r="U102" s="545"/>
      <c r="V102" s="542"/>
      <c r="W102" s="541"/>
      <c r="X102" s="49"/>
      <c r="Y102" s="222"/>
      <c r="Z102" s="49"/>
      <c r="AA102" s="46"/>
    </row>
    <row r="103" spans="2:27" x14ac:dyDescent="0.2">
      <c r="B103" s="166">
        <f>'1. LDC Info'!$F$27-5</f>
        <v>2011</v>
      </c>
      <c r="C103" s="44" t="s">
        <v>118</v>
      </c>
      <c r="D103" s="523"/>
      <c r="E103" s="541"/>
      <c r="F103" s="523"/>
      <c r="G103" s="541"/>
      <c r="H103" s="545"/>
      <c r="I103" s="541"/>
      <c r="J103" s="545"/>
      <c r="K103" s="541"/>
      <c r="L103" s="523"/>
      <c r="M103" s="542"/>
      <c r="N103" s="541"/>
      <c r="O103" s="523"/>
      <c r="P103" s="542"/>
      <c r="Q103" s="541"/>
      <c r="R103" s="543"/>
      <c r="S103" s="542"/>
      <c r="T103" s="541"/>
      <c r="U103" s="545"/>
      <c r="V103" s="542"/>
      <c r="W103" s="541"/>
      <c r="X103" s="49"/>
      <c r="Y103" s="222"/>
      <c r="Z103" s="49"/>
      <c r="AA103" s="46"/>
    </row>
    <row r="104" spans="2:27" x14ac:dyDescent="0.2">
      <c r="B104" s="166">
        <f>'1. LDC Info'!$F$27-5</f>
        <v>2011</v>
      </c>
      <c r="C104" s="44" t="s">
        <v>119</v>
      </c>
      <c r="D104" s="523"/>
      <c r="E104" s="541"/>
      <c r="F104" s="523"/>
      <c r="G104" s="541"/>
      <c r="H104" s="545"/>
      <c r="I104" s="541"/>
      <c r="J104" s="545"/>
      <c r="K104" s="541"/>
      <c r="L104" s="523"/>
      <c r="M104" s="542"/>
      <c r="N104" s="541"/>
      <c r="O104" s="523"/>
      <c r="P104" s="542"/>
      <c r="Q104" s="541"/>
      <c r="R104" s="543"/>
      <c r="S104" s="542"/>
      <c r="T104" s="541"/>
      <c r="U104" s="545"/>
      <c r="V104" s="542"/>
      <c r="W104" s="541"/>
      <c r="X104" s="49"/>
      <c r="Y104" s="222"/>
      <c r="Z104" s="49"/>
      <c r="AA104" s="46"/>
    </row>
    <row r="105" spans="2:27" x14ac:dyDescent="0.2">
      <c r="B105" s="166">
        <f>'1. LDC Info'!$F$27-5</f>
        <v>2011</v>
      </c>
      <c r="C105" s="44" t="s">
        <v>109</v>
      </c>
      <c r="D105" s="523"/>
      <c r="E105" s="541"/>
      <c r="F105" s="523"/>
      <c r="G105" s="541"/>
      <c r="H105" s="545"/>
      <c r="I105" s="541"/>
      <c r="J105" s="545"/>
      <c r="K105" s="541"/>
      <c r="L105" s="523"/>
      <c r="M105" s="542"/>
      <c r="N105" s="541"/>
      <c r="O105" s="523"/>
      <c r="P105" s="542"/>
      <c r="Q105" s="541"/>
      <c r="R105" s="543"/>
      <c r="S105" s="542"/>
      <c r="T105" s="541"/>
      <c r="U105" s="545"/>
      <c r="V105" s="542"/>
      <c r="W105" s="541"/>
      <c r="X105" s="49"/>
      <c r="Y105" s="222"/>
      <c r="Z105" s="49"/>
      <c r="AA105" s="46"/>
    </row>
    <row r="106" spans="2:27" x14ac:dyDescent="0.2">
      <c r="B106" s="166">
        <f>'1. LDC Info'!$F$27-5</f>
        <v>2011</v>
      </c>
      <c r="C106" s="44" t="s">
        <v>110</v>
      </c>
      <c r="D106" s="523"/>
      <c r="E106" s="541"/>
      <c r="F106" s="523"/>
      <c r="G106" s="541"/>
      <c r="H106" s="545"/>
      <c r="I106" s="541"/>
      <c r="J106" s="545"/>
      <c r="K106" s="541"/>
      <c r="L106" s="523"/>
      <c r="M106" s="542"/>
      <c r="N106" s="541"/>
      <c r="O106" s="523"/>
      <c r="P106" s="542"/>
      <c r="Q106" s="541"/>
      <c r="R106" s="543"/>
      <c r="S106" s="542"/>
      <c r="T106" s="541"/>
      <c r="U106" s="545"/>
      <c r="V106" s="542"/>
      <c r="W106" s="541"/>
      <c r="X106" s="49"/>
      <c r="Y106" s="222"/>
      <c r="Z106" s="49"/>
      <c r="AA106" s="46"/>
    </row>
    <row r="107" spans="2:27" x14ac:dyDescent="0.2">
      <c r="B107" s="166">
        <f>'1. LDC Info'!$F$27-5</f>
        <v>2011</v>
      </c>
      <c r="C107" s="44" t="s">
        <v>111</v>
      </c>
      <c r="D107" s="523"/>
      <c r="E107" s="541"/>
      <c r="F107" s="523"/>
      <c r="G107" s="541"/>
      <c r="H107" s="545"/>
      <c r="I107" s="541"/>
      <c r="J107" s="545"/>
      <c r="K107" s="541"/>
      <c r="L107" s="523"/>
      <c r="M107" s="542"/>
      <c r="N107" s="541"/>
      <c r="O107" s="523"/>
      <c r="P107" s="542"/>
      <c r="Q107" s="541"/>
      <c r="R107" s="543"/>
      <c r="S107" s="542"/>
      <c r="T107" s="541"/>
      <c r="U107" s="545"/>
      <c r="V107" s="542"/>
      <c r="W107" s="541"/>
      <c r="X107" s="49"/>
      <c r="Y107" s="222"/>
      <c r="Z107" s="49"/>
      <c r="AA107" s="46"/>
    </row>
    <row r="108" spans="2:27" x14ac:dyDescent="0.2">
      <c r="B108" s="166">
        <f>'1. LDC Info'!$F$27-5</f>
        <v>2011</v>
      </c>
      <c r="C108" s="44" t="s">
        <v>108</v>
      </c>
      <c r="D108" s="523">
        <v>79270519.859999999</v>
      </c>
      <c r="E108" s="541">
        <v>9030</v>
      </c>
      <c r="F108" s="523">
        <v>32279016.170000002</v>
      </c>
      <c r="G108" s="541">
        <v>1370</v>
      </c>
      <c r="H108" s="543">
        <v>469307.04</v>
      </c>
      <c r="I108" s="541">
        <v>20</v>
      </c>
      <c r="J108" s="543"/>
      <c r="K108" s="541"/>
      <c r="L108" s="523">
        <v>74853997.430000007</v>
      </c>
      <c r="M108" s="542">
        <v>203575</v>
      </c>
      <c r="N108" s="541">
        <v>145</v>
      </c>
      <c r="O108" s="523">
        <v>2458955</v>
      </c>
      <c r="P108" s="542">
        <v>6840</v>
      </c>
      <c r="Q108" s="541">
        <v>2769</v>
      </c>
      <c r="R108" s="543">
        <v>270899.02</v>
      </c>
      <c r="S108" s="542">
        <v>734</v>
      </c>
      <c r="T108" s="541">
        <v>209</v>
      </c>
      <c r="U108" s="543"/>
      <c r="V108" s="542"/>
      <c r="W108" s="541"/>
      <c r="X108" s="49"/>
      <c r="Y108" s="222"/>
      <c r="Z108" s="49"/>
      <c r="AA108" s="46"/>
    </row>
    <row r="109" spans="2:27" x14ac:dyDescent="0.2">
      <c r="B109" s="166">
        <f>'1. LDC Info'!$F$27-4</f>
        <v>2012</v>
      </c>
      <c r="C109" s="44" t="s">
        <v>112</v>
      </c>
      <c r="D109" s="543"/>
      <c r="E109" s="541">
        <v>9037</v>
      </c>
      <c r="F109" s="543"/>
      <c r="G109" s="541">
        <v>1372</v>
      </c>
      <c r="H109" s="545"/>
      <c r="I109" s="541">
        <v>20</v>
      </c>
      <c r="J109" s="545"/>
      <c r="K109" s="541"/>
      <c r="L109" s="523"/>
      <c r="M109" s="542"/>
      <c r="N109" s="541">
        <v>146</v>
      </c>
      <c r="O109" s="523">
        <v>262300.84999999998</v>
      </c>
      <c r="P109" s="542">
        <v>564.4</v>
      </c>
      <c r="Q109" s="541">
        <v>2769</v>
      </c>
      <c r="R109" s="543"/>
      <c r="S109" s="542"/>
      <c r="T109" s="541">
        <v>209</v>
      </c>
      <c r="U109" s="545"/>
      <c r="V109" s="542"/>
      <c r="W109" s="541"/>
      <c r="X109" s="49"/>
      <c r="Y109" s="222"/>
      <c r="Z109" s="49"/>
      <c r="AA109" s="46"/>
    </row>
    <row r="110" spans="2:27" x14ac:dyDescent="0.2">
      <c r="B110" s="166">
        <f>'1. LDC Info'!$F$27-4</f>
        <v>2012</v>
      </c>
      <c r="C110" s="44" t="s">
        <v>113</v>
      </c>
      <c r="D110" s="543"/>
      <c r="E110" s="541">
        <v>9044</v>
      </c>
      <c r="F110" s="543"/>
      <c r="G110" s="541">
        <v>1368</v>
      </c>
      <c r="H110" s="545"/>
      <c r="I110" s="541">
        <v>20</v>
      </c>
      <c r="J110" s="545"/>
      <c r="K110" s="541"/>
      <c r="L110" s="523"/>
      <c r="M110" s="542"/>
      <c r="N110" s="541">
        <v>144</v>
      </c>
      <c r="O110" s="523">
        <v>255592.26</v>
      </c>
      <c r="P110" s="542">
        <v>564.29999999999995</v>
      </c>
      <c r="Q110" s="541">
        <v>2779</v>
      </c>
      <c r="R110" s="543"/>
      <c r="S110" s="542"/>
      <c r="T110" s="541">
        <v>209</v>
      </c>
      <c r="U110" s="545"/>
      <c r="V110" s="542"/>
      <c r="W110" s="541"/>
      <c r="X110" s="49"/>
      <c r="Y110" s="222"/>
      <c r="Z110" s="49"/>
      <c r="AA110" s="46"/>
    </row>
    <row r="111" spans="2:27" x14ac:dyDescent="0.2">
      <c r="B111" s="166">
        <f>'1. LDC Info'!$F$27-4</f>
        <v>2012</v>
      </c>
      <c r="C111" s="44" t="s">
        <v>114</v>
      </c>
      <c r="D111" s="543"/>
      <c r="E111" s="541">
        <v>9046</v>
      </c>
      <c r="F111" s="543"/>
      <c r="G111" s="541">
        <v>1369</v>
      </c>
      <c r="H111" s="545"/>
      <c r="I111" s="541">
        <v>20</v>
      </c>
      <c r="J111" s="545"/>
      <c r="K111" s="541"/>
      <c r="L111" s="523"/>
      <c r="M111" s="542"/>
      <c r="N111" s="541">
        <v>143</v>
      </c>
      <c r="O111" s="523">
        <v>220039.72</v>
      </c>
      <c r="P111" s="542">
        <v>564.29999999999995</v>
      </c>
      <c r="Q111" s="541">
        <v>2779</v>
      </c>
      <c r="R111" s="543"/>
      <c r="S111" s="542"/>
      <c r="T111" s="541">
        <v>208</v>
      </c>
      <c r="U111" s="545"/>
      <c r="V111" s="542"/>
      <c r="W111" s="541"/>
      <c r="X111" s="49"/>
      <c r="Y111" s="222"/>
      <c r="Z111" s="49"/>
      <c r="AA111" s="46"/>
    </row>
    <row r="112" spans="2:27" x14ac:dyDescent="0.2">
      <c r="B112" s="166">
        <f>'1. LDC Info'!$F$27-4</f>
        <v>2012</v>
      </c>
      <c r="C112" s="44" t="s">
        <v>115</v>
      </c>
      <c r="D112" s="543"/>
      <c r="E112" s="541">
        <v>9048</v>
      </c>
      <c r="F112" s="543"/>
      <c r="G112" s="541">
        <v>1369</v>
      </c>
      <c r="H112" s="545"/>
      <c r="I112" s="541">
        <v>20</v>
      </c>
      <c r="J112" s="545"/>
      <c r="K112" s="541"/>
      <c r="L112" s="523"/>
      <c r="M112" s="542"/>
      <c r="N112" s="541">
        <v>144</v>
      </c>
      <c r="O112" s="523">
        <v>210681.33</v>
      </c>
      <c r="P112" s="542">
        <v>564.29999999999995</v>
      </c>
      <c r="Q112" s="541">
        <v>2779</v>
      </c>
      <c r="R112" s="543"/>
      <c r="S112" s="542"/>
      <c r="T112" s="541">
        <v>208</v>
      </c>
      <c r="U112" s="545"/>
      <c r="V112" s="542"/>
      <c r="W112" s="541"/>
      <c r="X112" s="49"/>
      <c r="Y112" s="222"/>
      <c r="Z112" s="49"/>
      <c r="AA112" s="46"/>
    </row>
    <row r="113" spans="2:27" x14ac:dyDescent="0.2">
      <c r="B113" s="166">
        <f>'1. LDC Info'!$F$27-4</f>
        <v>2012</v>
      </c>
      <c r="C113" s="44" t="s">
        <v>116</v>
      </c>
      <c r="D113" s="543"/>
      <c r="E113" s="541">
        <v>9050</v>
      </c>
      <c r="F113" s="543"/>
      <c r="G113" s="541">
        <v>1369</v>
      </c>
      <c r="H113" s="545"/>
      <c r="I113" s="541">
        <v>20</v>
      </c>
      <c r="J113" s="545"/>
      <c r="K113" s="541"/>
      <c r="L113" s="523"/>
      <c r="M113" s="542"/>
      <c r="N113" s="541">
        <v>144</v>
      </c>
      <c r="O113" s="523">
        <v>178655.89</v>
      </c>
      <c r="P113" s="542">
        <v>564.29999999999995</v>
      </c>
      <c r="Q113" s="541">
        <v>2779</v>
      </c>
      <c r="R113" s="543"/>
      <c r="S113" s="542"/>
      <c r="T113" s="541">
        <v>208</v>
      </c>
      <c r="U113" s="545"/>
      <c r="V113" s="542"/>
      <c r="W113" s="541"/>
      <c r="X113" s="49"/>
      <c r="Y113" s="222"/>
      <c r="Z113" s="49"/>
      <c r="AA113" s="46"/>
    </row>
    <row r="114" spans="2:27" x14ac:dyDescent="0.2">
      <c r="B114" s="166">
        <f>'1. LDC Info'!$F$27-4</f>
        <v>2012</v>
      </c>
      <c r="C114" s="44" t="s">
        <v>117</v>
      </c>
      <c r="D114" s="543"/>
      <c r="E114" s="541">
        <v>9054</v>
      </c>
      <c r="F114" s="543"/>
      <c r="G114" s="541">
        <v>1367</v>
      </c>
      <c r="H114" s="545"/>
      <c r="I114" s="541">
        <v>20</v>
      </c>
      <c r="J114" s="545"/>
      <c r="K114" s="541"/>
      <c r="L114" s="523"/>
      <c r="M114" s="542"/>
      <c r="N114" s="541">
        <v>144</v>
      </c>
      <c r="O114" s="523">
        <v>162265.57999999999</v>
      </c>
      <c r="P114" s="542">
        <v>564.1</v>
      </c>
      <c r="Q114" s="541">
        <v>2779</v>
      </c>
      <c r="R114" s="543"/>
      <c r="S114" s="542"/>
      <c r="T114" s="541">
        <v>208</v>
      </c>
      <c r="U114" s="545"/>
      <c r="V114" s="542"/>
      <c r="W114" s="541"/>
      <c r="X114" s="49"/>
      <c r="Y114" s="222"/>
      <c r="Z114" s="49"/>
      <c r="AA114" s="46"/>
    </row>
    <row r="115" spans="2:27" x14ac:dyDescent="0.2">
      <c r="B115" s="166">
        <f>'1. LDC Info'!$F$27-4</f>
        <v>2012</v>
      </c>
      <c r="C115" s="44" t="s">
        <v>118</v>
      </c>
      <c r="D115" s="543"/>
      <c r="E115" s="541">
        <v>9065</v>
      </c>
      <c r="F115" s="543"/>
      <c r="G115" s="541">
        <v>1364</v>
      </c>
      <c r="H115" s="545"/>
      <c r="I115" s="541">
        <v>20</v>
      </c>
      <c r="J115" s="545"/>
      <c r="K115" s="541"/>
      <c r="L115" s="523"/>
      <c r="M115" s="542"/>
      <c r="N115" s="541">
        <v>144</v>
      </c>
      <c r="O115" s="523">
        <v>146176.49</v>
      </c>
      <c r="P115" s="542">
        <v>564.1</v>
      </c>
      <c r="Q115" s="541">
        <v>2779</v>
      </c>
      <c r="R115" s="543"/>
      <c r="S115" s="542"/>
      <c r="T115" s="541">
        <v>208</v>
      </c>
      <c r="U115" s="545"/>
      <c r="V115" s="542"/>
      <c r="W115" s="541"/>
      <c r="X115" s="49"/>
      <c r="Y115" s="222"/>
      <c r="Z115" s="49"/>
      <c r="AA115" s="46"/>
    </row>
    <row r="116" spans="2:27" x14ac:dyDescent="0.2">
      <c r="B116" s="166">
        <f>'1. LDC Info'!$F$27-4</f>
        <v>2012</v>
      </c>
      <c r="C116" s="44" t="s">
        <v>119</v>
      </c>
      <c r="D116" s="543"/>
      <c r="E116" s="541">
        <v>9087</v>
      </c>
      <c r="F116" s="543"/>
      <c r="G116" s="541">
        <v>1364</v>
      </c>
      <c r="H116" s="545"/>
      <c r="I116" s="541">
        <v>20</v>
      </c>
      <c r="J116" s="545"/>
      <c r="K116" s="541"/>
      <c r="L116" s="523"/>
      <c r="M116" s="542"/>
      <c r="N116" s="541">
        <v>144</v>
      </c>
      <c r="O116" s="523">
        <v>156711.39000000001</v>
      </c>
      <c r="P116" s="542">
        <v>563.79999999999995</v>
      </c>
      <c r="Q116" s="541">
        <v>2779</v>
      </c>
      <c r="R116" s="543"/>
      <c r="S116" s="542"/>
      <c r="T116" s="541">
        <v>208</v>
      </c>
      <c r="U116" s="545"/>
      <c r="V116" s="542"/>
      <c r="W116" s="541"/>
      <c r="X116" s="49"/>
      <c r="Y116" s="222"/>
      <c r="Z116" s="49"/>
      <c r="AA116" s="46"/>
    </row>
    <row r="117" spans="2:27" x14ac:dyDescent="0.2">
      <c r="B117" s="166">
        <f>'1. LDC Info'!$F$27-4</f>
        <v>2012</v>
      </c>
      <c r="C117" s="44" t="s">
        <v>109</v>
      </c>
      <c r="D117" s="543"/>
      <c r="E117" s="541">
        <v>9097</v>
      </c>
      <c r="F117" s="543"/>
      <c r="G117" s="541">
        <v>1360</v>
      </c>
      <c r="H117" s="545"/>
      <c r="I117" s="541">
        <v>20</v>
      </c>
      <c r="J117" s="545"/>
      <c r="K117" s="541"/>
      <c r="L117" s="523"/>
      <c r="M117" s="542"/>
      <c r="N117" s="541">
        <v>143</v>
      </c>
      <c r="O117" s="523">
        <v>176433.4</v>
      </c>
      <c r="P117" s="542">
        <v>563.70000000000005</v>
      </c>
      <c r="Q117" s="541">
        <v>2779</v>
      </c>
      <c r="R117" s="543"/>
      <c r="S117" s="542"/>
      <c r="T117" s="541">
        <v>208</v>
      </c>
      <c r="U117" s="545"/>
      <c r="V117" s="542"/>
      <c r="W117" s="541"/>
      <c r="X117" s="49"/>
      <c r="Y117" s="222"/>
      <c r="Z117" s="49"/>
      <c r="AA117" s="46"/>
    </row>
    <row r="118" spans="2:27" x14ac:dyDescent="0.2">
      <c r="B118" s="166">
        <f>'1. LDC Info'!$F$27-4</f>
        <v>2012</v>
      </c>
      <c r="C118" s="44" t="s">
        <v>110</v>
      </c>
      <c r="D118" s="543"/>
      <c r="E118" s="541">
        <v>9114</v>
      </c>
      <c r="F118" s="543"/>
      <c r="G118" s="541">
        <v>1359</v>
      </c>
      <c r="H118" s="545"/>
      <c r="I118" s="541">
        <v>20</v>
      </c>
      <c r="J118" s="545"/>
      <c r="K118" s="541"/>
      <c r="L118" s="523"/>
      <c r="M118" s="542"/>
      <c r="N118" s="541">
        <v>144</v>
      </c>
      <c r="O118" s="523">
        <v>194800.14</v>
      </c>
      <c r="P118" s="542">
        <v>563.70000000000005</v>
      </c>
      <c r="Q118" s="541">
        <v>2779</v>
      </c>
      <c r="R118" s="543"/>
      <c r="S118" s="542"/>
      <c r="T118" s="541">
        <v>208</v>
      </c>
      <c r="U118" s="545"/>
      <c r="V118" s="542"/>
      <c r="W118" s="541"/>
      <c r="X118" s="49"/>
      <c r="Y118" s="222"/>
      <c r="Z118" s="49"/>
      <c r="AA118" s="46"/>
    </row>
    <row r="119" spans="2:27" x14ac:dyDescent="0.2">
      <c r="B119" s="166">
        <f>'1. LDC Info'!$F$27-4</f>
        <v>2012</v>
      </c>
      <c r="C119" s="44" t="s">
        <v>111</v>
      </c>
      <c r="D119" s="543"/>
      <c r="E119" s="541">
        <v>9128</v>
      </c>
      <c r="F119" s="543"/>
      <c r="G119" s="541">
        <v>1354</v>
      </c>
      <c r="H119" s="545"/>
      <c r="I119" s="541">
        <v>20</v>
      </c>
      <c r="J119" s="545"/>
      <c r="K119" s="541"/>
      <c r="L119" s="523"/>
      <c r="M119" s="542"/>
      <c r="N119" s="541">
        <v>144</v>
      </c>
      <c r="O119" s="523">
        <v>227118.07999999999</v>
      </c>
      <c r="P119" s="542">
        <v>563.70000000000005</v>
      </c>
      <c r="Q119" s="541">
        <v>2779</v>
      </c>
      <c r="R119" s="543"/>
      <c r="S119" s="542"/>
      <c r="T119" s="541">
        <v>208</v>
      </c>
      <c r="U119" s="545"/>
      <c r="V119" s="542"/>
      <c r="W119" s="541"/>
      <c r="X119" s="49"/>
      <c r="Y119" s="222"/>
      <c r="Z119" s="49"/>
      <c r="AA119" s="46"/>
    </row>
    <row r="120" spans="2:27" x14ac:dyDescent="0.2">
      <c r="B120" s="166">
        <f>'1. LDC Info'!$F$27-4</f>
        <v>2012</v>
      </c>
      <c r="C120" s="44" t="s">
        <v>108</v>
      </c>
      <c r="D120" s="523">
        <v>78553743.920000002</v>
      </c>
      <c r="E120" s="541">
        <v>9136</v>
      </c>
      <c r="F120" s="523">
        <v>31948521.120000001</v>
      </c>
      <c r="G120" s="541">
        <v>1351</v>
      </c>
      <c r="H120" s="543">
        <v>448159.09</v>
      </c>
      <c r="I120" s="541">
        <v>20</v>
      </c>
      <c r="J120" s="543"/>
      <c r="K120" s="541"/>
      <c r="L120" s="523">
        <v>74516293.329999998</v>
      </c>
      <c r="M120" s="542">
        <v>207916</v>
      </c>
      <c r="N120" s="541">
        <v>144</v>
      </c>
      <c r="O120" s="523">
        <v>241914.81</v>
      </c>
      <c r="P120" s="542">
        <v>563.70000000000005</v>
      </c>
      <c r="Q120" s="541">
        <v>2780</v>
      </c>
      <c r="R120" s="543">
        <v>243747.31</v>
      </c>
      <c r="S120" s="542">
        <v>713</v>
      </c>
      <c r="T120" s="541">
        <v>208</v>
      </c>
      <c r="U120" s="543"/>
      <c r="V120" s="542"/>
      <c r="W120" s="541"/>
      <c r="X120" s="49"/>
      <c r="Y120" s="222"/>
      <c r="Z120" s="49"/>
      <c r="AA120" s="46"/>
    </row>
    <row r="121" spans="2:27" x14ac:dyDescent="0.2">
      <c r="B121" s="166">
        <f>'1. LDC Info'!$F$27-3</f>
        <v>2013</v>
      </c>
      <c r="C121" s="44" t="s">
        <v>112</v>
      </c>
      <c r="D121" s="543"/>
      <c r="E121" s="541">
        <v>9140</v>
      </c>
      <c r="F121" s="543"/>
      <c r="G121" s="541">
        <v>1343</v>
      </c>
      <c r="H121" s="544"/>
      <c r="I121" s="541">
        <v>20</v>
      </c>
      <c r="J121" s="544"/>
      <c r="K121" s="541"/>
      <c r="L121" s="523"/>
      <c r="M121" s="542"/>
      <c r="N121" s="541">
        <v>145</v>
      </c>
      <c r="O121" s="523">
        <v>261973.09</v>
      </c>
      <c r="P121" s="542">
        <v>563.6</v>
      </c>
      <c r="Q121" s="541">
        <v>2780</v>
      </c>
      <c r="R121" s="543"/>
      <c r="S121" s="542"/>
      <c r="T121" s="541">
        <v>208</v>
      </c>
      <c r="U121" s="544"/>
      <c r="V121" s="542"/>
      <c r="W121" s="541"/>
      <c r="X121" s="224"/>
      <c r="Y121" s="222"/>
      <c r="Z121" s="224"/>
      <c r="AA121" s="46"/>
    </row>
    <row r="122" spans="2:27" x14ac:dyDescent="0.2">
      <c r="B122" s="166">
        <f>'1. LDC Info'!$F$27-3</f>
        <v>2013</v>
      </c>
      <c r="C122" s="44" t="s">
        <v>113</v>
      </c>
      <c r="D122" s="543"/>
      <c r="E122" s="541">
        <v>9144</v>
      </c>
      <c r="F122" s="543"/>
      <c r="G122" s="541">
        <v>1342</v>
      </c>
      <c r="H122" s="544"/>
      <c r="I122" s="541">
        <v>20</v>
      </c>
      <c r="J122" s="544"/>
      <c r="K122" s="541"/>
      <c r="L122" s="523"/>
      <c r="M122" s="542"/>
      <c r="N122" s="541">
        <v>145</v>
      </c>
      <c r="O122" s="523">
        <v>255189.1</v>
      </c>
      <c r="P122" s="542">
        <v>563.4</v>
      </c>
      <c r="Q122" s="541">
        <v>2780</v>
      </c>
      <c r="R122" s="543"/>
      <c r="S122" s="542"/>
      <c r="T122" s="541">
        <v>208</v>
      </c>
      <c r="U122" s="544"/>
      <c r="V122" s="542"/>
      <c r="W122" s="541"/>
      <c r="X122" s="224"/>
      <c r="Y122" s="222"/>
      <c r="Z122" s="224"/>
      <c r="AA122" s="46"/>
    </row>
    <row r="123" spans="2:27" x14ac:dyDescent="0.2">
      <c r="B123" s="166">
        <f>'1. LDC Info'!$F$27-3</f>
        <v>2013</v>
      </c>
      <c r="C123" s="44" t="s">
        <v>114</v>
      </c>
      <c r="D123" s="543"/>
      <c r="E123" s="541">
        <v>9156</v>
      </c>
      <c r="F123" s="543"/>
      <c r="G123" s="541">
        <v>1340</v>
      </c>
      <c r="H123" s="544"/>
      <c r="I123" s="541">
        <v>20</v>
      </c>
      <c r="J123" s="544"/>
      <c r="K123" s="541"/>
      <c r="L123" s="523"/>
      <c r="M123" s="542"/>
      <c r="N123" s="541">
        <v>145</v>
      </c>
      <c r="O123" s="523">
        <v>212348.82</v>
      </c>
      <c r="P123" s="542">
        <v>563.1</v>
      </c>
      <c r="Q123" s="541">
        <v>2780</v>
      </c>
      <c r="R123" s="543"/>
      <c r="S123" s="542"/>
      <c r="T123" s="541">
        <v>205</v>
      </c>
      <c r="U123" s="544"/>
      <c r="V123" s="542"/>
      <c r="W123" s="541"/>
      <c r="X123" s="224"/>
      <c r="Y123" s="222"/>
      <c r="Z123" s="224"/>
      <c r="AA123" s="46"/>
    </row>
    <row r="124" spans="2:27" x14ac:dyDescent="0.2">
      <c r="B124" s="166">
        <f>'1. LDC Info'!$F$27-3</f>
        <v>2013</v>
      </c>
      <c r="C124" s="44" t="s">
        <v>115</v>
      </c>
      <c r="D124" s="543"/>
      <c r="E124" s="541">
        <v>9157</v>
      </c>
      <c r="F124" s="543"/>
      <c r="G124" s="541">
        <v>1339</v>
      </c>
      <c r="H124" s="544"/>
      <c r="I124" s="541">
        <v>20</v>
      </c>
      <c r="J124" s="544"/>
      <c r="K124" s="541"/>
      <c r="L124" s="523"/>
      <c r="M124" s="542"/>
      <c r="N124" s="541">
        <v>145</v>
      </c>
      <c r="O124" s="523">
        <v>210199.73</v>
      </c>
      <c r="P124" s="542">
        <v>563</v>
      </c>
      <c r="Q124" s="541">
        <v>2781</v>
      </c>
      <c r="R124" s="543"/>
      <c r="S124" s="542"/>
      <c r="T124" s="541">
        <v>205</v>
      </c>
      <c r="U124" s="544"/>
      <c r="V124" s="542"/>
      <c r="W124" s="541"/>
      <c r="X124" s="224"/>
      <c r="Y124" s="222"/>
      <c r="Z124" s="224"/>
      <c r="AA124" s="46"/>
    </row>
    <row r="125" spans="2:27" x14ac:dyDescent="0.2">
      <c r="B125" s="166">
        <f>'1. LDC Info'!$F$27-3</f>
        <v>2013</v>
      </c>
      <c r="C125" s="44" t="s">
        <v>116</v>
      </c>
      <c r="D125" s="543"/>
      <c r="E125" s="541">
        <v>9173</v>
      </c>
      <c r="F125" s="543"/>
      <c r="G125" s="541">
        <v>1336</v>
      </c>
      <c r="H125" s="544"/>
      <c r="I125" s="541">
        <v>20</v>
      </c>
      <c r="J125" s="544"/>
      <c r="K125" s="541"/>
      <c r="L125" s="523"/>
      <c r="M125" s="542"/>
      <c r="N125" s="541">
        <v>145</v>
      </c>
      <c r="O125" s="523">
        <v>178247.5</v>
      </c>
      <c r="P125" s="542">
        <v>563</v>
      </c>
      <c r="Q125" s="541">
        <v>2781</v>
      </c>
      <c r="R125" s="543"/>
      <c r="S125" s="542"/>
      <c r="T125" s="541">
        <v>205</v>
      </c>
      <c r="U125" s="544"/>
      <c r="V125" s="542"/>
      <c r="W125" s="541"/>
      <c r="X125" s="224"/>
      <c r="Y125" s="222"/>
      <c r="Z125" s="224"/>
      <c r="AA125" s="46"/>
    </row>
    <row r="126" spans="2:27" x14ac:dyDescent="0.2">
      <c r="B126" s="166">
        <f>'1. LDC Info'!$F$27-3</f>
        <v>2013</v>
      </c>
      <c r="C126" s="44" t="s">
        <v>117</v>
      </c>
      <c r="D126" s="543"/>
      <c r="E126" s="541">
        <v>9192</v>
      </c>
      <c r="F126" s="543"/>
      <c r="G126" s="541">
        <v>1334</v>
      </c>
      <c r="H126" s="544"/>
      <c r="I126" s="541">
        <v>20</v>
      </c>
      <c r="J126" s="544"/>
      <c r="K126" s="541"/>
      <c r="L126" s="523"/>
      <c r="M126" s="542"/>
      <c r="N126" s="541">
        <v>145</v>
      </c>
      <c r="O126" s="523">
        <v>161908.87</v>
      </c>
      <c r="P126" s="542">
        <v>562.79999999999995</v>
      </c>
      <c r="Q126" s="541">
        <v>2781</v>
      </c>
      <c r="R126" s="543"/>
      <c r="S126" s="542"/>
      <c r="T126" s="541">
        <v>205</v>
      </c>
      <c r="U126" s="544"/>
      <c r="V126" s="542"/>
      <c r="W126" s="541"/>
      <c r="X126" s="224"/>
      <c r="Y126" s="222"/>
      <c r="Z126" s="224"/>
      <c r="AA126" s="46"/>
    </row>
    <row r="127" spans="2:27" x14ac:dyDescent="0.2">
      <c r="B127" s="166">
        <f>'1. LDC Info'!$F$27-3</f>
        <v>2013</v>
      </c>
      <c r="C127" s="44" t="s">
        <v>118</v>
      </c>
      <c r="D127" s="543"/>
      <c r="E127" s="541">
        <v>9204</v>
      </c>
      <c r="F127" s="543"/>
      <c r="G127" s="541">
        <v>1330</v>
      </c>
      <c r="H127" s="544"/>
      <c r="I127" s="541">
        <v>20</v>
      </c>
      <c r="J127" s="544"/>
      <c r="K127" s="541"/>
      <c r="L127" s="523"/>
      <c r="M127" s="542"/>
      <c r="N127" s="541">
        <v>145</v>
      </c>
      <c r="O127" s="523">
        <v>145891.69</v>
      </c>
      <c r="P127" s="542">
        <v>562.79999999999995</v>
      </c>
      <c r="Q127" s="541">
        <v>2790</v>
      </c>
      <c r="R127" s="543"/>
      <c r="S127" s="542"/>
      <c r="T127" s="541">
        <v>205</v>
      </c>
      <c r="U127" s="544"/>
      <c r="V127" s="542"/>
      <c r="W127" s="541"/>
      <c r="X127" s="224"/>
      <c r="Y127" s="222"/>
      <c r="Z127" s="224"/>
      <c r="AA127" s="46"/>
    </row>
    <row r="128" spans="2:27" x14ac:dyDescent="0.2">
      <c r="B128" s="166">
        <f>'1. LDC Info'!$F$27-3</f>
        <v>2013</v>
      </c>
      <c r="C128" s="44" t="s">
        <v>119</v>
      </c>
      <c r="D128" s="543"/>
      <c r="E128" s="541">
        <v>9210</v>
      </c>
      <c r="F128" s="543"/>
      <c r="G128" s="541">
        <v>1325</v>
      </c>
      <c r="H128" s="544"/>
      <c r="I128" s="541">
        <v>20</v>
      </c>
      <c r="J128" s="544"/>
      <c r="K128" s="541"/>
      <c r="L128" s="523"/>
      <c r="M128" s="542"/>
      <c r="N128" s="541">
        <v>144</v>
      </c>
      <c r="O128" s="523">
        <v>156688.64000000001</v>
      </c>
      <c r="P128" s="542">
        <v>565.1</v>
      </c>
      <c r="Q128" s="541">
        <v>2790</v>
      </c>
      <c r="R128" s="543"/>
      <c r="S128" s="542"/>
      <c r="T128" s="541">
        <v>205</v>
      </c>
      <c r="U128" s="544"/>
      <c r="V128" s="542"/>
      <c r="W128" s="541"/>
      <c r="X128" s="224"/>
      <c r="Y128" s="222"/>
      <c r="Z128" s="224"/>
      <c r="AA128" s="46"/>
    </row>
    <row r="129" spans="2:27" x14ac:dyDescent="0.2">
      <c r="B129" s="166">
        <f>'1. LDC Info'!$F$27-3</f>
        <v>2013</v>
      </c>
      <c r="C129" s="44" t="s">
        <v>109</v>
      </c>
      <c r="D129" s="543"/>
      <c r="E129" s="541">
        <v>9217</v>
      </c>
      <c r="F129" s="543"/>
      <c r="G129" s="541">
        <v>1325</v>
      </c>
      <c r="H129" s="544"/>
      <c r="I129" s="541">
        <v>20</v>
      </c>
      <c r="J129" s="544"/>
      <c r="K129" s="541"/>
      <c r="L129" s="523"/>
      <c r="M129" s="542"/>
      <c r="N129" s="541">
        <v>145</v>
      </c>
      <c r="O129" s="523">
        <v>176876.16</v>
      </c>
      <c r="P129" s="542">
        <v>565.1</v>
      </c>
      <c r="Q129" s="541">
        <v>2794</v>
      </c>
      <c r="R129" s="543"/>
      <c r="S129" s="542"/>
      <c r="T129" s="541">
        <v>205</v>
      </c>
      <c r="U129" s="544"/>
      <c r="V129" s="542"/>
      <c r="W129" s="541"/>
      <c r="X129" s="224"/>
      <c r="Y129" s="222"/>
      <c r="Z129" s="224"/>
      <c r="AA129" s="46"/>
    </row>
    <row r="130" spans="2:27" x14ac:dyDescent="0.2">
      <c r="B130" s="166">
        <f>'1. LDC Info'!$F$27-3</f>
        <v>2013</v>
      </c>
      <c r="C130" s="44" t="s">
        <v>110</v>
      </c>
      <c r="D130" s="543"/>
      <c r="E130" s="541">
        <v>9230</v>
      </c>
      <c r="F130" s="543"/>
      <c r="G130" s="541">
        <v>1325</v>
      </c>
      <c r="H130" s="544"/>
      <c r="I130" s="541">
        <v>20</v>
      </c>
      <c r="J130" s="544"/>
      <c r="K130" s="541"/>
      <c r="L130" s="523"/>
      <c r="M130" s="542"/>
      <c r="N130" s="541">
        <v>146</v>
      </c>
      <c r="O130" s="523">
        <v>195222.49</v>
      </c>
      <c r="P130" s="542">
        <v>565</v>
      </c>
      <c r="Q130" s="541">
        <v>2794</v>
      </c>
      <c r="R130" s="543"/>
      <c r="S130" s="542"/>
      <c r="T130" s="541">
        <v>205</v>
      </c>
      <c r="U130" s="544"/>
      <c r="V130" s="542"/>
      <c r="W130" s="541"/>
      <c r="X130" s="224"/>
      <c r="Y130" s="222"/>
      <c r="Z130" s="224"/>
      <c r="AA130" s="46"/>
    </row>
    <row r="131" spans="2:27" x14ac:dyDescent="0.2">
      <c r="B131" s="166">
        <f>'1. LDC Info'!$F$27-3</f>
        <v>2013</v>
      </c>
      <c r="C131" s="44" t="s">
        <v>111</v>
      </c>
      <c r="D131" s="543"/>
      <c r="E131" s="541">
        <v>9245</v>
      </c>
      <c r="F131" s="543"/>
      <c r="G131" s="541">
        <v>1323</v>
      </c>
      <c r="H131" s="544"/>
      <c r="I131" s="541">
        <v>20</v>
      </c>
      <c r="J131" s="544"/>
      <c r="K131" s="541"/>
      <c r="L131" s="523"/>
      <c r="M131" s="542"/>
      <c r="N131" s="541">
        <v>146</v>
      </c>
      <c r="O131" s="523">
        <v>227442.43</v>
      </c>
      <c r="P131" s="542">
        <v>564.5</v>
      </c>
      <c r="Q131" s="541">
        <v>2794</v>
      </c>
      <c r="R131" s="543"/>
      <c r="S131" s="542"/>
      <c r="T131" s="541">
        <v>205</v>
      </c>
      <c r="U131" s="544"/>
      <c r="V131" s="542"/>
      <c r="W131" s="541"/>
      <c r="X131" s="224"/>
      <c r="Y131" s="222"/>
      <c r="Z131" s="224"/>
      <c r="AA131" s="46"/>
    </row>
    <row r="132" spans="2:27" x14ac:dyDescent="0.2">
      <c r="B132" s="166">
        <f>'1. LDC Info'!$F$27-3</f>
        <v>2013</v>
      </c>
      <c r="C132" s="44" t="s">
        <v>108</v>
      </c>
      <c r="D132" s="523">
        <v>80138213.859999999</v>
      </c>
      <c r="E132" s="541">
        <v>9250</v>
      </c>
      <c r="F132" s="523">
        <v>31708039.23</v>
      </c>
      <c r="G132" s="541">
        <v>1322</v>
      </c>
      <c r="H132" s="543">
        <v>453470.7</v>
      </c>
      <c r="I132" s="541">
        <v>20</v>
      </c>
      <c r="J132" s="543"/>
      <c r="K132" s="541"/>
      <c r="L132" s="523">
        <v>73596923.409999996</v>
      </c>
      <c r="M132" s="542">
        <v>216501</v>
      </c>
      <c r="N132" s="541">
        <v>146</v>
      </c>
      <c r="O132" s="523">
        <v>242260.29</v>
      </c>
      <c r="P132" s="542">
        <v>564.5</v>
      </c>
      <c r="Q132" s="541">
        <v>2794</v>
      </c>
      <c r="R132" s="543">
        <v>270899.02</v>
      </c>
      <c r="S132" s="542">
        <v>700</v>
      </c>
      <c r="T132" s="541">
        <v>205</v>
      </c>
      <c r="U132" s="543"/>
      <c r="V132" s="542"/>
      <c r="W132" s="541"/>
      <c r="X132" s="224"/>
      <c r="Y132" s="222"/>
      <c r="Z132" s="224"/>
      <c r="AA132" s="46"/>
    </row>
    <row r="133" spans="2:27" x14ac:dyDescent="0.2">
      <c r="B133" s="166">
        <f>'1. LDC Info'!$F$27-2</f>
        <v>2014</v>
      </c>
      <c r="C133" s="44" t="s">
        <v>112</v>
      </c>
      <c r="D133" s="543"/>
      <c r="E133" s="541">
        <v>9252</v>
      </c>
      <c r="F133" s="543"/>
      <c r="G133" s="541">
        <v>1321</v>
      </c>
      <c r="H133" s="544"/>
      <c r="I133" s="541">
        <v>20</v>
      </c>
      <c r="J133" s="544"/>
      <c r="K133" s="541"/>
      <c r="L133" s="523"/>
      <c r="M133" s="542"/>
      <c r="N133" s="541">
        <v>146</v>
      </c>
      <c r="O133" s="523">
        <v>262421.65999999997</v>
      </c>
      <c r="P133" s="542">
        <v>564.6</v>
      </c>
      <c r="Q133" s="541">
        <v>2794</v>
      </c>
      <c r="R133" s="543"/>
      <c r="S133" s="542"/>
      <c r="T133" s="541">
        <v>206</v>
      </c>
      <c r="U133" s="544"/>
      <c r="V133" s="542"/>
      <c r="W133" s="541"/>
      <c r="X133" s="224"/>
      <c r="Y133" s="222"/>
      <c r="Z133" s="224"/>
      <c r="AA133" s="46"/>
    </row>
    <row r="134" spans="2:27" x14ac:dyDescent="0.2">
      <c r="B134" s="166">
        <f>'1. LDC Info'!$F$27-2</f>
        <v>2014</v>
      </c>
      <c r="C134" s="44" t="s">
        <v>113</v>
      </c>
      <c r="D134" s="543"/>
      <c r="E134" s="541">
        <v>9258</v>
      </c>
      <c r="F134" s="543"/>
      <c r="G134" s="541">
        <v>1320</v>
      </c>
      <c r="H134" s="544"/>
      <c r="I134" s="541">
        <v>20</v>
      </c>
      <c r="J134" s="544"/>
      <c r="K134" s="541"/>
      <c r="L134" s="523"/>
      <c r="M134" s="542"/>
      <c r="N134" s="541">
        <v>146</v>
      </c>
      <c r="O134" s="523">
        <v>255671.08</v>
      </c>
      <c r="P134" s="542">
        <v>564.6</v>
      </c>
      <c r="Q134" s="541">
        <v>2794</v>
      </c>
      <c r="R134" s="543"/>
      <c r="S134" s="542"/>
      <c r="T134" s="541">
        <v>206</v>
      </c>
      <c r="U134" s="544"/>
      <c r="V134" s="542"/>
      <c r="W134" s="541"/>
      <c r="X134" s="224"/>
      <c r="Y134" s="222"/>
      <c r="Z134" s="224"/>
      <c r="AA134" s="46"/>
    </row>
    <row r="135" spans="2:27" x14ac:dyDescent="0.2">
      <c r="B135" s="166">
        <f>'1. LDC Info'!$F$27-2</f>
        <v>2014</v>
      </c>
      <c r="C135" s="44" t="s">
        <v>114</v>
      </c>
      <c r="D135" s="543"/>
      <c r="E135" s="541">
        <v>9259</v>
      </c>
      <c r="F135" s="543"/>
      <c r="G135" s="541">
        <v>1318</v>
      </c>
      <c r="H135" s="544"/>
      <c r="I135" s="541">
        <v>20</v>
      </c>
      <c r="J135" s="544"/>
      <c r="K135" s="541"/>
      <c r="L135" s="523"/>
      <c r="M135" s="542"/>
      <c r="N135" s="541">
        <v>146</v>
      </c>
      <c r="O135" s="523">
        <v>212844.69</v>
      </c>
      <c r="P135" s="542">
        <v>564.5</v>
      </c>
      <c r="Q135" s="541">
        <v>2794</v>
      </c>
      <c r="R135" s="543"/>
      <c r="S135" s="542"/>
      <c r="T135" s="541">
        <v>206</v>
      </c>
      <c r="U135" s="544"/>
      <c r="V135" s="542"/>
      <c r="W135" s="541"/>
      <c r="X135" s="224"/>
      <c r="Y135" s="222"/>
      <c r="Z135" s="224"/>
      <c r="AA135" s="46"/>
    </row>
    <row r="136" spans="2:27" x14ac:dyDescent="0.2">
      <c r="B136" s="166">
        <f>'1. LDC Info'!$F$27-2</f>
        <v>2014</v>
      </c>
      <c r="C136" s="44" t="s">
        <v>115</v>
      </c>
      <c r="D136" s="543"/>
      <c r="E136" s="541">
        <v>9263</v>
      </c>
      <c r="F136" s="543"/>
      <c r="G136" s="541">
        <v>1316</v>
      </c>
      <c r="H136" s="544"/>
      <c r="I136" s="541">
        <v>20</v>
      </c>
      <c r="J136" s="544"/>
      <c r="K136" s="541"/>
      <c r="L136" s="523"/>
      <c r="M136" s="542"/>
      <c r="N136" s="541">
        <v>146</v>
      </c>
      <c r="O136" s="523">
        <v>210690.67</v>
      </c>
      <c r="P136" s="542">
        <v>564.4</v>
      </c>
      <c r="Q136" s="541">
        <v>2794</v>
      </c>
      <c r="R136" s="543"/>
      <c r="S136" s="542"/>
      <c r="T136" s="541">
        <v>206</v>
      </c>
      <c r="U136" s="544"/>
      <c r="V136" s="542"/>
      <c r="W136" s="541"/>
      <c r="X136" s="224"/>
      <c r="Y136" s="222"/>
      <c r="Z136" s="224"/>
      <c r="AA136" s="46"/>
    </row>
    <row r="137" spans="2:27" x14ac:dyDescent="0.2">
      <c r="B137" s="166">
        <f>'1. LDC Info'!$F$27-2</f>
        <v>2014</v>
      </c>
      <c r="C137" s="44" t="s">
        <v>116</v>
      </c>
      <c r="D137" s="543"/>
      <c r="E137" s="541">
        <v>9258</v>
      </c>
      <c r="F137" s="543"/>
      <c r="G137" s="541">
        <v>1316</v>
      </c>
      <c r="H137" s="544"/>
      <c r="I137" s="541">
        <v>20</v>
      </c>
      <c r="J137" s="544"/>
      <c r="K137" s="541"/>
      <c r="L137" s="523"/>
      <c r="M137" s="542"/>
      <c r="N137" s="541">
        <v>146</v>
      </c>
      <c r="O137" s="523">
        <v>178663.8</v>
      </c>
      <c r="P137" s="542">
        <v>564.4</v>
      </c>
      <c r="Q137" s="541">
        <v>2794</v>
      </c>
      <c r="R137" s="543"/>
      <c r="S137" s="542"/>
      <c r="T137" s="541">
        <v>206</v>
      </c>
      <c r="U137" s="544"/>
      <c r="V137" s="542"/>
      <c r="W137" s="541"/>
      <c r="X137" s="224"/>
      <c r="Y137" s="222"/>
      <c r="Z137" s="224"/>
      <c r="AA137" s="46"/>
    </row>
    <row r="138" spans="2:27" x14ac:dyDescent="0.2">
      <c r="B138" s="166">
        <f>'1. LDC Info'!$F$27-2</f>
        <v>2014</v>
      </c>
      <c r="C138" s="44" t="s">
        <v>117</v>
      </c>
      <c r="D138" s="543"/>
      <c r="E138" s="541">
        <v>9285</v>
      </c>
      <c r="F138" s="543"/>
      <c r="G138" s="541">
        <v>1315</v>
      </c>
      <c r="H138" s="544"/>
      <c r="I138" s="541">
        <v>20</v>
      </c>
      <c r="J138" s="544"/>
      <c r="K138" s="541"/>
      <c r="L138" s="523"/>
      <c r="M138" s="542"/>
      <c r="N138" s="541">
        <v>145</v>
      </c>
      <c r="O138" s="523">
        <v>164284.17000000001</v>
      </c>
      <c r="P138" s="542">
        <v>564.55999999999995</v>
      </c>
      <c r="Q138" s="541">
        <v>2795</v>
      </c>
      <c r="R138" s="543"/>
      <c r="S138" s="542"/>
      <c r="T138" s="541">
        <v>203</v>
      </c>
      <c r="U138" s="544"/>
      <c r="V138" s="542"/>
      <c r="W138" s="541"/>
      <c r="X138" s="224"/>
      <c r="Y138" s="222"/>
      <c r="Z138" s="224"/>
      <c r="AA138" s="46"/>
    </row>
    <row r="139" spans="2:27" x14ac:dyDescent="0.2">
      <c r="B139" s="166">
        <f>'1. LDC Info'!$F$27-2</f>
        <v>2014</v>
      </c>
      <c r="C139" s="44" t="s">
        <v>118</v>
      </c>
      <c r="D139" s="543"/>
      <c r="E139" s="541">
        <v>9297</v>
      </c>
      <c r="F139" s="543"/>
      <c r="G139" s="541">
        <v>1315</v>
      </c>
      <c r="H139" s="544"/>
      <c r="I139" s="541">
        <v>20</v>
      </c>
      <c r="J139" s="544"/>
      <c r="K139" s="541"/>
      <c r="L139" s="523"/>
      <c r="M139" s="542"/>
      <c r="N139" s="541">
        <v>145</v>
      </c>
      <c r="O139" s="523">
        <v>151351.56</v>
      </c>
      <c r="P139" s="542">
        <v>564.5</v>
      </c>
      <c r="Q139" s="541">
        <v>2795</v>
      </c>
      <c r="R139" s="543"/>
      <c r="S139" s="542"/>
      <c r="T139" s="541">
        <v>203</v>
      </c>
      <c r="U139" s="544"/>
      <c r="V139" s="542"/>
      <c r="W139" s="541"/>
      <c r="X139" s="224"/>
      <c r="Y139" s="222"/>
      <c r="Z139" s="224"/>
      <c r="AA139" s="46"/>
    </row>
    <row r="140" spans="2:27" x14ac:dyDescent="0.2">
      <c r="B140" s="166">
        <f>'1. LDC Info'!$F$27-2</f>
        <v>2014</v>
      </c>
      <c r="C140" s="44" t="s">
        <v>119</v>
      </c>
      <c r="D140" s="543"/>
      <c r="E140" s="541">
        <v>9309</v>
      </c>
      <c r="F140" s="543"/>
      <c r="G140" s="541">
        <v>1315</v>
      </c>
      <c r="H140" s="544"/>
      <c r="I140" s="541">
        <v>20</v>
      </c>
      <c r="J140" s="544"/>
      <c r="K140" s="541"/>
      <c r="L140" s="523"/>
      <c r="M140" s="542"/>
      <c r="N140" s="541">
        <v>145</v>
      </c>
      <c r="O140" s="523">
        <v>163159.57999999999</v>
      </c>
      <c r="P140" s="542">
        <v>564.5</v>
      </c>
      <c r="Q140" s="541">
        <v>2795</v>
      </c>
      <c r="R140" s="543"/>
      <c r="S140" s="542"/>
      <c r="T140" s="541">
        <v>203</v>
      </c>
      <c r="U140" s="544"/>
      <c r="V140" s="542"/>
      <c r="W140" s="541"/>
      <c r="X140" s="224"/>
      <c r="Y140" s="222"/>
      <c r="Z140" s="224"/>
      <c r="AA140" s="46"/>
    </row>
    <row r="141" spans="2:27" x14ac:dyDescent="0.2">
      <c r="B141" s="166">
        <f>'1. LDC Info'!$F$27-2</f>
        <v>2014</v>
      </c>
      <c r="C141" s="44" t="s">
        <v>109</v>
      </c>
      <c r="D141" s="543"/>
      <c r="E141" s="541">
        <v>9322</v>
      </c>
      <c r="F141" s="543"/>
      <c r="G141" s="541">
        <v>1316</v>
      </c>
      <c r="H141" s="544"/>
      <c r="I141" s="541">
        <v>20</v>
      </c>
      <c r="J141" s="544"/>
      <c r="K141" s="541"/>
      <c r="L141" s="523"/>
      <c r="M141" s="542"/>
      <c r="N141" s="541">
        <v>145</v>
      </c>
      <c r="O141" s="523">
        <v>181775.34</v>
      </c>
      <c r="P141" s="542">
        <v>564.37</v>
      </c>
      <c r="Q141" s="541">
        <v>2794</v>
      </c>
      <c r="R141" s="543"/>
      <c r="S141" s="542"/>
      <c r="T141" s="541">
        <v>203</v>
      </c>
      <c r="U141" s="544"/>
      <c r="V141" s="542"/>
      <c r="W141" s="541"/>
      <c r="X141" s="224"/>
      <c r="Y141" s="222"/>
      <c r="Z141" s="224"/>
      <c r="AA141" s="46"/>
    </row>
    <row r="142" spans="2:27" x14ac:dyDescent="0.2">
      <c r="B142" s="166">
        <f>'1. LDC Info'!$F$27-2</f>
        <v>2014</v>
      </c>
      <c r="C142" s="44" t="s">
        <v>110</v>
      </c>
      <c r="D142" s="543"/>
      <c r="E142" s="541">
        <v>9324</v>
      </c>
      <c r="F142" s="543"/>
      <c r="G142" s="541">
        <v>1314</v>
      </c>
      <c r="H142" s="544"/>
      <c r="I142" s="541">
        <v>20</v>
      </c>
      <c r="J142" s="544"/>
      <c r="K142" s="541"/>
      <c r="L142" s="523"/>
      <c r="M142" s="542"/>
      <c r="N142" s="541">
        <v>146</v>
      </c>
      <c r="O142" s="523">
        <v>197343.16</v>
      </c>
      <c r="P142" s="542">
        <v>564.32000000000005</v>
      </c>
      <c r="Q142" s="541">
        <v>2794</v>
      </c>
      <c r="R142" s="543"/>
      <c r="S142" s="542"/>
      <c r="T142" s="541">
        <v>202</v>
      </c>
      <c r="U142" s="544"/>
      <c r="V142" s="542"/>
      <c r="W142" s="541"/>
      <c r="X142" s="224"/>
      <c r="Y142" s="222"/>
      <c r="Z142" s="224"/>
      <c r="AA142" s="46"/>
    </row>
    <row r="143" spans="2:27" x14ac:dyDescent="0.2">
      <c r="B143" s="166">
        <f>'1. LDC Info'!$F$27-2</f>
        <v>2014</v>
      </c>
      <c r="C143" s="44" t="s">
        <v>111</v>
      </c>
      <c r="D143" s="543"/>
      <c r="E143" s="541">
        <v>9342</v>
      </c>
      <c r="F143" s="543"/>
      <c r="G143" s="541">
        <v>1316</v>
      </c>
      <c r="H143" s="544"/>
      <c r="I143" s="541">
        <v>20</v>
      </c>
      <c r="J143" s="544"/>
      <c r="K143" s="541"/>
      <c r="L143" s="523"/>
      <c r="M143" s="542"/>
      <c r="N143" s="541">
        <v>147</v>
      </c>
      <c r="O143" s="523">
        <v>225975.94</v>
      </c>
      <c r="P143" s="542">
        <v>562.16</v>
      </c>
      <c r="Q143" s="541">
        <v>2794</v>
      </c>
      <c r="R143" s="543"/>
      <c r="S143" s="542"/>
      <c r="T143" s="541">
        <v>202</v>
      </c>
      <c r="U143" s="544"/>
      <c r="V143" s="542"/>
      <c r="W143" s="541"/>
      <c r="X143" s="224"/>
      <c r="Y143" s="222"/>
      <c r="Z143" s="224"/>
      <c r="AA143" s="46"/>
    </row>
    <row r="144" spans="2:27" x14ac:dyDescent="0.2">
      <c r="B144" s="166">
        <f>'1. LDC Info'!$F$27-2</f>
        <v>2014</v>
      </c>
      <c r="C144" s="44" t="s">
        <v>108</v>
      </c>
      <c r="D144" s="523">
        <v>79483998.230000004</v>
      </c>
      <c r="E144" s="541">
        <v>9358</v>
      </c>
      <c r="F144" s="523">
        <v>31649726.120000001</v>
      </c>
      <c r="G144" s="541">
        <v>1315</v>
      </c>
      <c r="H144" s="543">
        <v>454406.25</v>
      </c>
      <c r="I144" s="541">
        <v>20</v>
      </c>
      <c r="J144" s="543"/>
      <c r="K144" s="541"/>
      <c r="L144" s="523">
        <v>72512848.979999989</v>
      </c>
      <c r="M144" s="542">
        <v>206399</v>
      </c>
      <c r="N144" s="541">
        <v>147</v>
      </c>
      <c r="O144" s="523">
        <v>235609.92</v>
      </c>
      <c r="P144" s="542">
        <v>563.04999999999995</v>
      </c>
      <c r="Q144" s="541">
        <v>2811</v>
      </c>
      <c r="R144" s="543">
        <v>245570.47</v>
      </c>
      <c r="S144" s="542">
        <v>683.5</v>
      </c>
      <c r="T144" s="541">
        <v>202</v>
      </c>
      <c r="U144" s="543"/>
      <c r="V144" s="542"/>
      <c r="W144" s="541"/>
      <c r="X144" s="224"/>
      <c r="Y144" s="222"/>
      <c r="Z144" s="224"/>
      <c r="AA144" s="46"/>
    </row>
    <row r="145" spans="2:27" x14ac:dyDescent="0.2">
      <c r="B145" s="166">
        <f>'1. LDC Info'!$F$27-1</f>
        <v>2015</v>
      </c>
      <c r="C145" s="44" t="s">
        <v>112</v>
      </c>
      <c r="D145" s="2"/>
      <c r="E145" s="222"/>
      <c r="F145" s="2"/>
      <c r="G145" s="222"/>
      <c r="H145" s="224"/>
      <c r="I145" s="222"/>
      <c r="J145" s="284"/>
      <c r="K145" s="284"/>
      <c r="L145" s="45"/>
      <c r="M145" s="48"/>
      <c r="N145" s="222"/>
      <c r="O145" s="45"/>
      <c r="P145" s="48"/>
      <c r="Q145" s="222"/>
      <c r="R145" s="2"/>
      <c r="S145" s="27"/>
      <c r="T145" s="222"/>
      <c r="U145" s="224"/>
      <c r="V145" s="521"/>
      <c r="W145" s="222"/>
      <c r="X145" s="224"/>
      <c r="Y145" s="222"/>
      <c r="Z145" s="224"/>
      <c r="AA145" s="46"/>
    </row>
    <row r="146" spans="2:27" x14ac:dyDescent="0.2">
      <c r="B146" s="166">
        <f>'1. LDC Info'!$F$27-1</f>
        <v>2015</v>
      </c>
      <c r="C146" s="44" t="s">
        <v>113</v>
      </c>
      <c r="D146" s="2"/>
      <c r="E146" s="222"/>
      <c r="F146" s="2"/>
      <c r="G146" s="222"/>
      <c r="H146" s="224"/>
      <c r="I146" s="222"/>
      <c r="J146" s="284"/>
      <c r="K146" s="284"/>
      <c r="L146" s="45"/>
      <c r="M146" s="48"/>
      <c r="N146" s="222"/>
      <c r="O146" s="45"/>
      <c r="P146" s="48"/>
      <c r="Q146" s="222"/>
      <c r="R146" s="2"/>
      <c r="S146" s="27"/>
      <c r="T146" s="222"/>
      <c r="U146" s="224"/>
      <c r="V146" s="521"/>
      <c r="W146" s="222"/>
      <c r="X146" s="224"/>
      <c r="Y146" s="222"/>
      <c r="Z146" s="224"/>
      <c r="AA146" s="46"/>
    </row>
    <row r="147" spans="2:27" x14ac:dyDescent="0.2">
      <c r="B147" s="166">
        <f>'1. LDC Info'!$F$27-1</f>
        <v>2015</v>
      </c>
      <c r="C147" s="44" t="s">
        <v>114</v>
      </c>
      <c r="D147" s="2"/>
      <c r="E147" s="222"/>
      <c r="F147" s="2"/>
      <c r="G147" s="222"/>
      <c r="H147" s="224"/>
      <c r="I147" s="222"/>
      <c r="J147" s="284"/>
      <c r="K147" s="284"/>
      <c r="L147" s="45"/>
      <c r="M147" s="48"/>
      <c r="N147" s="222"/>
      <c r="O147" s="45"/>
      <c r="P147" s="48"/>
      <c r="Q147" s="222"/>
      <c r="R147" s="2"/>
      <c r="S147" s="27"/>
      <c r="T147" s="222"/>
      <c r="U147" s="224"/>
      <c r="V147" s="521"/>
      <c r="W147" s="222"/>
      <c r="X147" s="224"/>
      <c r="Y147" s="222"/>
      <c r="Z147" s="224"/>
      <c r="AA147" s="46"/>
    </row>
    <row r="148" spans="2:27" x14ac:dyDescent="0.2">
      <c r="B148" s="166">
        <f>'1. LDC Info'!$F$27-1</f>
        <v>2015</v>
      </c>
      <c r="C148" s="44" t="s">
        <v>115</v>
      </c>
      <c r="D148" s="2"/>
      <c r="E148" s="222"/>
      <c r="F148" s="2"/>
      <c r="G148" s="222"/>
      <c r="H148" s="224"/>
      <c r="I148" s="222"/>
      <c r="J148" s="284"/>
      <c r="K148" s="284"/>
      <c r="L148" s="45"/>
      <c r="M148" s="48"/>
      <c r="N148" s="222"/>
      <c r="O148" s="45"/>
      <c r="P148" s="48"/>
      <c r="Q148" s="222"/>
      <c r="R148" s="2"/>
      <c r="S148" s="27"/>
      <c r="T148" s="222"/>
      <c r="U148" s="224"/>
      <c r="V148" s="521"/>
      <c r="W148" s="222"/>
      <c r="X148" s="224"/>
      <c r="Y148" s="222"/>
      <c r="Z148" s="224"/>
      <c r="AA148" s="46"/>
    </row>
    <row r="149" spans="2:27" x14ac:dyDescent="0.2">
      <c r="B149" s="166">
        <f>'1. LDC Info'!$F$27-1</f>
        <v>2015</v>
      </c>
      <c r="C149" s="44" t="s">
        <v>116</v>
      </c>
      <c r="D149" s="2"/>
      <c r="E149" s="222"/>
      <c r="F149" s="2"/>
      <c r="G149" s="222"/>
      <c r="H149" s="224"/>
      <c r="I149" s="222"/>
      <c r="J149" s="284"/>
      <c r="K149" s="284"/>
      <c r="L149" s="45"/>
      <c r="M149" s="48"/>
      <c r="N149" s="222"/>
      <c r="O149" s="45"/>
      <c r="P149" s="48"/>
      <c r="Q149" s="222"/>
      <c r="R149" s="2"/>
      <c r="S149" s="27"/>
      <c r="T149" s="222"/>
      <c r="U149" s="224"/>
      <c r="V149" s="521"/>
      <c r="W149" s="222"/>
      <c r="X149" s="224"/>
      <c r="Y149" s="222"/>
      <c r="Z149" s="224"/>
      <c r="AA149" s="46"/>
    </row>
    <row r="150" spans="2:27" x14ac:dyDescent="0.2">
      <c r="B150" s="166">
        <f>'1. LDC Info'!$F$27-1</f>
        <v>2015</v>
      </c>
      <c r="C150" s="44" t="s">
        <v>117</v>
      </c>
      <c r="D150" s="2"/>
      <c r="E150" s="222"/>
      <c r="F150" s="2"/>
      <c r="G150" s="222"/>
      <c r="H150" s="224"/>
      <c r="I150" s="222"/>
      <c r="J150" s="284"/>
      <c r="K150" s="284"/>
      <c r="L150" s="45"/>
      <c r="M150" s="48"/>
      <c r="N150" s="222"/>
      <c r="O150" s="2"/>
      <c r="P150" s="27"/>
      <c r="Q150" s="222"/>
      <c r="R150" s="2"/>
      <c r="S150" s="27"/>
      <c r="T150" s="222"/>
      <c r="U150" s="224"/>
      <c r="V150" s="521"/>
      <c r="W150" s="222"/>
      <c r="X150" s="224"/>
      <c r="Y150" s="222"/>
      <c r="Z150" s="224"/>
      <c r="AA150" s="46"/>
    </row>
    <row r="151" spans="2:27" x14ac:dyDescent="0.2">
      <c r="B151" s="166">
        <f>'1. LDC Info'!$F$27-1</f>
        <v>2015</v>
      </c>
      <c r="C151" s="44" t="s">
        <v>118</v>
      </c>
      <c r="D151" s="2"/>
      <c r="E151" s="222"/>
      <c r="F151" s="2"/>
      <c r="G151" s="222"/>
      <c r="H151" s="224"/>
      <c r="I151" s="222"/>
      <c r="J151" s="284"/>
      <c r="K151" s="284"/>
      <c r="L151" s="45"/>
      <c r="M151" s="48"/>
      <c r="N151" s="222"/>
      <c r="O151" s="2"/>
      <c r="P151" s="27"/>
      <c r="Q151" s="222"/>
      <c r="R151" s="2"/>
      <c r="S151" s="27"/>
      <c r="T151" s="222"/>
      <c r="U151" s="224"/>
      <c r="V151" s="521"/>
      <c r="W151" s="222"/>
      <c r="X151" s="224"/>
      <c r="Y151" s="222"/>
      <c r="Z151" s="224"/>
      <c r="AA151" s="46"/>
    </row>
    <row r="152" spans="2:27" x14ac:dyDescent="0.2">
      <c r="B152" s="166">
        <f>'1. LDC Info'!$F$27-1</f>
        <v>2015</v>
      </c>
      <c r="C152" s="44" t="s">
        <v>119</v>
      </c>
      <c r="D152" s="2"/>
      <c r="E152" s="222"/>
      <c r="F152" s="2"/>
      <c r="G152" s="222"/>
      <c r="H152" s="224"/>
      <c r="I152" s="222"/>
      <c r="J152" s="284"/>
      <c r="K152" s="284"/>
      <c r="L152" s="45"/>
      <c r="M152" s="48"/>
      <c r="N152" s="222"/>
      <c r="O152" s="2"/>
      <c r="P152" s="27"/>
      <c r="Q152" s="222"/>
      <c r="R152" s="2"/>
      <c r="S152" s="27"/>
      <c r="T152" s="222"/>
      <c r="U152" s="224"/>
      <c r="V152" s="521"/>
      <c r="W152" s="222"/>
      <c r="X152" s="224"/>
      <c r="Y152" s="222"/>
      <c r="Z152" s="224"/>
      <c r="AA152" s="46"/>
    </row>
    <row r="153" spans="2:27" x14ac:dyDescent="0.2">
      <c r="B153" s="166">
        <f>'1. LDC Info'!$F$27-1</f>
        <v>2015</v>
      </c>
      <c r="C153" s="44" t="s">
        <v>109</v>
      </c>
      <c r="D153" s="2"/>
      <c r="E153" s="222"/>
      <c r="F153" s="2"/>
      <c r="G153" s="222"/>
      <c r="H153" s="224"/>
      <c r="I153" s="222"/>
      <c r="J153" s="284"/>
      <c r="K153" s="284"/>
      <c r="L153" s="45"/>
      <c r="M153" s="48"/>
      <c r="N153" s="222"/>
      <c r="O153" s="2"/>
      <c r="P153" s="27"/>
      <c r="Q153" s="222"/>
      <c r="R153" s="2"/>
      <c r="S153" s="27"/>
      <c r="T153" s="222"/>
      <c r="U153" s="224"/>
      <c r="V153" s="521"/>
      <c r="W153" s="222"/>
      <c r="X153" s="224"/>
      <c r="Y153" s="222"/>
      <c r="Z153" s="224"/>
      <c r="AA153" s="46"/>
    </row>
    <row r="154" spans="2:27" x14ac:dyDescent="0.2">
      <c r="B154" s="166">
        <f>'1. LDC Info'!$F$27-1</f>
        <v>2015</v>
      </c>
      <c r="C154" s="44" t="s">
        <v>110</v>
      </c>
      <c r="D154" s="2"/>
      <c r="E154" s="222"/>
      <c r="F154" s="50"/>
      <c r="G154" s="222"/>
      <c r="H154" s="224"/>
      <c r="I154" s="222"/>
      <c r="J154" s="284"/>
      <c r="K154" s="284"/>
      <c r="L154" s="45"/>
      <c r="M154" s="48"/>
      <c r="N154" s="222"/>
      <c r="O154" s="2"/>
      <c r="P154" s="27"/>
      <c r="Q154" s="222"/>
      <c r="R154" s="2"/>
      <c r="S154" s="27"/>
      <c r="T154" s="222"/>
      <c r="U154" s="224"/>
      <c r="V154" s="521"/>
      <c r="W154" s="222"/>
      <c r="X154" s="224"/>
      <c r="Y154" s="222"/>
      <c r="Z154" s="224"/>
      <c r="AA154" s="46"/>
    </row>
    <row r="155" spans="2:27" x14ac:dyDescent="0.2">
      <c r="B155" s="166">
        <f>'1. LDC Info'!$F$27-1</f>
        <v>2015</v>
      </c>
      <c r="C155" s="44" t="s">
        <v>111</v>
      </c>
      <c r="D155" s="2"/>
      <c r="E155" s="222"/>
      <c r="F155" s="2"/>
      <c r="G155" s="222"/>
      <c r="H155" s="224"/>
      <c r="I155" s="222"/>
      <c r="J155" s="284"/>
      <c r="K155" s="284"/>
      <c r="L155" s="45"/>
      <c r="M155" s="48"/>
      <c r="N155" s="222"/>
      <c r="O155" s="2"/>
      <c r="P155" s="27"/>
      <c r="Q155" s="222"/>
      <c r="R155" s="2"/>
      <c r="S155" s="27"/>
      <c r="T155" s="222"/>
      <c r="U155" s="224"/>
      <c r="V155" s="521"/>
      <c r="W155" s="222"/>
      <c r="X155" s="224"/>
      <c r="Y155" s="222"/>
      <c r="Z155" s="224"/>
      <c r="AA155" s="46"/>
    </row>
    <row r="156" spans="2:27" x14ac:dyDescent="0.2">
      <c r="B156" s="166">
        <f>'1. LDC Info'!$F$27-1</f>
        <v>2015</v>
      </c>
      <c r="C156" s="44" t="s">
        <v>108</v>
      </c>
      <c r="D156" s="523"/>
      <c r="E156" s="222"/>
      <c r="F156" s="523"/>
      <c r="G156" s="541"/>
      <c r="H156" s="543"/>
      <c r="I156" s="222"/>
      <c r="J156" s="543"/>
      <c r="K156" s="541"/>
      <c r="L156" s="523"/>
      <c r="M156" s="542"/>
      <c r="N156" s="541"/>
      <c r="O156" s="543"/>
      <c r="P156" s="542"/>
      <c r="Q156" s="222"/>
      <c r="R156" s="543"/>
      <c r="S156" s="542"/>
      <c r="T156" s="541"/>
      <c r="U156" s="543"/>
      <c r="V156" s="542"/>
      <c r="W156" s="541"/>
      <c r="X156" s="224"/>
      <c r="Y156" s="222"/>
      <c r="Z156" s="224"/>
      <c r="AA156" s="46"/>
    </row>
    <row r="157" spans="2:27" x14ac:dyDescent="0.2">
      <c r="B157" s="166" t="str">
        <f>'1. LDC Info'!$F$27</f>
        <v>2016</v>
      </c>
      <c r="C157" s="44" t="s">
        <v>112</v>
      </c>
      <c r="D157" s="45"/>
      <c r="E157" s="222"/>
      <c r="F157" s="45"/>
      <c r="G157" s="222"/>
      <c r="H157" s="224"/>
      <c r="I157" s="222"/>
      <c r="J157" s="284"/>
      <c r="K157" s="284"/>
      <c r="L157" s="45"/>
      <c r="M157" s="48"/>
      <c r="N157" s="222"/>
      <c r="O157" s="2"/>
      <c r="P157" s="27"/>
      <c r="Q157" s="222"/>
      <c r="R157" s="45"/>
      <c r="S157" s="27"/>
      <c r="T157" s="222"/>
      <c r="U157" s="224"/>
      <c r="V157" s="521"/>
      <c r="W157" s="222"/>
      <c r="X157" s="224"/>
      <c r="Y157" s="222"/>
      <c r="Z157" s="224"/>
      <c r="AA157" s="46"/>
    </row>
    <row r="158" spans="2:27" x14ac:dyDescent="0.2">
      <c r="B158" s="166" t="str">
        <f>'1. LDC Info'!$F$27</f>
        <v>2016</v>
      </c>
      <c r="C158" s="44" t="s">
        <v>113</v>
      </c>
      <c r="D158" s="45"/>
      <c r="E158" s="46"/>
      <c r="F158" s="45"/>
      <c r="G158" s="46"/>
      <c r="H158" s="224"/>
      <c r="I158" s="222"/>
      <c r="J158" s="284"/>
      <c r="K158" s="284"/>
      <c r="L158" s="45"/>
      <c r="M158" s="48"/>
      <c r="N158" s="46"/>
      <c r="O158" s="2"/>
      <c r="P158" s="27"/>
      <c r="Q158" s="46"/>
      <c r="R158" s="45"/>
      <c r="S158" s="27"/>
      <c r="T158" s="46"/>
      <c r="U158" s="47"/>
      <c r="V158" s="521"/>
      <c r="W158" s="46"/>
      <c r="X158" s="47"/>
      <c r="Y158" s="46"/>
      <c r="Z158" s="47"/>
      <c r="AA158" s="46"/>
    </row>
    <row r="159" spans="2:27" x14ac:dyDescent="0.2">
      <c r="B159" s="166" t="str">
        <f>'1. LDC Info'!$F$27</f>
        <v>2016</v>
      </c>
      <c r="C159" s="44" t="s">
        <v>114</v>
      </c>
      <c r="D159" s="51"/>
      <c r="E159" s="46"/>
      <c r="F159" s="51"/>
      <c r="G159" s="46"/>
      <c r="H159" s="224"/>
      <c r="I159" s="222"/>
      <c r="J159" s="284"/>
      <c r="K159" s="284"/>
      <c r="L159" s="45"/>
      <c r="M159" s="48"/>
      <c r="N159" s="46"/>
      <c r="O159" s="2"/>
      <c r="P159" s="27"/>
      <c r="Q159" s="46"/>
      <c r="R159" s="51"/>
      <c r="S159" s="27"/>
      <c r="T159" s="46"/>
      <c r="U159" s="47"/>
      <c r="V159" s="521"/>
      <c r="W159" s="46"/>
      <c r="X159" s="47"/>
      <c r="Y159" s="46"/>
      <c r="Z159" s="47"/>
      <c r="AA159" s="46"/>
    </row>
    <row r="160" spans="2:27" x14ac:dyDescent="0.2">
      <c r="B160" s="166" t="str">
        <f>'1. LDC Info'!$F$27</f>
        <v>2016</v>
      </c>
      <c r="C160" s="44" t="s">
        <v>115</v>
      </c>
      <c r="D160" s="45"/>
      <c r="E160" s="46"/>
      <c r="F160" s="45"/>
      <c r="G160" s="46"/>
      <c r="H160" s="224"/>
      <c r="I160" s="222"/>
      <c r="J160" s="284"/>
      <c r="K160" s="284"/>
      <c r="L160" s="45"/>
      <c r="M160" s="48"/>
      <c r="N160" s="46"/>
      <c r="O160" s="2"/>
      <c r="P160" s="27"/>
      <c r="Q160" s="46"/>
      <c r="R160" s="45"/>
      <c r="S160" s="27"/>
      <c r="T160" s="46"/>
      <c r="U160" s="47"/>
      <c r="V160" s="521"/>
      <c r="W160" s="46"/>
      <c r="X160" s="47"/>
      <c r="Y160" s="46"/>
      <c r="Z160" s="47"/>
      <c r="AA160" s="46"/>
    </row>
    <row r="161" spans="2:27" x14ac:dyDescent="0.2">
      <c r="B161" s="166" t="str">
        <f>'1. LDC Info'!$F$27</f>
        <v>2016</v>
      </c>
      <c r="C161" s="44" t="s">
        <v>116</v>
      </c>
      <c r="D161" s="45"/>
      <c r="E161" s="46"/>
      <c r="F161" s="45"/>
      <c r="G161" s="46"/>
      <c r="H161" s="224"/>
      <c r="I161" s="222"/>
      <c r="J161" s="284"/>
      <c r="K161" s="284"/>
      <c r="L161" s="45"/>
      <c r="M161" s="48"/>
      <c r="N161" s="46"/>
      <c r="O161" s="2"/>
      <c r="P161" s="27"/>
      <c r="Q161" s="46"/>
      <c r="R161" s="45"/>
      <c r="S161" s="27"/>
      <c r="T161" s="46"/>
      <c r="U161" s="47"/>
      <c r="V161" s="521"/>
      <c r="W161" s="46"/>
      <c r="X161" s="47"/>
      <c r="Y161" s="46"/>
      <c r="Z161" s="47"/>
      <c r="AA161" s="46"/>
    </row>
    <row r="162" spans="2:27" x14ac:dyDescent="0.2">
      <c r="B162" s="166" t="str">
        <f>'1. LDC Info'!$F$27</f>
        <v>2016</v>
      </c>
      <c r="C162" s="44" t="s">
        <v>117</v>
      </c>
      <c r="D162" s="45"/>
      <c r="E162" s="46"/>
      <c r="F162" s="45"/>
      <c r="G162" s="46"/>
      <c r="H162" s="224"/>
      <c r="I162" s="222"/>
      <c r="J162" s="284"/>
      <c r="K162" s="284"/>
      <c r="L162" s="45"/>
      <c r="M162" s="48"/>
      <c r="N162" s="46"/>
      <c r="O162" s="2"/>
      <c r="P162" s="27"/>
      <c r="Q162" s="46"/>
      <c r="R162" s="45"/>
      <c r="S162" s="27"/>
      <c r="T162" s="46"/>
      <c r="U162" s="47"/>
      <c r="V162" s="521"/>
      <c r="W162" s="46"/>
      <c r="X162" s="47"/>
      <c r="Y162" s="46"/>
      <c r="Z162" s="47"/>
      <c r="AA162" s="46"/>
    </row>
    <row r="163" spans="2:27" x14ac:dyDescent="0.2">
      <c r="B163" s="166" t="str">
        <f>'1. LDC Info'!$F$27</f>
        <v>2016</v>
      </c>
      <c r="C163" s="44" t="s">
        <v>118</v>
      </c>
      <c r="D163" s="45"/>
      <c r="E163" s="46"/>
      <c r="F163" s="45"/>
      <c r="G163" s="46"/>
      <c r="H163" s="224"/>
      <c r="I163" s="222"/>
      <c r="J163" s="284"/>
      <c r="K163" s="284"/>
      <c r="L163" s="45"/>
      <c r="M163" s="48"/>
      <c r="N163" s="46"/>
      <c r="O163" s="2"/>
      <c r="P163" s="27"/>
      <c r="Q163" s="46"/>
      <c r="R163" s="45"/>
      <c r="S163" s="27"/>
      <c r="T163" s="46"/>
      <c r="U163" s="47"/>
      <c r="V163" s="521"/>
      <c r="W163" s="46"/>
      <c r="X163" s="47"/>
      <c r="Y163" s="46"/>
      <c r="Z163" s="47"/>
      <c r="AA163" s="46"/>
    </row>
    <row r="164" spans="2:27" x14ac:dyDescent="0.2">
      <c r="B164" s="166" t="str">
        <f>'1. LDC Info'!$F$27</f>
        <v>2016</v>
      </c>
      <c r="C164" s="44" t="s">
        <v>119</v>
      </c>
      <c r="D164" s="45"/>
      <c r="E164" s="46"/>
      <c r="F164" s="45"/>
      <c r="G164" s="46"/>
      <c r="H164" s="224"/>
      <c r="I164" s="222"/>
      <c r="J164" s="284"/>
      <c r="K164" s="284"/>
      <c r="L164" s="45"/>
      <c r="M164" s="48"/>
      <c r="N164" s="46"/>
      <c r="O164" s="2"/>
      <c r="P164" s="27"/>
      <c r="Q164" s="46"/>
      <c r="R164" s="45"/>
      <c r="S164" s="27"/>
      <c r="T164" s="46"/>
      <c r="U164" s="47"/>
      <c r="V164" s="521"/>
      <c r="W164" s="46"/>
      <c r="X164" s="47"/>
      <c r="Y164" s="46"/>
      <c r="Z164" s="47"/>
      <c r="AA164" s="46"/>
    </row>
    <row r="165" spans="2:27" x14ac:dyDescent="0.2">
      <c r="B165" s="166" t="str">
        <f>'1. LDC Info'!$F$27</f>
        <v>2016</v>
      </c>
      <c r="C165" s="44" t="s">
        <v>109</v>
      </c>
      <c r="D165" s="52"/>
      <c r="E165" s="46"/>
      <c r="F165" s="52"/>
      <c r="G165" s="46"/>
      <c r="H165" s="224"/>
      <c r="I165" s="222"/>
      <c r="J165" s="284"/>
      <c r="K165" s="284"/>
      <c r="L165" s="45"/>
      <c r="M165" s="48"/>
      <c r="N165" s="46"/>
      <c r="O165" s="2"/>
      <c r="P165" s="27"/>
      <c r="Q165" s="46"/>
      <c r="R165" s="52"/>
      <c r="S165" s="27"/>
      <c r="T165" s="46"/>
      <c r="U165" s="47"/>
      <c r="V165" s="521"/>
      <c r="W165" s="46"/>
      <c r="X165" s="47"/>
      <c r="Y165" s="46"/>
      <c r="Z165" s="47"/>
      <c r="AA165" s="46"/>
    </row>
    <row r="166" spans="2:27" x14ac:dyDescent="0.2">
      <c r="B166" s="166" t="str">
        <f>'1. LDC Info'!$F$27</f>
        <v>2016</v>
      </c>
      <c r="C166" s="44" t="s">
        <v>110</v>
      </c>
      <c r="D166" s="45"/>
      <c r="E166" s="46"/>
      <c r="F166" s="45"/>
      <c r="G166" s="46"/>
      <c r="H166" s="224"/>
      <c r="I166" s="222"/>
      <c r="J166" s="284"/>
      <c r="K166" s="284"/>
      <c r="L166" s="45"/>
      <c r="M166" s="48"/>
      <c r="N166" s="46"/>
      <c r="O166" s="2"/>
      <c r="P166" s="27"/>
      <c r="Q166" s="46"/>
      <c r="R166" s="45"/>
      <c r="S166" s="27"/>
      <c r="T166" s="46"/>
      <c r="U166" s="47"/>
      <c r="V166" s="521"/>
      <c r="W166" s="46"/>
      <c r="X166" s="47"/>
      <c r="Y166" s="46"/>
      <c r="Z166" s="47"/>
      <c r="AA166" s="46"/>
    </row>
    <row r="167" spans="2:27" x14ac:dyDescent="0.2">
      <c r="B167" s="166" t="str">
        <f>'1. LDC Info'!$F$27</f>
        <v>2016</v>
      </c>
      <c r="C167" s="44" t="s">
        <v>111</v>
      </c>
      <c r="D167" s="45"/>
      <c r="E167" s="46"/>
      <c r="F167" s="45"/>
      <c r="G167" s="46"/>
      <c r="H167" s="224"/>
      <c r="I167" s="222"/>
      <c r="J167" s="284"/>
      <c r="K167" s="284"/>
      <c r="L167" s="45"/>
      <c r="M167" s="48"/>
      <c r="N167" s="46"/>
      <c r="O167" s="2"/>
      <c r="P167" s="27"/>
      <c r="Q167" s="46"/>
      <c r="R167" s="45"/>
      <c r="S167" s="27"/>
      <c r="T167" s="46"/>
      <c r="U167" s="47"/>
      <c r="V167" s="521"/>
      <c r="W167" s="46"/>
      <c r="X167" s="47"/>
      <c r="Y167" s="46"/>
      <c r="Z167" s="47"/>
      <c r="AA167" s="46"/>
    </row>
    <row r="168" spans="2:27" ht="13.5" thickBot="1" x14ac:dyDescent="0.25">
      <c r="B168" s="166" t="str">
        <f>'1. LDC Info'!$F$27</f>
        <v>2016</v>
      </c>
      <c r="C168" s="44" t="s">
        <v>108</v>
      </c>
      <c r="D168" s="53"/>
      <c r="E168" s="54"/>
      <c r="F168" s="53"/>
      <c r="G168" s="54"/>
      <c r="H168" s="56"/>
      <c r="I168" s="54"/>
      <c r="J168" s="285"/>
      <c r="K168" s="285"/>
      <c r="L168" s="53"/>
      <c r="M168" s="55"/>
      <c r="N168" s="54"/>
      <c r="O168" s="144"/>
      <c r="P168" s="28"/>
      <c r="Q168" s="54"/>
      <c r="R168" s="53"/>
      <c r="S168" s="28"/>
      <c r="T168" s="54"/>
      <c r="U168" s="56"/>
      <c r="V168" s="516"/>
      <c r="W168" s="54"/>
      <c r="X168" s="56"/>
      <c r="Y168" s="54"/>
      <c r="Z168" s="56"/>
      <c r="AA168" s="54"/>
    </row>
    <row r="169" spans="2:27" x14ac:dyDescent="0.2">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row>
    <row r="170" spans="2:27" x14ac:dyDescent="0.2">
      <c r="D170" s="57"/>
    </row>
    <row r="171" spans="2:27" x14ac:dyDescent="0.2">
      <c r="D171" s="236"/>
      <c r="E171" s="236"/>
      <c r="F171" s="236"/>
      <c r="G171" s="236"/>
      <c r="H171" s="236"/>
      <c r="I171" s="236"/>
      <c r="J171" s="236"/>
      <c r="K171" s="236"/>
      <c r="L171" s="236"/>
      <c r="M171" s="236"/>
      <c r="N171" s="236"/>
      <c r="O171" s="236"/>
      <c r="P171" s="236"/>
      <c r="Q171" s="236"/>
      <c r="R171" s="236"/>
      <c r="S171" s="236"/>
      <c r="T171" s="236"/>
      <c r="U171" s="236"/>
      <c r="V171" s="236"/>
      <c r="W171" s="236"/>
      <c r="X171" s="236"/>
      <c r="Y171" s="236"/>
      <c r="Z171" s="236"/>
      <c r="AA171" s="236"/>
    </row>
    <row r="172" spans="2:27" x14ac:dyDescent="0.2">
      <c r="D172" s="236"/>
      <c r="E172" s="237"/>
      <c r="F172" s="236"/>
      <c r="G172" s="237"/>
      <c r="H172" s="236"/>
      <c r="I172" s="237"/>
      <c r="J172" s="237"/>
      <c r="K172" s="237"/>
      <c r="L172" s="236"/>
      <c r="M172" s="236"/>
      <c r="N172" s="237"/>
      <c r="O172" s="236"/>
      <c r="P172" s="236"/>
      <c r="Q172" s="237"/>
      <c r="R172" s="236"/>
      <c r="S172" s="236"/>
      <c r="T172" s="237"/>
    </row>
    <row r="173" spans="2:27" x14ac:dyDescent="0.2">
      <c r="D173" s="236"/>
      <c r="E173" s="237"/>
      <c r="F173" s="236"/>
      <c r="G173" s="237"/>
      <c r="H173" s="236"/>
      <c r="I173" s="237"/>
      <c r="J173" s="237"/>
      <c r="K173" s="237"/>
      <c r="L173" s="236"/>
      <c r="M173" s="236"/>
      <c r="N173" s="237"/>
      <c r="O173" s="236"/>
      <c r="P173" s="236"/>
      <c r="Q173" s="237"/>
      <c r="R173" s="236"/>
      <c r="S173" s="236"/>
      <c r="T173" s="237"/>
    </row>
    <row r="174" spans="2:27" x14ac:dyDescent="0.2">
      <c r="D174" s="236"/>
      <c r="E174" s="237"/>
      <c r="F174" s="236"/>
      <c r="G174" s="237"/>
      <c r="H174" s="236"/>
      <c r="I174" s="237"/>
      <c r="J174" s="237"/>
      <c r="K174" s="237"/>
      <c r="L174" s="236"/>
      <c r="M174" s="236"/>
      <c r="N174" s="237"/>
      <c r="O174" s="236"/>
      <c r="P174" s="236"/>
      <c r="Q174" s="237"/>
      <c r="R174" s="236"/>
      <c r="S174" s="236"/>
      <c r="T174" s="237"/>
    </row>
  </sheetData>
  <mergeCells count="21">
    <mergeCell ref="H21:I21"/>
    <mergeCell ref="J20:K20"/>
    <mergeCell ref="J21:K21"/>
    <mergeCell ref="D21:E21"/>
    <mergeCell ref="F21:G21"/>
    <mergeCell ref="B10:I10"/>
    <mergeCell ref="R20:T20"/>
    <mergeCell ref="O20:Q20"/>
    <mergeCell ref="Z20:AA20"/>
    <mergeCell ref="X21:Y21"/>
    <mergeCell ref="Z21:AA21"/>
    <mergeCell ref="U20:W20"/>
    <mergeCell ref="U21:W21"/>
    <mergeCell ref="X20:Y20"/>
    <mergeCell ref="R21:T21"/>
    <mergeCell ref="O21:Q21"/>
    <mergeCell ref="L21:N21"/>
    <mergeCell ref="D20:E20"/>
    <mergeCell ref="F20:G20"/>
    <mergeCell ref="L20:N20"/>
    <mergeCell ref="H20:I20"/>
  </mergeCell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W49"/>
  <sheetViews>
    <sheetView showGridLines="0" zoomScaleNormal="100" workbookViewId="0">
      <selection activeCell="E32" sqref="E32"/>
    </sheetView>
  </sheetViews>
  <sheetFormatPr defaultRowHeight="12.75" x14ac:dyDescent="0.2"/>
  <cols>
    <col min="1" max="1" width="13.6640625" style="1" customWidth="1"/>
    <col min="2" max="2" width="20" style="1" bestFit="1" customWidth="1"/>
    <col min="3" max="10" width="13.33203125" style="1" bestFit="1" customWidth="1"/>
    <col min="11" max="11" width="14.33203125" style="1" bestFit="1" customWidth="1"/>
    <col min="12" max="12" width="13.33203125" style="1" bestFit="1" customWidth="1"/>
    <col min="13" max="14" width="14" style="1" customWidth="1"/>
    <col min="15" max="16" width="13.33203125" style="1" bestFit="1" customWidth="1"/>
    <col min="17" max="20" width="14" style="1" customWidth="1"/>
    <col min="21" max="21" width="9.33203125" style="1"/>
    <col min="22" max="22" width="20.33203125" style="1" customWidth="1"/>
    <col min="23" max="23" width="13.33203125" style="1" bestFit="1" customWidth="1"/>
    <col min="24" max="16384" width="9.33203125" style="1"/>
  </cols>
  <sheetData>
    <row r="1" spans="1:23" s="536" customFormat="1" x14ac:dyDescent="0.2">
      <c r="A1" s="758" t="s">
        <v>272</v>
      </c>
    </row>
    <row r="2" spans="1:23" s="536" customFormat="1" x14ac:dyDescent="0.2"/>
    <row r="3" spans="1:23" s="536" customFormat="1" x14ac:dyDescent="0.2"/>
    <row r="4" spans="1:23" s="536" customFormat="1" x14ac:dyDescent="0.2"/>
    <row r="5" spans="1:23" s="536" customFormat="1" x14ac:dyDescent="0.2"/>
    <row r="6" spans="1:23" s="536" customFormat="1" x14ac:dyDescent="0.2"/>
    <row r="7" spans="1:23" s="536" customFormat="1" x14ac:dyDescent="0.2"/>
    <row r="8" spans="1:23" s="536" customFormat="1" x14ac:dyDescent="0.2"/>
    <row r="9" spans="1:23" s="536" customFormat="1" x14ac:dyDescent="0.2"/>
    <row r="10" spans="1:23" customFormat="1" ht="12.75" customHeight="1" x14ac:dyDescent="0.2">
      <c r="B10" s="809"/>
      <c r="C10" s="809"/>
      <c r="D10" s="809"/>
      <c r="E10" s="809"/>
      <c r="F10" s="809"/>
      <c r="G10" s="809"/>
      <c r="H10" s="809"/>
      <c r="I10" s="809"/>
      <c r="J10" s="514"/>
      <c r="K10" s="514"/>
      <c r="L10" s="514"/>
      <c r="M10" s="514"/>
    </row>
    <row r="11" spans="1:23" ht="23.25" x14ac:dyDescent="0.2">
      <c r="B11" s="133" t="s">
        <v>86</v>
      </c>
    </row>
    <row r="12" spans="1:23" s="536" customFormat="1" ht="15" x14ac:dyDescent="0.2">
      <c r="B12" s="63" t="s">
        <v>64</v>
      </c>
    </row>
    <row r="13" spans="1:23" ht="14.25" x14ac:dyDescent="0.2">
      <c r="B13" s="100" t="s">
        <v>247</v>
      </c>
      <c r="C13" s="536"/>
      <c r="D13" s="536"/>
      <c r="E13" s="536"/>
      <c r="F13" s="536"/>
      <c r="G13" s="536"/>
      <c r="H13" s="536"/>
      <c r="I13" s="536"/>
      <c r="J13" s="311"/>
      <c r="K13" s="312"/>
    </row>
    <row r="14" spans="1:23" ht="13.5" customHeight="1" thickBot="1" x14ac:dyDescent="0.25">
      <c r="B14" s="133"/>
      <c r="J14" s="311"/>
      <c r="K14" s="312"/>
    </row>
    <row r="15" spans="1:23" ht="24.75" customHeight="1" thickBot="1" x14ac:dyDescent="0.25">
      <c r="B15" s="4"/>
      <c r="C15" s="831" t="str">
        <f>'2. Customer Classes'!B14</f>
        <v>Residential</v>
      </c>
      <c r="D15" s="832"/>
      <c r="E15" s="831" t="str">
        <f>'2. Customer Classes'!B15</f>
        <v>General Service &lt; 50 kW</v>
      </c>
      <c r="F15" s="832"/>
      <c r="G15" s="831" t="str">
        <f>'2. Customer Classes'!B16</f>
        <v>Unmetered Scattered Load</v>
      </c>
      <c r="H15" s="832"/>
      <c r="I15" s="831">
        <f>'2. Customer Classes'!B17</f>
        <v>0</v>
      </c>
      <c r="J15" s="832"/>
      <c r="K15" s="831" t="str">
        <f>'2. Customer Classes'!B18</f>
        <v>General Service &gt; 50 kW - 4999 kW</v>
      </c>
      <c r="L15" s="832"/>
      <c r="M15" s="831" t="str">
        <f>'2. Customer Classes'!B19</f>
        <v>Streetlighting</v>
      </c>
      <c r="N15" s="832"/>
      <c r="O15" s="839" t="str">
        <f>'2. Customer Classes'!B20</f>
        <v>Sentinel Lighting</v>
      </c>
      <c r="P15" s="832"/>
      <c r="Q15" s="831">
        <f>'2. Customer Classes'!B21</f>
        <v>0</v>
      </c>
      <c r="R15" s="832"/>
      <c r="S15" s="836" t="str">
        <f>'2. Customer Classes'!B22</f>
        <v>other</v>
      </c>
      <c r="T15" s="838"/>
      <c r="V15" s="836" t="s">
        <v>164</v>
      </c>
      <c r="W15" s="837"/>
    </row>
    <row r="16" spans="1:23" ht="39" thickBot="1" x14ac:dyDescent="0.25">
      <c r="B16" s="5" t="s">
        <v>3</v>
      </c>
      <c r="C16" s="170" t="s">
        <v>120</v>
      </c>
      <c r="D16" s="6" t="s">
        <v>5</v>
      </c>
      <c r="E16" s="170" t="s">
        <v>120</v>
      </c>
      <c r="F16" s="6" t="s">
        <v>5</v>
      </c>
      <c r="G16" s="170" t="s">
        <v>120</v>
      </c>
      <c r="H16" s="6" t="s">
        <v>5</v>
      </c>
      <c r="I16" s="170"/>
      <c r="J16" s="6"/>
      <c r="K16" s="170" t="s">
        <v>120</v>
      </c>
      <c r="L16" s="5" t="s">
        <v>5</v>
      </c>
      <c r="M16" s="170" t="s">
        <v>120</v>
      </c>
      <c r="N16" s="5" t="s">
        <v>5</v>
      </c>
      <c r="O16" s="170" t="s">
        <v>120</v>
      </c>
      <c r="P16" s="7" t="s">
        <v>5</v>
      </c>
      <c r="Q16" s="170" t="s">
        <v>120</v>
      </c>
      <c r="R16" s="6" t="s">
        <v>5</v>
      </c>
      <c r="S16" s="170" t="s">
        <v>120</v>
      </c>
      <c r="T16" s="7" t="s">
        <v>5</v>
      </c>
      <c r="V16" s="170" t="s">
        <v>174</v>
      </c>
      <c r="W16" s="7" t="s">
        <v>5</v>
      </c>
    </row>
    <row r="17" spans="2:23" x14ac:dyDescent="0.2">
      <c r="B17" s="8">
        <f>'1. LDC Info'!F25-10</f>
        <v>2005</v>
      </c>
      <c r="C17" s="200">
        <f>AVERAGE('3. Consumption by Rate Class'!E25,'3. Consumption by Rate Class'!E36)</f>
        <v>8625</v>
      </c>
      <c r="D17" s="169"/>
      <c r="E17" s="200">
        <f>AVERAGE('3. Consumption by Rate Class'!G25,'3. Consumption by Rate Class'!G36)</f>
        <v>1496</v>
      </c>
      <c r="F17" s="169"/>
      <c r="G17" s="171">
        <f>AVERAGE('3. Consumption by Rate Class'!I25,'3. Consumption by Rate Class'!I36)</f>
        <v>17</v>
      </c>
      <c r="H17" s="169"/>
      <c r="I17" s="200"/>
      <c r="J17" s="169"/>
      <c r="K17" s="171">
        <f>AVERAGE('3. Consumption by Rate Class'!N25,'3. Consumption by Rate Class'!N36)</f>
        <v>134</v>
      </c>
      <c r="L17" s="169"/>
      <c r="M17" s="200">
        <f>IF(SUM('3. Consumption by Rate Class'!Q25:Q36)&gt;0,+AVERAGE('3. Consumption by Rate Class'!Q25,'3. Consumption by Rate Class'!Q36),0)</f>
        <v>2604</v>
      </c>
      <c r="N17" s="169"/>
      <c r="O17" s="200">
        <f>AVERAGE('3. Consumption by Rate Class'!T25,'3. Consumption by Rate Class'!T36)</f>
        <v>250</v>
      </c>
      <c r="P17" s="172"/>
      <c r="Q17" s="388"/>
      <c r="R17" s="169"/>
      <c r="S17" s="388"/>
      <c r="T17" s="169"/>
      <c r="V17" s="241">
        <f>+C17+E17+G17+I17+K17+M17+O17+Q17</f>
        <v>13126</v>
      </c>
      <c r="W17" s="242"/>
    </row>
    <row r="18" spans="2:23" x14ac:dyDescent="0.2">
      <c r="B18" s="8">
        <f>'1. LDC Info'!F25-9</f>
        <v>2006</v>
      </c>
      <c r="C18" s="201">
        <f>AVERAGE('3. Consumption by Rate Class'!E37,'3. Consumption by Rate Class'!E48)</f>
        <v>8696</v>
      </c>
      <c r="D18" s="173">
        <f>C18/C17</f>
        <v>1.0082318840579709</v>
      </c>
      <c r="E18" s="201">
        <f>AVERAGE('3. Consumption by Rate Class'!G37,'3. Consumption by Rate Class'!G48)</f>
        <v>1449</v>
      </c>
      <c r="F18" s="173">
        <f>E18/E17</f>
        <v>0.9685828877005348</v>
      </c>
      <c r="G18" s="18">
        <f>AVERAGE('3. Consumption by Rate Class'!I37,'3. Consumption by Rate Class'!I48)</f>
        <v>20</v>
      </c>
      <c r="H18" s="173">
        <f t="shared" ref="H18:H26" si="0">G18/G17</f>
        <v>1.1764705882352942</v>
      </c>
      <c r="I18" s="200"/>
      <c r="J18" s="173"/>
      <c r="K18" s="18">
        <f>AVERAGE('3. Consumption by Rate Class'!N37,'3. Consumption by Rate Class'!N48)</f>
        <v>136</v>
      </c>
      <c r="L18" s="173">
        <f t="shared" ref="L18:L26" si="1">K18/K17</f>
        <v>1.0149253731343284</v>
      </c>
      <c r="M18" s="200">
        <f>IF(SUM('3. Consumption by Rate Class'!Q37:Q48)&gt;0,+AVERAGE('3. Consumption by Rate Class'!Q37,'3. Consumption by Rate Class'!Q48),0)</f>
        <v>2635</v>
      </c>
      <c r="N18" s="173">
        <f>IF(M18&gt;0,+M18/M17,0)</f>
        <v>1.0119047619047619</v>
      </c>
      <c r="O18" s="201">
        <f>AVERAGE('3. Consumption by Rate Class'!T37,'3. Consumption by Rate Class'!T48)</f>
        <v>225</v>
      </c>
      <c r="P18" s="174">
        <f>O18/O17</f>
        <v>0.9</v>
      </c>
      <c r="Q18" s="388"/>
      <c r="R18" s="173"/>
      <c r="S18" s="388"/>
      <c r="T18" s="173"/>
      <c r="V18" s="399">
        <f t="shared" ref="V18:V26" si="2">+C18+E18+G18+I18+K18+M18+O18+Q18</f>
        <v>13161</v>
      </c>
      <c r="W18" s="240">
        <f t="shared" ref="W18:W26" si="3">V18/V17</f>
        <v>1.0026664635075422</v>
      </c>
    </row>
    <row r="19" spans="2:23" x14ac:dyDescent="0.2">
      <c r="B19" s="8">
        <f>'1. LDC Info'!F25-8</f>
        <v>2007</v>
      </c>
      <c r="C19" s="201">
        <f>AVERAGE('3. Consumption by Rate Class'!E49,'3. Consumption by Rate Class'!E60)</f>
        <v>8809</v>
      </c>
      <c r="D19" s="173">
        <f t="shared" ref="D19:F26" si="4">C19/C18</f>
        <v>1.0129944802207911</v>
      </c>
      <c r="E19" s="201">
        <f>AVERAGE('3. Consumption by Rate Class'!G49,'3. Consumption by Rate Class'!G60)</f>
        <v>1442</v>
      </c>
      <c r="F19" s="173">
        <f t="shared" si="4"/>
        <v>0.99516908212560384</v>
      </c>
      <c r="G19" s="18">
        <f>AVERAGE('3. Consumption by Rate Class'!I49,'3. Consumption by Rate Class'!I60)</f>
        <v>20</v>
      </c>
      <c r="H19" s="173">
        <f t="shared" si="0"/>
        <v>1</v>
      </c>
      <c r="I19" s="200"/>
      <c r="J19" s="173"/>
      <c r="K19" s="18">
        <f>AVERAGE('3. Consumption by Rate Class'!N49,'3. Consumption by Rate Class'!N60)</f>
        <v>136</v>
      </c>
      <c r="L19" s="173">
        <f t="shared" si="1"/>
        <v>1</v>
      </c>
      <c r="M19" s="200">
        <f>IF(SUM('3. Consumption by Rate Class'!Q49:Q60)&gt;0,+AVERAGE('3. Consumption by Rate Class'!Q49,'3. Consumption by Rate Class'!Q60),0)</f>
        <v>2648</v>
      </c>
      <c r="N19" s="173">
        <f t="shared" ref="N19:N26" si="5">IF(M19&gt;0,+M19/M18,0)</f>
        <v>1.0049335863377609</v>
      </c>
      <c r="O19" s="201">
        <f>AVERAGE('3. Consumption by Rate Class'!T49,'3. Consumption by Rate Class'!T60)</f>
        <v>225</v>
      </c>
      <c r="P19" s="174">
        <f t="shared" ref="P19:P26" si="6">O19/O18</f>
        <v>1</v>
      </c>
      <c r="Q19" s="388"/>
      <c r="R19" s="173"/>
      <c r="S19" s="388"/>
      <c r="T19" s="173"/>
      <c r="V19" s="399">
        <f t="shared" si="2"/>
        <v>13280</v>
      </c>
      <c r="W19" s="240">
        <f t="shared" si="3"/>
        <v>1.0090418661195957</v>
      </c>
    </row>
    <row r="20" spans="2:23" x14ac:dyDescent="0.2">
      <c r="B20" s="8">
        <f>'1. LDC Info'!F25-7</f>
        <v>2008</v>
      </c>
      <c r="C20" s="201">
        <f>AVERAGE('3. Consumption by Rate Class'!E61,'3. Consumption by Rate Class'!E72)</f>
        <v>8809</v>
      </c>
      <c r="D20" s="173">
        <f t="shared" si="4"/>
        <v>1</v>
      </c>
      <c r="E20" s="201">
        <f>AVERAGE('3. Consumption by Rate Class'!G61,'3. Consumption by Rate Class'!G72)</f>
        <v>1409</v>
      </c>
      <c r="F20" s="173">
        <f t="shared" si="4"/>
        <v>0.97711511789181693</v>
      </c>
      <c r="G20" s="18">
        <f>AVERAGE('3. Consumption by Rate Class'!I61,'3. Consumption by Rate Class'!I72)</f>
        <v>20</v>
      </c>
      <c r="H20" s="173">
        <f t="shared" si="0"/>
        <v>1</v>
      </c>
      <c r="I20" s="200"/>
      <c r="J20" s="173"/>
      <c r="K20" s="18">
        <f>AVERAGE('3. Consumption by Rate Class'!N61,'3. Consumption by Rate Class'!N72)</f>
        <v>143</v>
      </c>
      <c r="L20" s="173">
        <f t="shared" si="1"/>
        <v>1.0514705882352942</v>
      </c>
      <c r="M20" s="200">
        <f>IF(SUM('3. Consumption by Rate Class'!Q61:Q72)&gt;0,+AVERAGE('3. Consumption by Rate Class'!Q61,'3. Consumption by Rate Class'!Q72),0)</f>
        <v>2653</v>
      </c>
      <c r="N20" s="173">
        <f t="shared" si="5"/>
        <v>1.0018882175226587</v>
      </c>
      <c r="O20" s="201">
        <f>AVERAGE('3. Consumption by Rate Class'!T61,'3. Consumption by Rate Class'!T72)</f>
        <v>226</v>
      </c>
      <c r="P20" s="174">
        <f t="shared" si="6"/>
        <v>1.0044444444444445</v>
      </c>
      <c r="Q20" s="388"/>
      <c r="R20" s="173"/>
      <c r="S20" s="388"/>
      <c r="T20" s="173"/>
      <c r="V20" s="399">
        <f t="shared" si="2"/>
        <v>13260</v>
      </c>
      <c r="W20" s="240">
        <f t="shared" si="3"/>
        <v>0.99849397590361444</v>
      </c>
    </row>
    <row r="21" spans="2:23" x14ac:dyDescent="0.2">
      <c r="B21" s="8">
        <f>'1. LDC Info'!F25-6</f>
        <v>2009</v>
      </c>
      <c r="C21" s="201">
        <f>AVERAGE('3. Consumption by Rate Class'!E73,'3. Consumption by Rate Class'!E84)</f>
        <v>8941</v>
      </c>
      <c r="D21" s="173">
        <f t="shared" si="4"/>
        <v>1.0149846747644455</v>
      </c>
      <c r="E21" s="201">
        <f>AVERAGE('3. Consumption by Rate Class'!G73,'3. Consumption by Rate Class'!G84)</f>
        <v>1394</v>
      </c>
      <c r="F21" s="173">
        <f t="shared" si="4"/>
        <v>0.98935415188076647</v>
      </c>
      <c r="G21" s="18">
        <f>AVERAGE('3. Consumption by Rate Class'!I73,'3. Consumption by Rate Class'!I84)</f>
        <v>20</v>
      </c>
      <c r="H21" s="173">
        <f t="shared" si="0"/>
        <v>1</v>
      </c>
      <c r="I21" s="200"/>
      <c r="J21" s="173"/>
      <c r="K21" s="18">
        <f>AVERAGE('3. Consumption by Rate Class'!N73,'3. Consumption by Rate Class'!N84)</f>
        <v>144</v>
      </c>
      <c r="L21" s="173">
        <f t="shared" si="1"/>
        <v>1.0069930069930071</v>
      </c>
      <c r="M21" s="200">
        <f>IF(SUM('3. Consumption by Rate Class'!Q73:Q84)&gt;0,+AVERAGE('3. Consumption by Rate Class'!Q73,'3. Consumption by Rate Class'!Q84),0)</f>
        <v>2701</v>
      </c>
      <c r="N21" s="173">
        <f t="shared" si="5"/>
        <v>1.0180927252167358</v>
      </c>
      <c r="O21" s="201">
        <f>AVERAGE('3. Consumption by Rate Class'!T73,'3. Consumption by Rate Class'!T84)</f>
        <v>226</v>
      </c>
      <c r="P21" s="174">
        <f t="shared" si="6"/>
        <v>1</v>
      </c>
      <c r="Q21" s="388"/>
      <c r="R21" s="173"/>
      <c r="S21" s="388"/>
      <c r="T21" s="173"/>
      <c r="V21" s="399">
        <f t="shared" si="2"/>
        <v>13426</v>
      </c>
      <c r="W21" s="240">
        <f t="shared" si="3"/>
        <v>1.0125188536953242</v>
      </c>
    </row>
    <row r="22" spans="2:23" x14ac:dyDescent="0.2">
      <c r="B22" s="8">
        <f>'1. LDC Info'!F25-5</f>
        <v>2010</v>
      </c>
      <c r="C22" s="201">
        <f>AVERAGE('3. Consumption by Rate Class'!E85,'3. Consumption by Rate Class'!E96)</f>
        <v>8955</v>
      </c>
      <c r="D22" s="173">
        <f t="shared" si="4"/>
        <v>1.0015658203780338</v>
      </c>
      <c r="E22" s="201">
        <f>AVERAGE('3. Consumption by Rate Class'!G85,'3. Consumption by Rate Class'!G96)</f>
        <v>1372</v>
      </c>
      <c r="F22" s="173">
        <f t="shared" si="4"/>
        <v>0.98421807747489243</v>
      </c>
      <c r="G22" s="18">
        <f>AVERAGE('3. Consumption by Rate Class'!I85,'3. Consumption by Rate Class'!I96)</f>
        <v>20</v>
      </c>
      <c r="H22" s="173">
        <f t="shared" si="0"/>
        <v>1</v>
      </c>
      <c r="I22" s="200"/>
      <c r="J22" s="173"/>
      <c r="K22" s="18">
        <f>AVERAGE('3. Consumption by Rate Class'!N85,'3. Consumption by Rate Class'!N96)</f>
        <v>148</v>
      </c>
      <c r="L22" s="173">
        <f t="shared" si="1"/>
        <v>1.0277777777777777</v>
      </c>
      <c r="M22" s="200">
        <f>IF(SUM('3. Consumption by Rate Class'!Q85:Q96)&gt;0,+AVERAGE('3. Consumption by Rate Class'!Q85,'3. Consumption by Rate Class'!Q96),0)</f>
        <v>2713</v>
      </c>
      <c r="N22" s="173">
        <f t="shared" si="5"/>
        <v>1.0044427989633469</v>
      </c>
      <c r="O22" s="201">
        <f>AVERAGE('3. Consumption by Rate Class'!T85,'3. Consumption by Rate Class'!T96)</f>
        <v>216</v>
      </c>
      <c r="P22" s="174">
        <f t="shared" si="6"/>
        <v>0.95575221238938057</v>
      </c>
      <c r="Q22" s="388"/>
      <c r="R22" s="173"/>
      <c r="S22" s="388"/>
      <c r="T22" s="173"/>
      <c r="V22" s="399">
        <f t="shared" si="2"/>
        <v>13424</v>
      </c>
      <c r="W22" s="240">
        <f t="shared" si="3"/>
        <v>0.99985103530463282</v>
      </c>
    </row>
    <row r="23" spans="2:23" x14ac:dyDescent="0.2">
      <c r="B23" s="8">
        <f>'1. LDC Info'!F25-4</f>
        <v>2011</v>
      </c>
      <c r="C23" s="201">
        <f>AVERAGE('3. Consumption by Rate Class'!E97,'3. Consumption by Rate Class'!E108)</f>
        <v>9030</v>
      </c>
      <c r="D23" s="173">
        <f t="shared" si="4"/>
        <v>1.0083752093802345</v>
      </c>
      <c r="E23" s="201">
        <f>AVERAGE('3. Consumption by Rate Class'!G97,'3. Consumption by Rate Class'!G108)</f>
        <v>1370</v>
      </c>
      <c r="F23" s="173">
        <f t="shared" si="4"/>
        <v>0.99854227405247808</v>
      </c>
      <c r="G23" s="18">
        <f>AVERAGE('3. Consumption by Rate Class'!I97,'3. Consumption by Rate Class'!I108)</f>
        <v>20</v>
      </c>
      <c r="H23" s="173">
        <f t="shared" si="0"/>
        <v>1</v>
      </c>
      <c r="I23" s="200"/>
      <c r="J23" s="173"/>
      <c r="K23" s="18">
        <f>AVERAGE('3. Consumption by Rate Class'!N97,'3. Consumption by Rate Class'!N108)</f>
        <v>145</v>
      </c>
      <c r="L23" s="173">
        <f t="shared" si="1"/>
        <v>0.97972972972972971</v>
      </c>
      <c r="M23" s="200">
        <f>IF(SUM('3. Consumption by Rate Class'!Q97:Q108)&gt;0,+AVERAGE('3. Consumption by Rate Class'!Q97,'3. Consumption by Rate Class'!Q108),0)</f>
        <v>2769</v>
      </c>
      <c r="N23" s="173">
        <f t="shared" si="5"/>
        <v>1.0206413564319941</v>
      </c>
      <c r="O23" s="201">
        <f>AVERAGE('3. Consumption by Rate Class'!T97,'3. Consumption by Rate Class'!T108)</f>
        <v>209</v>
      </c>
      <c r="P23" s="174">
        <f t="shared" si="6"/>
        <v>0.96759259259259256</v>
      </c>
      <c r="Q23" s="388"/>
      <c r="R23" s="173"/>
      <c r="S23" s="388"/>
      <c r="T23" s="173"/>
      <c r="V23" s="399">
        <f t="shared" si="2"/>
        <v>13543</v>
      </c>
      <c r="W23" s="240">
        <f t="shared" si="3"/>
        <v>1.0088647199046483</v>
      </c>
    </row>
    <row r="24" spans="2:23" x14ac:dyDescent="0.2">
      <c r="B24" s="8">
        <f>'1. LDC Info'!F25-3</f>
        <v>2012</v>
      </c>
      <c r="C24" s="201">
        <f>AVERAGE('3. Consumption by Rate Class'!E109,'3. Consumption by Rate Class'!E120)</f>
        <v>9086.5</v>
      </c>
      <c r="D24" s="173">
        <f t="shared" si="4"/>
        <v>1.0062569213732004</v>
      </c>
      <c r="E24" s="201">
        <f>AVERAGE('3. Consumption by Rate Class'!G109,'3. Consumption by Rate Class'!G120)</f>
        <v>1361.5</v>
      </c>
      <c r="F24" s="173">
        <f t="shared" si="4"/>
        <v>0.99379562043795622</v>
      </c>
      <c r="G24" s="18">
        <f>AVERAGE('3. Consumption by Rate Class'!I109,'3. Consumption by Rate Class'!I120)</f>
        <v>20</v>
      </c>
      <c r="H24" s="173">
        <f t="shared" si="0"/>
        <v>1</v>
      </c>
      <c r="I24" s="200"/>
      <c r="J24" s="173"/>
      <c r="K24" s="18">
        <f>AVERAGE('3. Consumption by Rate Class'!N109,'3. Consumption by Rate Class'!N120)</f>
        <v>145</v>
      </c>
      <c r="L24" s="173">
        <f t="shared" si="1"/>
        <v>1</v>
      </c>
      <c r="M24" s="200">
        <f>IF(SUM('3. Consumption by Rate Class'!Q109:Q120)&gt;0,+AVERAGE('3. Consumption by Rate Class'!Q109,'3. Consumption by Rate Class'!Q120),0)</f>
        <v>2774.5</v>
      </c>
      <c r="N24" s="173">
        <f t="shared" si="5"/>
        <v>1.0019862766341641</v>
      </c>
      <c r="O24" s="201">
        <f>AVERAGE('3. Consumption by Rate Class'!T109,'3. Consumption by Rate Class'!T120)</f>
        <v>208.5</v>
      </c>
      <c r="P24" s="174">
        <f t="shared" si="6"/>
        <v>0.99760765550239239</v>
      </c>
      <c r="Q24" s="388"/>
      <c r="R24" s="173"/>
      <c r="S24" s="388"/>
      <c r="T24" s="173"/>
      <c r="V24" s="399">
        <f t="shared" si="2"/>
        <v>13596</v>
      </c>
      <c r="W24" s="240">
        <f t="shared" si="3"/>
        <v>1.0039134608284723</v>
      </c>
    </row>
    <row r="25" spans="2:23" x14ac:dyDescent="0.2">
      <c r="B25" s="8">
        <f>'1. LDC Info'!F25-2</f>
        <v>2013</v>
      </c>
      <c r="C25" s="201">
        <f>AVERAGE('3. Consumption by Rate Class'!E121,'3. Consumption by Rate Class'!E132)</f>
        <v>9195</v>
      </c>
      <c r="D25" s="173">
        <f t="shared" si="4"/>
        <v>1.0119407912837726</v>
      </c>
      <c r="E25" s="201">
        <f>AVERAGE('3. Consumption by Rate Class'!G121,'3. Consumption by Rate Class'!G132)</f>
        <v>1332.5</v>
      </c>
      <c r="F25" s="173">
        <f t="shared" si="4"/>
        <v>0.97869996327579878</v>
      </c>
      <c r="G25" s="18">
        <f>AVERAGE('3. Consumption by Rate Class'!I121,'3. Consumption by Rate Class'!I132)</f>
        <v>20</v>
      </c>
      <c r="H25" s="173">
        <f t="shared" si="0"/>
        <v>1</v>
      </c>
      <c r="I25" s="200"/>
      <c r="J25" s="173"/>
      <c r="K25" s="18">
        <f>AVERAGE('3. Consumption by Rate Class'!N121,'3. Consumption by Rate Class'!N132)</f>
        <v>145.5</v>
      </c>
      <c r="L25" s="173">
        <f t="shared" si="1"/>
        <v>1.0034482758620689</v>
      </c>
      <c r="M25" s="200">
        <f>IF(SUM('3. Consumption by Rate Class'!Q121:Q132)&gt;0,+AVERAGE('3. Consumption by Rate Class'!Q121,'3. Consumption by Rate Class'!Q132),0)</f>
        <v>2787</v>
      </c>
      <c r="N25" s="173">
        <f t="shared" si="5"/>
        <v>1.0045053162732023</v>
      </c>
      <c r="O25" s="201">
        <f>AVERAGE('3. Consumption by Rate Class'!T121,'3. Consumption by Rate Class'!T132)</f>
        <v>206.5</v>
      </c>
      <c r="P25" s="174">
        <f t="shared" si="6"/>
        <v>0.99040767386091122</v>
      </c>
      <c r="Q25" s="388"/>
      <c r="R25" s="173"/>
      <c r="S25" s="388"/>
      <c r="T25" s="173"/>
      <c r="V25" s="399">
        <f t="shared" si="2"/>
        <v>13686.5</v>
      </c>
      <c r="W25" s="240">
        <f t="shared" si="3"/>
        <v>1.0066563695204471</v>
      </c>
    </row>
    <row r="26" spans="2:23" x14ac:dyDescent="0.2">
      <c r="B26" s="8">
        <f>'1. LDC Info'!F25-1</f>
        <v>2014</v>
      </c>
      <c r="C26" s="201">
        <f>AVERAGE('3. Consumption by Rate Class'!E133,'3. Consumption by Rate Class'!E144)</f>
        <v>9305</v>
      </c>
      <c r="D26" s="173">
        <f t="shared" si="4"/>
        <v>1.011963023382273</v>
      </c>
      <c r="E26" s="201">
        <f>AVERAGE('3. Consumption by Rate Class'!G133,'3. Consumption by Rate Class'!G144)</f>
        <v>1318</v>
      </c>
      <c r="F26" s="173">
        <f t="shared" si="4"/>
        <v>0.98911819887429642</v>
      </c>
      <c r="G26" s="18">
        <f>AVERAGE('3. Consumption by Rate Class'!I133,'3. Consumption by Rate Class'!I144)</f>
        <v>20</v>
      </c>
      <c r="H26" s="173">
        <f t="shared" si="0"/>
        <v>1</v>
      </c>
      <c r="I26" s="200"/>
      <c r="J26" s="173"/>
      <c r="K26" s="18">
        <f>AVERAGE('3. Consumption by Rate Class'!N133,'3. Consumption by Rate Class'!N144)</f>
        <v>146.5</v>
      </c>
      <c r="L26" s="173">
        <f t="shared" si="1"/>
        <v>1.006872852233677</v>
      </c>
      <c r="M26" s="200">
        <f>IF(SUM('3. Consumption by Rate Class'!Q132:Q144)&gt;0,+AVERAGE('3. Consumption by Rate Class'!Q133,'3. Consumption by Rate Class'!Q144),0)</f>
        <v>2802.5</v>
      </c>
      <c r="N26" s="173">
        <f t="shared" si="5"/>
        <v>1.0055615357014711</v>
      </c>
      <c r="O26" s="201">
        <f>AVERAGE('3. Consumption by Rate Class'!T133,'3. Consumption by Rate Class'!T144)</f>
        <v>204</v>
      </c>
      <c r="P26" s="174">
        <f t="shared" si="6"/>
        <v>0.98789346246973364</v>
      </c>
      <c r="Q26" s="388"/>
      <c r="R26" s="173"/>
      <c r="S26" s="388"/>
      <c r="T26" s="173"/>
      <c r="V26" s="399">
        <f t="shared" si="2"/>
        <v>13796</v>
      </c>
      <c r="W26" s="240">
        <f t="shared" si="3"/>
        <v>1.0080005845175903</v>
      </c>
    </row>
    <row r="27" spans="2:23" x14ac:dyDescent="0.2">
      <c r="B27" s="12"/>
      <c r="C27" s="295"/>
      <c r="D27" s="10"/>
      <c r="E27" s="295"/>
      <c r="F27" s="10"/>
      <c r="G27" s="13"/>
      <c r="H27" s="10"/>
      <c r="I27" s="295"/>
      <c r="J27" s="10"/>
      <c r="K27" s="13"/>
      <c r="L27" s="10"/>
      <c r="M27" s="295"/>
      <c r="N27" s="10"/>
      <c r="O27" s="295"/>
      <c r="P27" s="11"/>
      <c r="Q27" s="295"/>
      <c r="R27" s="10"/>
      <c r="S27" s="295"/>
      <c r="T27" s="10"/>
      <c r="V27" s="241"/>
      <c r="W27" s="242"/>
    </row>
    <row r="28" spans="2:23" x14ac:dyDescent="0.2">
      <c r="B28" s="14" t="s">
        <v>4</v>
      </c>
      <c r="C28" s="295"/>
      <c r="D28" s="15">
        <f>GEOMEAN(D18:D26)</f>
        <v>1.0084675292283103</v>
      </c>
      <c r="E28" s="297"/>
      <c r="F28" s="15">
        <f>GEOMEAN(F18:F26)</f>
        <v>0.98602310290180539</v>
      </c>
      <c r="G28" s="16"/>
      <c r="H28" s="15">
        <f>GEOMEAN(H18:H26)</f>
        <v>1.0182216841713987</v>
      </c>
      <c r="I28" s="297"/>
      <c r="J28" s="15"/>
      <c r="K28" s="16"/>
      <c r="L28" s="15">
        <f>GEOMEAN(L18:L26)</f>
        <v>1.0099587761008677</v>
      </c>
      <c r="M28" s="297"/>
      <c r="N28" s="15">
        <f>IF(SUM(N18:N26)&gt;0,+GEOMEAN(N18:N26),0)</f>
        <v>1.0081959770234488</v>
      </c>
      <c r="O28" s="297"/>
      <c r="P28" s="17">
        <f>GEOMEAN(P18:P26)</f>
        <v>0.97765988429467043</v>
      </c>
      <c r="Q28" s="297"/>
      <c r="R28" s="15"/>
      <c r="S28" s="297"/>
      <c r="T28" s="15"/>
      <c r="V28" s="241"/>
      <c r="W28" s="17">
        <f>GEOMEAN(W18:W26)</f>
        <v>1.0055468492298496</v>
      </c>
    </row>
    <row r="29" spans="2:23" x14ac:dyDescent="0.2">
      <c r="B29" s="14"/>
      <c r="C29" s="295"/>
      <c r="D29" s="15"/>
      <c r="E29" s="297"/>
      <c r="F29" s="15"/>
      <c r="G29" s="16"/>
      <c r="H29" s="15"/>
      <c r="I29" s="297"/>
      <c r="J29" s="15"/>
      <c r="K29" s="16"/>
      <c r="L29" s="15"/>
      <c r="M29" s="297"/>
      <c r="N29" s="15"/>
      <c r="O29" s="297"/>
      <c r="P29" s="17"/>
      <c r="Q29" s="297"/>
      <c r="R29" s="15"/>
      <c r="S29" s="297"/>
      <c r="T29" s="15"/>
      <c r="V29" s="241"/>
      <c r="W29" s="242"/>
    </row>
    <row r="30" spans="2:23" x14ac:dyDescent="0.2">
      <c r="B30" s="9" t="str">
        <f>'1. LDC Info'!F25</f>
        <v>2015</v>
      </c>
      <c r="C30" s="748">
        <f>C26*D28</f>
        <v>9383.7903594694271</v>
      </c>
      <c r="D30" s="10" t="s">
        <v>30</v>
      </c>
      <c r="E30" s="748">
        <f>E26*F28</f>
        <v>1299.5784496245794</v>
      </c>
      <c r="F30" s="19"/>
      <c r="G30" s="750">
        <f>G26*H28</f>
        <v>20.364433683427976</v>
      </c>
      <c r="H30" s="19"/>
      <c r="I30" s="201"/>
      <c r="J30" s="19"/>
      <c r="K30" s="750">
        <f>K26*L28</f>
        <v>147.9589606987771</v>
      </c>
      <c r="L30" s="19"/>
      <c r="M30" s="748">
        <f>M26*N28</f>
        <v>2825.4692256082153</v>
      </c>
      <c r="N30" s="19"/>
      <c r="O30" s="748">
        <f>O26*P28</f>
        <v>199.44261639611278</v>
      </c>
      <c r="P30" s="20"/>
      <c r="Q30" s="390"/>
      <c r="R30" s="19"/>
      <c r="S30" s="390"/>
      <c r="T30" s="756"/>
      <c r="V30" s="241">
        <f>+C30+E30+G30+I30+K30+M30+O30+Q30</f>
        <v>13876.604045480539</v>
      </c>
      <c r="W30" s="242"/>
    </row>
    <row r="31" spans="2:23" ht="13.5" thickBot="1" x14ac:dyDescent="0.25">
      <c r="B31" s="21" t="str">
        <f>'1. LDC Info'!F27</f>
        <v>2016</v>
      </c>
      <c r="C31" s="749">
        <f>C30*D28</f>
        <v>9463.2478786105712</v>
      </c>
      <c r="D31" s="22" t="s">
        <v>30</v>
      </c>
      <c r="E31" s="749">
        <f>E30*F28</f>
        <v>1281.4143753631454</v>
      </c>
      <c r="F31" s="23"/>
      <c r="G31" s="751">
        <f>G30*H28</f>
        <v>20.735507962336793</v>
      </c>
      <c r="H31" s="23"/>
      <c r="I31" s="296"/>
      <c r="J31" s="23"/>
      <c r="K31" s="751">
        <f>K30*L28</f>
        <v>149.4324508604933</v>
      </c>
      <c r="L31" s="23"/>
      <c r="M31" s="749">
        <f>M30*N28</f>
        <v>2848.6267064617618</v>
      </c>
      <c r="N31" s="23"/>
      <c r="O31" s="749">
        <f>O30*P28</f>
        <v>194.98704526924996</v>
      </c>
      <c r="P31" s="24"/>
      <c r="Q31" s="296"/>
      <c r="R31" s="23"/>
      <c r="S31" s="296"/>
      <c r="T31" s="757"/>
      <c r="V31" s="399">
        <f>+C31+E31+G31+I31+K31+M31+O31+Q31</f>
        <v>13958.44396452756</v>
      </c>
      <c r="W31" s="194"/>
    </row>
    <row r="32" spans="2:23" x14ac:dyDescent="0.2">
      <c r="Q32" s="536"/>
      <c r="R32" s="536"/>
      <c r="V32" s="239"/>
    </row>
    <row r="33" spans="2:23" x14ac:dyDescent="0.2">
      <c r="B33" s="177" t="s">
        <v>175</v>
      </c>
      <c r="Q33" s="536"/>
      <c r="R33" s="536"/>
      <c r="V33" s="239"/>
    </row>
    <row r="34" spans="2:23" ht="13.5" thickBot="1" x14ac:dyDescent="0.25">
      <c r="Q34" s="536"/>
      <c r="R34" s="536"/>
      <c r="V34" s="239"/>
    </row>
    <row r="35" spans="2:23" x14ac:dyDescent="0.2">
      <c r="B35" s="278" t="s">
        <v>31</v>
      </c>
      <c r="C35" s="25"/>
      <c r="D35" s="25"/>
      <c r="E35" s="25"/>
      <c r="F35" s="25"/>
      <c r="G35" s="25"/>
      <c r="H35" s="25"/>
      <c r="I35" s="25"/>
      <c r="J35" s="25"/>
      <c r="K35" s="25"/>
      <c r="L35" s="25"/>
      <c r="M35" s="25"/>
      <c r="N35" s="25"/>
      <c r="O35" s="25"/>
      <c r="P35" s="26"/>
      <c r="Q35" s="25"/>
      <c r="R35" s="25"/>
      <c r="S35" s="25"/>
      <c r="T35" s="26"/>
      <c r="V35" s="829" t="s">
        <v>31</v>
      </c>
      <c r="W35" s="830"/>
    </row>
    <row r="36" spans="2:23" x14ac:dyDescent="0.2">
      <c r="B36" s="168" t="str">
        <f>'1. LDC Info'!F25</f>
        <v>2015</v>
      </c>
      <c r="C36" s="298"/>
      <c r="D36" s="10">
        <f>C36/C26</f>
        <v>0</v>
      </c>
      <c r="E36" s="298"/>
      <c r="F36" s="10">
        <f>E36/E26</f>
        <v>0</v>
      </c>
      <c r="G36" s="298">
        <v>20</v>
      </c>
      <c r="H36" s="10">
        <f>G36/G26</f>
        <v>1</v>
      </c>
      <c r="I36" s="298"/>
      <c r="J36" s="173">
        <f>IF(I36&gt;0,+I36/I26,0)</f>
        <v>0</v>
      </c>
      <c r="K36" s="298">
        <v>146</v>
      </c>
      <c r="L36" s="10">
        <f>K36/K26</f>
        <v>0.9965870307167235</v>
      </c>
      <c r="M36" s="298"/>
      <c r="N36" s="173">
        <f>IF(M36&gt;0,+M36/M26,0)</f>
        <v>0</v>
      </c>
      <c r="O36" s="298"/>
      <c r="P36" s="11">
        <f>O36/O26</f>
        <v>0</v>
      </c>
      <c r="Q36" s="528">
        <v>0</v>
      </c>
      <c r="R36" s="173" t="e">
        <f>Q36/Q26</f>
        <v>#DIV/0!</v>
      </c>
      <c r="S36" s="27"/>
      <c r="T36" s="11"/>
      <c r="V36" s="399">
        <f>+C36+E36+G36+I36+K36+M36+O36</f>
        <v>166</v>
      </c>
      <c r="W36" s="174">
        <f>V36/V26</f>
        <v>1.2032473180632067E-2</v>
      </c>
    </row>
    <row r="37" spans="2:23" ht="13.5" thickBot="1" x14ac:dyDescent="0.25">
      <c r="B37" s="167" t="str">
        <f>'1. LDC Info'!F27</f>
        <v>2016</v>
      </c>
      <c r="C37" s="299"/>
      <c r="D37" s="293">
        <f>IF(C37&gt;0,+C37/C36,0)</f>
        <v>0</v>
      </c>
      <c r="E37" s="299"/>
      <c r="F37" s="293">
        <f>IF(E37&gt;0,+E37/E36,0)</f>
        <v>0</v>
      </c>
      <c r="G37" s="299">
        <v>20</v>
      </c>
      <c r="H37" s="293">
        <f>IF(G37&gt;0,+G37/G36,0)</f>
        <v>1</v>
      </c>
      <c r="I37" s="299"/>
      <c r="J37" s="293">
        <f>IF(I37&gt;0,+I37/I36,0)</f>
        <v>0</v>
      </c>
      <c r="K37" s="299">
        <v>148</v>
      </c>
      <c r="L37" s="293">
        <f>IF(K37&gt;0,+K37/K36,0)</f>
        <v>1.0136986301369864</v>
      </c>
      <c r="M37" s="299"/>
      <c r="N37" s="293">
        <f>IF(M37&gt;0,+M37/M36,0)</f>
        <v>0</v>
      </c>
      <c r="O37" s="299"/>
      <c r="P37" s="243">
        <f>IF(O37&gt;0,+O37/O36,0)</f>
        <v>0</v>
      </c>
      <c r="Q37" s="299">
        <v>0</v>
      </c>
      <c r="R37" s="293">
        <f>IF(Q37&gt;0,+Q37/Q36,0)</f>
        <v>0</v>
      </c>
      <c r="S37" s="28"/>
      <c r="T37" s="29"/>
      <c r="V37" s="400">
        <f>+C37+E37+G37+I37+K37+M37+O37</f>
        <v>168</v>
      </c>
      <c r="W37" s="243">
        <f>IF(V37&gt;0,+V37/V36,0)</f>
        <v>1.0120481927710843</v>
      </c>
    </row>
    <row r="38" spans="2:23" x14ac:dyDescent="0.2">
      <c r="C38" s="182" t="s">
        <v>30</v>
      </c>
      <c r="V38" s="239"/>
    </row>
    <row r="39" spans="2:23" x14ac:dyDescent="0.2">
      <c r="B39" s="1" t="s">
        <v>130</v>
      </c>
      <c r="V39" s="239"/>
    </row>
    <row r="40" spans="2:23" ht="13.5" thickBot="1" x14ac:dyDescent="0.25">
      <c r="V40" s="239"/>
    </row>
    <row r="41" spans="2:23" x14ac:dyDescent="0.2">
      <c r="B41" s="833" t="s">
        <v>159</v>
      </c>
      <c r="C41" s="834"/>
      <c r="D41" s="834"/>
      <c r="E41" s="834"/>
      <c r="F41" s="834"/>
      <c r="G41" s="834"/>
      <c r="H41" s="834"/>
      <c r="I41" s="834"/>
      <c r="J41" s="834"/>
      <c r="K41" s="834"/>
      <c r="L41" s="834"/>
      <c r="M41" s="834"/>
      <c r="N41" s="834"/>
      <c r="O41" s="834"/>
      <c r="P41" s="834"/>
      <c r="Q41" s="834"/>
      <c r="R41" s="835"/>
      <c r="V41" s="829" t="s">
        <v>31</v>
      </c>
      <c r="W41" s="830"/>
    </row>
    <row r="42" spans="2:23" ht="13.5" thickBot="1" x14ac:dyDescent="0.25">
      <c r="B42" s="550">
        <v>2014</v>
      </c>
      <c r="C42" s="752">
        <f>IF(C36&gt;0,+C36,C30)</f>
        <v>9383.7903594694271</v>
      </c>
      <c r="D42" s="520">
        <f>IF(D36&gt;0,+D36,D28)</f>
        <v>1.0084675292283103</v>
      </c>
      <c r="E42" s="752">
        <f>IF(E36&gt;0,+E36,E30)</f>
        <v>1299.5784496245794</v>
      </c>
      <c r="F42" s="520">
        <f>IF(F36&gt;0,+F36,F28)</f>
        <v>0.98602310290180539</v>
      </c>
      <c r="G42" s="752">
        <f>IF(G36&gt;0,+G36,G30)</f>
        <v>20</v>
      </c>
      <c r="H42" s="520">
        <f>IF(H36&gt;0,+H36,H28)</f>
        <v>1</v>
      </c>
      <c r="I42" s="517">
        <f>IF(I36&gt;0,+I36,I30)</f>
        <v>0</v>
      </c>
      <c r="J42" s="520">
        <f>IF(J36&gt;0,+J36,J28)</f>
        <v>0</v>
      </c>
      <c r="K42" s="752">
        <f>IF(K36&gt;0,+K36,K30)</f>
        <v>146</v>
      </c>
      <c r="L42" s="520">
        <f>IF(L36&gt;0,+L36,L28)</f>
        <v>0.9965870307167235</v>
      </c>
      <c r="M42" s="752">
        <f>IF(M36&gt;0,+M36,M30)</f>
        <v>2825.4692256082153</v>
      </c>
      <c r="N42" s="520">
        <f>IF(N36&gt;0,+N36,N28)</f>
        <v>1.0081959770234488</v>
      </c>
      <c r="O42" s="752">
        <f>IF(O36&gt;0,+O36,O30)</f>
        <v>199.44261639611278</v>
      </c>
      <c r="P42" s="520">
        <f>IF(P36&gt;0,+P36,P28)</f>
        <v>0.97765988429467043</v>
      </c>
      <c r="Q42" s="517">
        <f>IF(Q36&gt;0,+Q36,Q30)</f>
        <v>0</v>
      </c>
      <c r="R42" s="754" t="e">
        <f>IF(R36&gt;0,+R36,R28)</f>
        <v>#DIV/0!</v>
      </c>
      <c r="V42" s="399">
        <f>+C42+E42+G42+I42+K42+M42+O42</f>
        <v>13874.280651098334</v>
      </c>
      <c r="W42" s="257">
        <f>IF(V36&gt;1,+W36,W28)</f>
        <v>1.2032473180632067E-2</v>
      </c>
    </row>
    <row r="43" spans="2:23" ht="13.5" thickBot="1" x14ac:dyDescent="0.25">
      <c r="B43" s="220">
        <v>2015</v>
      </c>
      <c r="C43" s="753">
        <f>IF(C37&gt;0,+C37,C31)</f>
        <v>9463.2478786105712</v>
      </c>
      <c r="D43" s="223">
        <f>IF(D37&gt;0,+D37,D28)</f>
        <v>1.0084675292283103</v>
      </c>
      <c r="E43" s="753">
        <f>IF(E37&gt;0,+E37,E31)</f>
        <v>1281.4143753631454</v>
      </c>
      <c r="F43" s="223">
        <f>IF(F37&gt;0,+F37,F28)</f>
        <v>0.98602310290180539</v>
      </c>
      <c r="G43" s="753">
        <f>IF(G37&gt;0,+G37,G31)</f>
        <v>20</v>
      </c>
      <c r="H43" s="223">
        <f>IF(H37&gt;0,+H37,H28)</f>
        <v>1</v>
      </c>
      <c r="I43" s="294">
        <f>IF(I37&gt;0,+I37,I31)</f>
        <v>0</v>
      </c>
      <c r="J43" s="223">
        <f>IF(J37&gt;0,+J37,J28)</f>
        <v>0</v>
      </c>
      <c r="K43" s="753">
        <f>IF(K37&gt;0,+K37,K31)</f>
        <v>148</v>
      </c>
      <c r="L43" s="223">
        <f>IF(L37&gt;0,+L37,L28)</f>
        <v>1.0136986301369864</v>
      </c>
      <c r="M43" s="753">
        <f>IF(M37&gt;0,+M37,M31)</f>
        <v>2848.6267064617618</v>
      </c>
      <c r="N43" s="223">
        <f>IF(N37&gt;0,+N37,N28)</f>
        <v>1.0081959770234488</v>
      </c>
      <c r="O43" s="753">
        <f>IF(O37&gt;0,+O37,O31)</f>
        <v>194.98704526924996</v>
      </c>
      <c r="P43" s="223">
        <f>IF(P37&gt;0,+P37,P28)</f>
        <v>0.97765988429467043</v>
      </c>
      <c r="Q43" s="294">
        <f>IF(Q37&gt;0,+Q37,Q31)</f>
        <v>0</v>
      </c>
      <c r="R43" s="755">
        <f>IF(R37&gt;0,+R37,R28)</f>
        <v>0</v>
      </c>
      <c r="V43" s="400">
        <f>+C43+E43+G43+I43+K43+M43+O43</f>
        <v>13956.276005704729</v>
      </c>
      <c r="W43" s="258">
        <f>IF(W37&gt;1,+W37,W28)</f>
        <v>1.0120481927710843</v>
      </c>
    </row>
    <row r="48" spans="2:23" x14ac:dyDescent="0.2">
      <c r="C48" s="300"/>
    </row>
    <row r="49" spans="3:3" x14ac:dyDescent="0.2">
      <c r="C49" s="300"/>
    </row>
  </sheetData>
  <mergeCells count="14">
    <mergeCell ref="V41:W41"/>
    <mergeCell ref="M15:N15"/>
    <mergeCell ref="B41:R41"/>
    <mergeCell ref="B10:I10"/>
    <mergeCell ref="C15:D15"/>
    <mergeCell ref="E15:F15"/>
    <mergeCell ref="G15:H15"/>
    <mergeCell ref="K15:L15"/>
    <mergeCell ref="I15:J15"/>
    <mergeCell ref="V15:W15"/>
    <mergeCell ref="V35:W35"/>
    <mergeCell ref="Q15:R15"/>
    <mergeCell ref="S15:T15"/>
    <mergeCell ref="O15:P15"/>
  </mergeCells>
  <phoneticPr fontId="0"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Z132"/>
  <sheetViews>
    <sheetView showGridLines="0" zoomScaleNormal="100" zoomScaleSheetLayoutView="100" workbookViewId="0">
      <selection activeCell="U48" sqref="U48"/>
    </sheetView>
  </sheetViews>
  <sheetFormatPr defaultRowHeight="12.75" x14ac:dyDescent="0.2"/>
  <cols>
    <col min="1" max="1" width="13.6640625" style="1" customWidth="1"/>
    <col min="2" max="2" width="24.83203125" style="58" customWidth="1"/>
    <col min="3" max="14" width="14.83203125" style="58" customWidth="1"/>
    <col min="15" max="15" width="16.6640625" style="1" customWidth="1"/>
    <col min="16" max="25" width="9.33203125" style="1"/>
    <col min="26" max="26" width="19.33203125" style="1" customWidth="1"/>
    <col min="27" max="16384" width="9.33203125" style="1"/>
  </cols>
  <sheetData>
    <row r="1" spans="1:15" s="536" customFormat="1" x14ac:dyDescent="0.2">
      <c r="A1" s="758" t="s">
        <v>272</v>
      </c>
      <c r="B1" s="58"/>
      <c r="C1" s="58"/>
      <c r="D1" s="58"/>
      <c r="E1" s="58"/>
      <c r="F1" s="58"/>
      <c r="G1" s="58"/>
      <c r="H1" s="58"/>
      <c r="I1" s="58"/>
      <c r="J1" s="58"/>
      <c r="K1" s="58"/>
      <c r="L1" s="58"/>
      <c r="M1" s="58"/>
      <c r="N1" s="58"/>
    </row>
    <row r="2" spans="1:15" s="536" customFormat="1" x14ac:dyDescent="0.2">
      <c r="B2" s="58"/>
      <c r="C2" s="58"/>
      <c r="D2" s="58"/>
      <c r="E2" s="58"/>
      <c r="F2" s="58"/>
      <c r="G2" s="58"/>
      <c r="H2" s="58"/>
      <c r="I2" s="58"/>
      <c r="J2" s="58"/>
      <c r="K2" s="58"/>
      <c r="L2" s="58"/>
      <c r="M2" s="58"/>
      <c r="N2" s="58"/>
    </row>
    <row r="3" spans="1:15" s="536" customFormat="1" x14ac:dyDescent="0.2">
      <c r="B3" s="58"/>
      <c r="C3" s="58"/>
      <c r="D3" s="58"/>
      <c r="E3" s="58"/>
      <c r="F3" s="58"/>
      <c r="G3" s="58"/>
      <c r="H3" s="58"/>
      <c r="I3" s="58"/>
      <c r="J3" s="58"/>
      <c r="K3" s="58"/>
      <c r="L3" s="58"/>
      <c r="M3" s="58"/>
      <c r="N3" s="58"/>
    </row>
    <row r="4" spans="1:15" s="536" customFormat="1" x14ac:dyDescent="0.2">
      <c r="B4" s="58"/>
      <c r="C4" s="58"/>
      <c r="D4" s="58"/>
      <c r="E4" s="58"/>
      <c r="F4" s="58"/>
      <c r="G4" s="58"/>
      <c r="H4" s="58"/>
      <c r="I4" s="58"/>
      <c r="J4" s="58"/>
      <c r="K4" s="58"/>
      <c r="L4" s="58"/>
      <c r="M4" s="58"/>
      <c r="N4" s="58"/>
    </row>
    <row r="5" spans="1:15" s="536" customFormat="1" x14ac:dyDescent="0.2">
      <c r="B5" s="58"/>
      <c r="C5" s="58"/>
      <c r="D5" s="58"/>
      <c r="E5" s="58"/>
      <c r="F5" s="58"/>
      <c r="G5" s="58"/>
      <c r="H5" s="58"/>
      <c r="I5" s="58"/>
      <c r="J5" s="58"/>
      <c r="K5" s="58"/>
      <c r="L5" s="58"/>
      <c r="M5" s="58"/>
      <c r="N5" s="58"/>
    </row>
    <row r="6" spans="1:15" s="536" customFormat="1" x14ac:dyDescent="0.2">
      <c r="B6" s="58"/>
      <c r="C6" s="58"/>
      <c r="D6" s="58"/>
      <c r="E6" s="58"/>
      <c r="F6" s="58"/>
      <c r="G6" s="58"/>
      <c r="H6" s="58"/>
      <c r="I6" s="58"/>
      <c r="J6" s="58"/>
      <c r="K6" s="58"/>
      <c r="L6" s="58"/>
      <c r="M6" s="58"/>
      <c r="N6" s="58"/>
    </row>
    <row r="7" spans="1:15" s="536" customFormat="1" x14ac:dyDescent="0.2">
      <c r="B7" s="58"/>
      <c r="C7" s="58"/>
      <c r="D7" s="58"/>
      <c r="E7" s="58"/>
      <c r="F7" s="58"/>
      <c r="G7" s="58"/>
      <c r="H7" s="58"/>
      <c r="I7" s="58"/>
      <c r="J7" s="58"/>
      <c r="K7" s="58"/>
      <c r="L7" s="58"/>
      <c r="M7" s="58"/>
      <c r="N7" s="58"/>
    </row>
    <row r="8" spans="1:15" s="536" customFormat="1" x14ac:dyDescent="0.2">
      <c r="B8" s="58"/>
      <c r="C8" s="58"/>
      <c r="D8" s="58"/>
      <c r="E8" s="58"/>
      <c r="F8" s="58"/>
      <c r="G8" s="58"/>
      <c r="H8" s="58"/>
      <c r="I8" s="58"/>
      <c r="J8" s="58"/>
      <c r="K8" s="58"/>
      <c r="L8" s="58"/>
      <c r="M8" s="58"/>
      <c r="N8" s="58"/>
    </row>
    <row r="9" spans="1:15" s="536" customFormat="1" x14ac:dyDescent="0.2">
      <c r="B9" s="58"/>
      <c r="C9" s="58"/>
      <c r="D9" s="58"/>
      <c r="E9" s="58"/>
      <c r="F9" s="58"/>
      <c r="G9" s="58"/>
      <c r="H9" s="58"/>
      <c r="I9" s="58"/>
      <c r="J9" s="58"/>
      <c r="K9" s="58"/>
      <c r="L9" s="58"/>
      <c r="M9" s="58"/>
      <c r="N9" s="58"/>
    </row>
    <row r="10" spans="1:15" x14ac:dyDescent="0.2">
      <c r="A10" s="245"/>
      <c r="B10" s="246"/>
      <c r="C10" s="246"/>
      <c r="D10" s="246"/>
      <c r="E10" s="246"/>
      <c r="F10" s="246"/>
      <c r="G10" s="246"/>
      <c r="H10" s="246"/>
      <c r="I10" s="246"/>
      <c r="J10" s="246"/>
      <c r="K10" s="246"/>
      <c r="L10" s="246"/>
      <c r="M10" s="246"/>
      <c r="N10" s="246"/>
      <c r="O10" s="245"/>
    </row>
    <row r="11" spans="1:15" ht="23.25" x14ac:dyDescent="0.35">
      <c r="A11" s="245"/>
      <c r="B11" s="247" t="s">
        <v>149</v>
      </c>
      <c r="C11" s="246"/>
      <c r="D11" s="246"/>
      <c r="E11" s="246"/>
      <c r="F11" s="246"/>
      <c r="G11" s="246"/>
      <c r="H11" s="246"/>
      <c r="I11" s="246"/>
      <c r="J11" s="246"/>
      <c r="K11" s="246"/>
      <c r="L11" s="246"/>
      <c r="M11" s="245"/>
      <c r="N11" s="1"/>
    </row>
    <row r="12" spans="1:15" ht="15" x14ac:dyDescent="0.2">
      <c r="A12" s="245"/>
      <c r="B12" s="63" t="s">
        <v>64</v>
      </c>
      <c r="C12" s="246"/>
      <c r="D12" s="246"/>
      <c r="E12" s="246"/>
      <c r="F12" s="246"/>
      <c r="G12" s="246"/>
      <c r="H12" s="246"/>
      <c r="I12" s="246"/>
      <c r="J12" s="246"/>
      <c r="K12" s="246"/>
      <c r="L12" s="246"/>
      <c r="M12" s="246"/>
      <c r="N12" s="246"/>
      <c r="O12" s="245"/>
    </row>
    <row r="13" spans="1:15" ht="14.25" x14ac:dyDescent="0.2">
      <c r="A13" s="245"/>
      <c r="B13" s="100" t="s">
        <v>248</v>
      </c>
      <c r="C13" s="246"/>
      <c r="D13" s="246"/>
      <c r="E13" s="246"/>
      <c r="F13" s="246"/>
      <c r="G13" s="246"/>
      <c r="H13" s="246"/>
      <c r="I13" s="246"/>
      <c r="J13" s="246"/>
      <c r="K13" s="246"/>
      <c r="L13" s="246"/>
      <c r="M13" s="246"/>
      <c r="N13" s="246"/>
      <c r="O13" s="245"/>
    </row>
    <row r="14" spans="1:15" ht="14.25" x14ac:dyDescent="0.2">
      <c r="A14" s="245"/>
      <c r="B14" s="746" t="s">
        <v>249</v>
      </c>
      <c r="C14" s="246"/>
      <c r="D14" s="246"/>
      <c r="E14" s="246"/>
      <c r="F14" s="246"/>
      <c r="G14" s="246"/>
      <c r="H14" s="246"/>
      <c r="I14" s="246"/>
      <c r="J14" s="246"/>
      <c r="K14" s="246"/>
      <c r="L14" s="246"/>
      <c r="M14" s="246"/>
      <c r="N14" s="246"/>
      <c r="O14" s="245"/>
    </row>
    <row r="15" spans="1:15" x14ac:dyDescent="0.2">
      <c r="A15" s="245"/>
      <c r="B15" s="246"/>
      <c r="C15" s="246"/>
      <c r="D15" s="246"/>
      <c r="E15" s="246"/>
      <c r="F15" s="246"/>
      <c r="G15" s="246"/>
      <c r="H15" s="246"/>
      <c r="I15" s="246"/>
      <c r="J15" s="246"/>
      <c r="K15" s="246"/>
      <c r="L15" s="246"/>
      <c r="M15" s="246"/>
      <c r="N15" s="246"/>
      <c r="O15" s="245"/>
    </row>
    <row r="16" spans="1:15" x14ac:dyDescent="0.2">
      <c r="A16" s="245"/>
      <c r="B16" s="244" t="s">
        <v>1</v>
      </c>
      <c r="C16" s="249" t="s">
        <v>137</v>
      </c>
      <c r="D16" s="249" t="s">
        <v>138</v>
      </c>
      <c r="E16" s="249" t="s">
        <v>139</v>
      </c>
      <c r="F16" s="249" t="s">
        <v>140</v>
      </c>
      <c r="G16" s="249" t="s">
        <v>116</v>
      </c>
      <c r="H16" s="249" t="s">
        <v>141</v>
      </c>
      <c r="I16" s="249" t="s">
        <v>142</v>
      </c>
      <c r="J16" s="249" t="s">
        <v>143</v>
      </c>
      <c r="K16" s="249" t="s">
        <v>144</v>
      </c>
      <c r="L16" s="249" t="s">
        <v>147</v>
      </c>
      <c r="M16" s="249" t="s">
        <v>145</v>
      </c>
      <c r="N16" s="249" t="s">
        <v>146</v>
      </c>
      <c r="O16" s="245"/>
    </row>
    <row r="17" spans="1:26" x14ac:dyDescent="0.2">
      <c r="A17" s="248"/>
      <c r="B17" s="250" t="s">
        <v>244</v>
      </c>
      <c r="C17" s="525"/>
      <c r="D17" s="525"/>
      <c r="E17" s="525"/>
      <c r="F17" s="525"/>
      <c r="G17" s="525"/>
      <c r="H17" s="525"/>
      <c r="I17" s="525"/>
      <c r="J17" s="525"/>
      <c r="K17" s="525"/>
      <c r="L17" s="525"/>
      <c r="M17" s="525"/>
      <c r="N17" s="525"/>
      <c r="O17" s="245"/>
    </row>
    <row r="18" spans="1:26" ht="12" customHeight="1" x14ac:dyDescent="0.2">
      <c r="A18" s="245"/>
      <c r="B18" s="250">
        <f>'1. LDC Info'!F27-20</f>
        <v>1996</v>
      </c>
      <c r="C18" s="525"/>
      <c r="D18" s="525"/>
      <c r="E18" s="525"/>
      <c r="F18" s="525"/>
      <c r="G18" s="525"/>
      <c r="H18" s="525"/>
      <c r="I18" s="525"/>
      <c r="J18" s="525"/>
      <c r="K18" s="525"/>
      <c r="L18" s="525"/>
      <c r="M18" s="525"/>
      <c r="N18" s="525"/>
      <c r="O18" s="245"/>
    </row>
    <row r="19" spans="1:26" ht="12" customHeight="1" x14ac:dyDescent="0.2">
      <c r="A19" s="245"/>
      <c r="B19" s="250">
        <f>'1. LDC Info'!F27-19</f>
        <v>1997</v>
      </c>
      <c r="C19" s="525"/>
      <c r="D19" s="525"/>
      <c r="E19" s="525"/>
      <c r="F19" s="525"/>
      <c r="G19" s="525"/>
      <c r="H19" s="525"/>
      <c r="I19" s="525"/>
      <c r="J19" s="525"/>
      <c r="K19" s="525"/>
      <c r="L19" s="525"/>
      <c r="M19" s="525"/>
      <c r="N19" s="525"/>
      <c r="O19" s="245"/>
    </row>
    <row r="20" spans="1:26" ht="12" customHeight="1" x14ac:dyDescent="0.2">
      <c r="A20" s="245"/>
      <c r="B20" s="250">
        <f>'1. LDC Info'!F27-18</f>
        <v>1998</v>
      </c>
      <c r="C20" s="525"/>
      <c r="D20" s="525"/>
      <c r="E20" s="525"/>
      <c r="F20" s="525"/>
      <c r="G20" s="525"/>
      <c r="H20" s="525"/>
      <c r="I20" s="525"/>
      <c r="J20" s="525"/>
      <c r="K20" s="525"/>
      <c r="L20" s="525"/>
      <c r="M20" s="525"/>
      <c r="N20" s="525"/>
      <c r="O20" s="245"/>
    </row>
    <row r="21" spans="1:26" ht="12" customHeight="1" x14ac:dyDescent="0.2">
      <c r="A21" s="245"/>
      <c r="B21" s="250">
        <f>'1. LDC Info'!F27-17</f>
        <v>1999</v>
      </c>
      <c r="C21" s="525"/>
      <c r="D21" s="525"/>
      <c r="E21" s="525"/>
      <c r="F21" s="525"/>
      <c r="G21" s="525"/>
      <c r="H21" s="525"/>
      <c r="I21" s="525"/>
      <c r="J21" s="525"/>
      <c r="K21" s="525"/>
      <c r="L21" s="525"/>
      <c r="M21" s="525"/>
      <c r="N21" s="525"/>
      <c r="O21" s="245"/>
    </row>
    <row r="22" spans="1:26" ht="12" customHeight="1" x14ac:dyDescent="0.2">
      <c r="A22" s="245"/>
      <c r="B22" s="250">
        <f>'1. LDC Info'!F27-16</f>
        <v>2000</v>
      </c>
      <c r="C22" s="525"/>
      <c r="D22" s="525"/>
      <c r="E22" s="525"/>
      <c r="F22" s="525"/>
      <c r="G22" s="525"/>
      <c r="H22" s="525"/>
      <c r="I22" s="525"/>
      <c r="J22" s="525"/>
      <c r="K22" s="525"/>
      <c r="L22" s="525"/>
      <c r="M22" s="525"/>
      <c r="N22" s="525"/>
      <c r="O22" s="245"/>
    </row>
    <row r="23" spans="1:26" ht="12" customHeight="1" x14ac:dyDescent="0.2">
      <c r="A23" s="245"/>
      <c r="B23" s="250">
        <f>'1. LDC Info'!F27-15</f>
        <v>2001</v>
      </c>
      <c r="C23" s="525"/>
      <c r="D23" s="525"/>
      <c r="E23" s="525"/>
      <c r="F23" s="525"/>
      <c r="G23" s="525"/>
      <c r="H23" s="525"/>
      <c r="I23" s="525"/>
      <c r="J23" s="525"/>
      <c r="K23" s="525"/>
      <c r="L23" s="525"/>
      <c r="M23" s="525"/>
      <c r="N23" s="525"/>
      <c r="O23" s="245"/>
    </row>
    <row r="24" spans="1:26" ht="12" customHeight="1" x14ac:dyDescent="0.2">
      <c r="A24" s="245"/>
      <c r="B24" s="250">
        <f>'1. LDC Info'!F27-14</f>
        <v>2002</v>
      </c>
      <c r="C24" s="525"/>
      <c r="D24" s="525"/>
      <c r="E24" s="525"/>
      <c r="F24" s="525"/>
      <c r="G24" s="525"/>
      <c r="H24" s="525"/>
      <c r="I24" s="525"/>
      <c r="J24" s="525"/>
      <c r="K24" s="525"/>
      <c r="L24" s="525"/>
      <c r="M24" s="525"/>
      <c r="N24" s="525"/>
      <c r="O24" s="245"/>
    </row>
    <row r="25" spans="1:26" ht="12" customHeight="1" x14ac:dyDescent="0.2">
      <c r="A25" s="245"/>
      <c r="B25" s="250">
        <f>'1. LDC Info'!F27-13</f>
        <v>2003</v>
      </c>
      <c r="C25" s="525"/>
      <c r="D25" s="525"/>
      <c r="E25" s="525"/>
      <c r="F25" s="525"/>
      <c r="G25" s="525"/>
      <c r="H25" s="525"/>
      <c r="I25" s="525"/>
      <c r="J25" s="525"/>
      <c r="K25" s="525"/>
      <c r="L25" s="525"/>
      <c r="M25" s="525"/>
      <c r="N25" s="525"/>
      <c r="O25" s="245"/>
    </row>
    <row r="26" spans="1:26" ht="12" customHeight="1" x14ac:dyDescent="0.2">
      <c r="A26" s="245"/>
      <c r="B26" s="250">
        <f>'1. LDC Info'!F27-12</f>
        <v>2004</v>
      </c>
      <c r="C26" s="525">
        <v>1045.3</v>
      </c>
      <c r="D26" s="525">
        <v>750</v>
      </c>
      <c r="E26" s="525">
        <v>559.20000000000005</v>
      </c>
      <c r="F26" s="525">
        <v>377.8</v>
      </c>
      <c r="G26" s="525">
        <v>166.2</v>
      </c>
      <c r="H26" s="525">
        <v>54</v>
      </c>
      <c r="I26" s="525">
        <v>1.8</v>
      </c>
      <c r="J26" s="525">
        <v>29.8</v>
      </c>
      <c r="K26" s="525">
        <v>66.8</v>
      </c>
      <c r="L26" s="525">
        <v>287</v>
      </c>
      <c r="M26" s="525">
        <v>484.3</v>
      </c>
      <c r="N26" s="525">
        <v>814.9</v>
      </c>
      <c r="O26" s="245"/>
    </row>
    <row r="27" spans="1:26" x14ac:dyDescent="0.2">
      <c r="A27" s="245"/>
      <c r="B27" s="250">
        <f>'1. LDC Info'!F27-11</f>
        <v>2005</v>
      </c>
      <c r="C27" s="525">
        <v>920.7</v>
      </c>
      <c r="D27" s="525">
        <v>700.6</v>
      </c>
      <c r="E27" s="525">
        <v>668.8</v>
      </c>
      <c r="F27" s="525">
        <v>324.8</v>
      </c>
      <c r="G27" s="525">
        <v>205</v>
      </c>
      <c r="H27" s="525">
        <v>16.100000000000001</v>
      </c>
      <c r="I27" s="525">
        <v>2.9</v>
      </c>
      <c r="J27" s="525">
        <v>8.4</v>
      </c>
      <c r="K27" s="525">
        <v>59.2</v>
      </c>
      <c r="L27" s="525">
        <v>269.7</v>
      </c>
      <c r="M27" s="525">
        <v>484.2</v>
      </c>
      <c r="N27" s="525">
        <v>762</v>
      </c>
      <c r="O27" s="245"/>
      <c r="Z27" s="218" t="str">
        <f>+$B$16</f>
        <v>HDD</v>
      </c>
    </row>
    <row r="28" spans="1:26" x14ac:dyDescent="0.2">
      <c r="A28" s="245"/>
      <c r="B28" s="250">
        <f>'1. LDC Info'!F27-10</f>
        <v>2006</v>
      </c>
      <c r="C28" s="525">
        <v>733.5</v>
      </c>
      <c r="D28" s="525">
        <v>720.9</v>
      </c>
      <c r="E28" s="525">
        <v>600.4</v>
      </c>
      <c r="F28" s="525">
        <v>321.60000000000002</v>
      </c>
      <c r="G28" s="525">
        <v>128.19999999999999</v>
      </c>
      <c r="H28" s="525">
        <v>27.6</v>
      </c>
      <c r="I28" s="525">
        <v>0.3</v>
      </c>
      <c r="J28" s="525">
        <v>18.2</v>
      </c>
      <c r="K28" s="525">
        <v>121</v>
      </c>
      <c r="L28" s="525">
        <v>335.7</v>
      </c>
      <c r="M28" s="525">
        <v>417.3</v>
      </c>
      <c r="N28" s="525">
        <v>610</v>
      </c>
      <c r="O28" s="245"/>
      <c r="Z28" s="218" t="str">
        <f>+B39</f>
        <v>CDD</v>
      </c>
    </row>
    <row r="29" spans="1:26" x14ac:dyDescent="0.2">
      <c r="A29" s="245"/>
      <c r="B29" s="250">
        <f>'1. LDC Info'!F27-9</f>
        <v>2007</v>
      </c>
      <c r="C29" s="525">
        <v>797.1</v>
      </c>
      <c r="D29" s="525">
        <v>820</v>
      </c>
      <c r="E29" s="525">
        <v>643</v>
      </c>
      <c r="F29" s="525">
        <v>361.1</v>
      </c>
      <c r="G29" s="525">
        <v>157.30000000000001</v>
      </c>
      <c r="H29" s="525">
        <v>34.200000000000003</v>
      </c>
      <c r="I29" s="525">
        <v>11.8</v>
      </c>
      <c r="J29" s="525">
        <v>20.100000000000001</v>
      </c>
      <c r="K29" s="525">
        <v>76</v>
      </c>
      <c r="L29" s="525">
        <v>227.5</v>
      </c>
      <c r="M29" s="525">
        <v>517</v>
      </c>
      <c r="N29" s="525">
        <v>787.7</v>
      </c>
      <c r="O29" s="245"/>
      <c r="Z29" s="218" t="str">
        <f>+B62</f>
        <v>Number of Days in Month</v>
      </c>
    </row>
    <row r="30" spans="1:26" x14ac:dyDescent="0.2">
      <c r="A30" s="245"/>
      <c r="B30" s="250">
        <f>'1. LDC Info'!F27-8</f>
        <v>2008</v>
      </c>
      <c r="C30" s="525">
        <v>754.2</v>
      </c>
      <c r="D30" s="525">
        <v>774.3</v>
      </c>
      <c r="E30" s="525">
        <v>721.1</v>
      </c>
      <c r="F30" s="525">
        <v>299.60000000000002</v>
      </c>
      <c r="G30" s="525">
        <v>185.4</v>
      </c>
      <c r="H30" s="525">
        <v>22.4</v>
      </c>
      <c r="I30" s="525">
        <v>0.3</v>
      </c>
      <c r="J30" s="525">
        <v>14.4</v>
      </c>
      <c r="K30" s="525">
        <v>95.4</v>
      </c>
      <c r="L30" s="525">
        <v>321.8</v>
      </c>
      <c r="M30" s="525">
        <v>502.8</v>
      </c>
      <c r="N30" s="525">
        <v>796.7</v>
      </c>
      <c r="O30" s="245"/>
      <c r="Z30" s="218" t="str">
        <f>+B76</f>
        <v>Employment Stats</v>
      </c>
    </row>
    <row r="31" spans="1:26" x14ac:dyDescent="0.2">
      <c r="A31" s="245"/>
      <c r="B31" s="250">
        <f>'1. LDC Info'!F27-7</f>
        <v>2009</v>
      </c>
      <c r="C31" s="525">
        <v>979.5</v>
      </c>
      <c r="D31" s="525">
        <v>711.5</v>
      </c>
      <c r="E31" s="525">
        <v>598.29999999999995</v>
      </c>
      <c r="F31" s="525">
        <v>334.3</v>
      </c>
      <c r="G31" s="525">
        <v>181.6</v>
      </c>
      <c r="H31" s="525">
        <v>50.4</v>
      </c>
      <c r="I31" s="525">
        <v>13.1</v>
      </c>
      <c r="J31" s="525">
        <v>26.1</v>
      </c>
      <c r="K31" s="525">
        <v>106.5</v>
      </c>
      <c r="L31" s="525">
        <v>355.5</v>
      </c>
      <c r="M31" s="525">
        <v>417.4</v>
      </c>
      <c r="N31" s="525">
        <v>759.4</v>
      </c>
      <c r="O31" s="245"/>
      <c r="Z31" s="218" t="str">
        <f>+B90</f>
        <v>Winter Flag</v>
      </c>
    </row>
    <row r="32" spans="1:26" x14ac:dyDescent="0.2">
      <c r="A32" s="245"/>
      <c r="B32" s="250">
        <f>'1. LDC Info'!F27-6</f>
        <v>2010</v>
      </c>
      <c r="C32" s="525">
        <v>789.2</v>
      </c>
      <c r="D32" s="525">
        <v>655.8</v>
      </c>
      <c r="E32" s="525">
        <v>460.7</v>
      </c>
      <c r="F32" s="525">
        <v>258.10000000000002</v>
      </c>
      <c r="G32" s="525">
        <v>112.3</v>
      </c>
      <c r="H32" s="525">
        <v>37.6</v>
      </c>
      <c r="I32" s="525">
        <v>4.5</v>
      </c>
      <c r="J32" s="525">
        <v>14.7</v>
      </c>
      <c r="K32" s="525">
        <v>112</v>
      </c>
      <c r="L32" s="525">
        <v>311</v>
      </c>
      <c r="M32" s="525">
        <v>491.6</v>
      </c>
      <c r="N32" s="525">
        <v>731.4</v>
      </c>
      <c r="O32" s="245"/>
    </row>
    <row r="33" spans="1:15" x14ac:dyDescent="0.2">
      <c r="A33" s="245"/>
      <c r="B33" s="250">
        <f>'1. LDC Info'!F27-5</f>
        <v>2011</v>
      </c>
      <c r="C33" s="525">
        <v>888.7</v>
      </c>
      <c r="D33" s="525">
        <v>731.6</v>
      </c>
      <c r="E33" s="525">
        <v>634.6</v>
      </c>
      <c r="F33" s="525">
        <v>347.4</v>
      </c>
      <c r="G33" s="525">
        <v>142.80000000000001</v>
      </c>
      <c r="H33" s="525">
        <v>18.5</v>
      </c>
      <c r="I33" s="525">
        <v>0</v>
      </c>
      <c r="J33" s="525">
        <v>2.2999999999999998</v>
      </c>
      <c r="K33" s="525">
        <v>55.4</v>
      </c>
      <c r="L33" s="525">
        <v>259.10000000000002</v>
      </c>
      <c r="M33" s="525">
        <v>392.9</v>
      </c>
      <c r="N33" s="525">
        <v>256.39999999999998</v>
      </c>
      <c r="O33" s="245"/>
    </row>
    <row r="34" spans="1:15" x14ac:dyDescent="0.2">
      <c r="A34" s="245"/>
      <c r="B34" s="250">
        <f>'1. LDC Info'!F27-4</f>
        <v>2012</v>
      </c>
      <c r="C34" s="525">
        <v>831</v>
      </c>
      <c r="D34" s="525">
        <v>671.4</v>
      </c>
      <c r="E34" s="525">
        <v>460.3</v>
      </c>
      <c r="F34" s="525">
        <v>363.3</v>
      </c>
      <c r="G34" s="525">
        <v>96</v>
      </c>
      <c r="H34" s="525">
        <v>31.4</v>
      </c>
      <c r="I34" s="525">
        <v>0</v>
      </c>
      <c r="J34" s="525">
        <v>8.4</v>
      </c>
      <c r="K34" s="525">
        <v>127.3</v>
      </c>
      <c r="L34" s="525">
        <v>243.1</v>
      </c>
      <c r="M34" s="525">
        <v>541.70000000000005</v>
      </c>
      <c r="N34" s="525">
        <v>680.6</v>
      </c>
      <c r="O34" s="245"/>
    </row>
    <row r="35" spans="1:15" x14ac:dyDescent="0.2">
      <c r="A35" s="245"/>
      <c r="B35" s="250">
        <f>'1. LDC Info'!F27-3</f>
        <v>2013</v>
      </c>
      <c r="C35" s="525">
        <v>839.9</v>
      </c>
      <c r="D35" s="525">
        <v>728.5</v>
      </c>
      <c r="E35" s="525">
        <v>579.6</v>
      </c>
      <c r="F35" s="525">
        <v>285.5</v>
      </c>
      <c r="G35" s="525">
        <v>105.7</v>
      </c>
      <c r="H35" s="525">
        <v>54.1</v>
      </c>
      <c r="I35" s="525">
        <v>7.7</v>
      </c>
      <c r="J35" s="525">
        <v>13.4</v>
      </c>
      <c r="K35" s="525">
        <v>133.19999999999999</v>
      </c>
      <c r="L35" s="525">
        <v>235.8</v>
      </c>
      <c r="M35" s="525">
        <v>560.79999999999995</v>
      </c>
      <c r="N35" s="525">
        <v>858.2</v>
      </c>
      <c r="O35" s="245"/>
    </row>
    <row r="36" spans="1:15" x14ac:dyDescent="0.2">
      <c r="A36" s="245"/>
      <c r="B36" s="250">
        <f>'1. LDC Info'!F27-2</f>
        <v>2014</v>
      </c>
      <c r="C36" s="525">
        <v>918.30000000000007</v>
      </c>
      <c r="D36" s="525">
        <v>793.2</v>
      </c>
      <c r="E36" s="525">
        <v>783.6</v>
      </c>
      <c r="F36" s="525">
        <v>384.20000000000005</v>
      </c>
      <c r="G36" s="525">
        <v>127.3</v>
      </c>
      <c r="H36" s="525">
        <v>20.299999999999997</v>
      </c>
      <c r="I36" s="525">
        <v>8.8000000000000007</v>
      </c>
      <c r="J36" s="525">
        <v>21.400000000000002</v>
      </c>
      <c r="K36" s="525">
        <v>110.3</v>
      </c>
      <c r="L36" s="525">
        <v>257.90000000000003</v>
      </c>
      <c r="M36" s="525">
        <v>510.6</v>
      </c>
      <c r="N36" s="525">
        <v>696.39999999999986</v>
      </c>
      <c r="O36" s="245"/>
    </row>
    <row r="37" spans="1:15" x14ac:dyDescent="0.2">
      <c r="A37" s="245"/>
      <c r="O37" s="245"/>
    </row>
    <row r="38" spans="1:15" x14ac:dyDescent="0.2">
      <c r="A38" s="245"/>
      <c r="B38" s="251"/>
      <c r="C38" s="246"/>
      <c r="D38" s="246"/>
      <c r="E38" s="246"/>
      <c r="F38" s="246"/>
      <c r="G38" s="246"/>
      <c r="H38" s="246"/>
      <c r="I38" s="246"/>
      <c r="J38" s="246"/>
      <c r="K38" s="246"/>
      <c r="L38" s="246"/>
      <c r="M38" s="246"/>
      <c r="N38" s="246"/>
      <c r="O38" s="245"/>
    </row>
    <row r="39" spans="1:15" x14ac:dyDescent="0.2">
      <c r="A39" s="245"/>
      <c r="B39" s="244" t="s">
        <v>2</v>
      </c>
      <c r="C39" s="249" t="s">
        <v>137</v>
      </c>
      <c r="D39" s="249" t="s">
        <v>138</v>
      </c>
      <c r="E39" s="249" t="s">
        <v>139</v>
      </c>
      <c r="F39" s="249" t="s">
        <v>140</v>
      </c>
      <c r="G39" s="249" t="s">
        <v>116</v>
      </c>
      <c r="H39" s="249" t="s">
        <v>141</v>
      </c>
      <c r="I39" s="249" t="s">
        <v>142</v>
      </c>
      <c r="J39" s="249" t="s">
        <v>143</v>
      </c>
      <c r="K39" s="249" t="s">
        <v>144</v>
      </c>
      <c r="L39" s="249" t="s">
        <v>147</v>
      </c>
      <c r="M39" s="249" t="s">
        <v>145</v>
      </c>
      <c r="N39" s="249" t="s">
        <v>146</v>
      </c>
      <c r="O39" s="245"/>
    </row>
    <row r="40" spans="1:15" x14ac:dyDescent="0.2">
      <c r="A40" s="245"/>
      <c r="B40" s="252" t="str">
        <f t="shared" ref="B40:B59" si="0">B17</f>
        <v>1995</v>
      </c>
      <c r="C40" s="529"/>
      <c r="D40" s="529"/>
      <c r="E40" s="529"/>
      <c r="F40" s="529"/>
      <c r="G40" s="529"/>
      <c r="H40" s="529"/>
      <c r="I40" s="529"/>
      <c r="J40" s="529"/>
      <c r="K40" s="529"/>
      <c r="L40" s="529"/>
      <c r="M40" s="529"/>
      <c r="N40" s="529"/>
      <c r="O40" s="245"/>
    </row>
    <row r="41" spans="1:15" x14ac:dyDescent="0.2">
      <c r="A41" s="245"/>
      <c r="B41" s="252">
        <f t="shared" si="0"/>
        <v>1996</v>
      </c>
      <c r="C41" s="529"/>
      <c r="D41" s="529"/>
      <c r="E41" s="529"/>
      <c r="F41" s="529"/>
      <c r="G41" s="529"/>
      <c r="H41" s="529"/>
      <c r="I41" s="529"/>
      <c r="J41" s="529"/>
      <c r="K41" s="529"/>
      <c r="L41" s="529"/>
      <c r="M41" s="529"/>
      <c r="N41" s="529"/>
      <c r="O41" s="245"/>
    </row>
    <row r="42" spans="1:15" x14ac:dyDescent="0.2">
      <c r="A42" s="245"/>
      <c r="B42" s="252">
        <f t="shared" si="0"/>
        <v>1997</v>
      </c>
      <c r="C42" s="529"/>
      <c r="D42" s="529"/>
      <c r="E42" s="529"/>
      <c r="F42" s="529"/>
      <c r="G42" s="529"/>
      <c r="H42" s="529"/>
      <c r="I42" s="529"/>
      <c r="J42" s="529"/>
      <c r="K42" s="529"/>
      <c r="L42" s="529"/>
      <c r="M42" s="529"/>
      <c r="N42" s="529"/>
      <c r="O42" s="245"/>
    </row>
    <row r="43" spans="1:15" x14ac:dyDescent="0.2">
      <c r="A43" s="245"/>
      <c r="B43" s="252">
        <f t="shared" si="0"/>
        <v>1998</v>
      </c>
      <c r="C43" s="529"/>
      <c r="D43" s="529"/>
      <c r="E43" s="529"/>
      <c r="F43" s="529"/>
      <c r="G43" s="529"/>
      <c r="H43" s="529"/>
      <c r="I43" s="529"/>
      <c r="J43" s="529"/>
      <c r="K43" s="529"/>
      <c r="L43" s="529"/>
      <c r="M43" s="529"/>
      <c r="N43" s="529"/>
      <c r="O43" s="245"/>
    </row>
    <row r="44" spans="1:15" x14ac:dyDescent="0.2">
      <c r="A44" s="245"/>
      <c r="B44" s="252">
        <f t="shared" si="0"/>
        <v>1999</v>
      </c>
      <c r="C44" s="529"/>
      <c r="D44" s="529"/>
      <c r="E44" s="529"/>
      <c r="F44" s="529"/>
      <c r="G44" s="529"/>
      <c r="H44" s="529"/>
      <c r="I44" s="529"/>
      <c r="J44" s="529"/>
      <c r="K44" s="529"/>
      <c r="L44" s="529"/>
      <c r="M44" s="529"/>
      <c r="N44" s="529"/>
      <c r="O44" s="245"/>
    </row>
    <row r="45" spans="1:15" x14ac:dyDescent="0.2">
      <c r="A45" s="245"/>
      <c r="B45" s="252">
        <f t="shared" si="0"/>
        <v>2000</v>
      </c>
      <c r="C45" s="529"/>
      <c r="D45" s="529"/>
      <c r="E45" s="529"/>
      <c r="F45" s="529"/>
      <c r="G45" s="529"/>
      <c r="H45" s="529"/>
      <c r="I45" s="529"/>
      <c r="J45" s="529"/>
      <c r="K45" s="529"/>
      <c r="L45" s="529"/>
      <c r="M45" s="529"/>
      <c r="N45" s="529"/>
      <c r="O45" s="245"/>
    </row>
    <row r="46" spans="1:15" x14ac:dyDescent="0.2">
      <c r="A46" s="245"/>
      <c r="B46" s="252">
        <f t="shared" si="0"/>
        <v>2001</v>
      </c>
      <c r="C46" s="529"/>
      <c r="D46" s="529"/>
      <c r="E46" s="529"/>
      <c r="F46" s="529"/>
      <c r="G46" s="529"/>
      <c r="H46" s="529"/>
      <c r="I46" s="529"/>
      <c r="J46" s="529"/>
      <c r="K46" s="529"/>
      <c r="L46" s="529"/>
      <c r="M46" s="529"/>
      <c r="N46" s="529"/>
      <c r="O46" s="245"/>
    </row>
    <row r="47" spans="1:15" x14ac:dyDescent="0.2">
      <c r="A47" s="245"/>
      <c r="B47" s="252">
        <f t="shared" si="0"/>
        <v>2002</v>
      </c>
      <c r="C47" s="529"/>
      <c r="D47" s="529"/>
      <c r="E47" s="529"/>
      <c r="F47" s="529"/>
      <c r="G47" s="529"/>
      <c r="H47" s="529"/>
      <c r="I47" s="529"/>
      <c r="J47" s="529"/>
      <c r="K47" s="529"/>
      <c r="L47" s="529"/>
      <c r="M47" s="529"/>
      <c r="N47" s="529"/>
      <c r="O47" s="245"/>
    </row>
    <row r="48" spans="1:15" x14ac:dyDescent="0.2">
      <c r="A48" s="245"/>
      <c r="B48" s="252">
        <f t="shared" si="0"/>
        <v>2003</v>
      </c>
      <c r="C48" s="529"/>
      <c r="D48" s="529"/>
      <c r="E48" s="529"/>
      <c r="F48" s="529"/>
      <c r="G48" s="529"/>
      <c r="H48" s="529"/>
      <c r="I48" s="529"/>
      <c r="J48" s="529"/>
      <c r="K48" s="529"/>
      <c r="L48" s="529"/>
      <c r="M48" s="529"/>
      <c r="N48" s="529"/>
      <c r="O48" s="245"/>
    </row>
    <row r="49" spans="1:15" x14ac:dyDescent="0.2">
      <c r="A49" s="245"/>
      <c r="B49" s="252">
        <f t="shared" si="0"/>
        <v>2004</v>
      </c>
      <c r="C49" s="529">
        <v>0</v>
      </c>
      <c r="D49" s="529">
        <v>0</v>
      </c>
      <c r="E49" s="529">
        <v>0</v>
      </c>
      <c r="F49" s="529">
        <v>1.9</v>
      </c>
      <c r="G49" s="529">
        <v>4</v>
      </c>
      <c r="H49" s="529">
        <v>27.1</v>
      </c>
      <c r="I49" s="529">
        <v>86.5</v>
      </c>
      <c r="J49" s="529">
        <v>47.5</v>
      </c>
      <c r="K49" s="529">
        <v>11.1</v>
      </c>
      <c r="L49" s="529">
        <v>0</v>
      </c>
      <c r="M49" s="529">
        <v>0</v>
      </c>
      <c r="N49" s="529">
        <v>0</v>
      </c>
      <c r="O49" s="245"/>
    </row>
    <row r="50" spans="1:15" x14ac:dyDescent="0.2">
      <c r="A50" s="245"/>
      <c r="B50" s="252">
        <f t="shared" si="0"/>
        <v>2005</v>
      </c>
      <c r="C50" s="529">
        <v>0</v>
      </c>
      <c r="D50" s="529">
        <v>0</v>
      </c>
      <c r="E50" s="529">
        <v>0</v>
      </c>
      <c r="F50" s="529">
        <v>0</v>
      </c>
      <c r="G50" s="529">
        <v>1.9</v>
      </c>
      <c r="H50" s="529">
        <v>111.6</v>
      </c>
      <c r="I50" s="529">
        <v>128.6</v>
      </c>
      <c r="J50" s="529">
        <v>115.4</v>
      </c>
      <c r="K50" s="529">
        <v>33.1</v>
      </c>
      <c r="L50" s="529">
        <v>6.4</v>
      </c>
      <c r="M50" s="529">
        <v>0</v>
      </c>
      <c r="N50" s="529">
        <v>0</v>
      </c>
      <c r="O50" s="245"/>
    </row>
    <row r="51" spans="1:15" x14ac:dyDescent="0.2">
      <c r="A51" s="245"/>
      <c r="B51" s="252">
        <f t="shared" si="0"/>
        <v>2006</v>
      </c>
      <c r="C51" s="529">
        <v>0</v>
      </c>
      <c r="D51" s="529">
        <v>0</v>
      </c>
      <c r="E51" s="529">
        <v>0</v>
      </c>
      <c r="F51" s="529">
        <v>0</v>
      </c>
      <c r="G51" s="529">
        <v>16.899999999999999</v>
      </c>
      <c r="H51" s="529">
        <v>48.2</v>
      </c>
      <c r="I51" s="529">
        <v>130.6</v>
      </c>
      <c r="J51" s="529">
        <v>68.099999999999994</v>
      </c>
      <c r="K51" s="529">
        <v>5.3</v>
      </c>
      <c r="L51" s="529">
        <v>0</v>
      </c>
      <c r="M51" s="529">
        <v>0</v>
      </c>
      <c r="N51" s="529">
        <v>0</v>
      </c>
      <c r="O51" s="245"/>
    </row>
    <row r="52" spans="1:15" x14ac:dyDescent="0.2">
      <c r="A52" s="245"/>
      <c r="B52" s="252">
        <f t="shared" si="0"/>
        <v>2007</v>
      </c>
      <c r="C52" s="529">
        <v>0</v>
      </c>
      <c r="D52" s="529">
        <v>0</v>
      </c>
      <c r="E52" s="529">
        <v>0</v>
      </c>
      <c r="F52" s="529">
        <v>0</v>
      </c>
      <c r="G52" s="529">
        <v>17.3</v>
      </c>
      <c r="H52" s="529">
        <v>66.900000000000006</v>
      </c>
      <c r="I52" s="529">
        <v>65.099999999999994</v>
      </c>
      <c r="J52" s="529">
        <v>79.3</v>
      </c>
      <c r="K52" s="529">
        <v>25.7</v>
      </c>
      <c r="L52" s="529">
        <v>1.9</v>
      </c>
      <c r="M52" s="529">
        <v>0</v>
      </c>
      <c r="N52" s="529">
        <v>0</v>
      </c>
      <c r="O52" s="245"/>
    </row>
    <row r="53" spans="1:15" x14ac:dyDescent="0.2">
      <c r="A53" s="245"/>
      <c r="B53" s="252">
        <f t="shared" si="0"/>
        <v>2008</v>
      </c>
      <c r="C53" s="529">
        <v>0</v>
      </c>
      <c r="D53" s="529">
        <v>0</v>
      </c>
      <c r="E53" s="529">
        <v>0</v>
      </c>
      <c r="F53" s="529">
        <v>0</v>
      </c>
      <c r="G53" s="529">
        <v>0</v>
      </c>
      <c r="H53" s="529">
        <v>60.5</v>
      </c>
      <c r="I53" s="529">
        <v>78.900000000000006</v>
      </c>
      <c r="J53" s="529">
        <v>49.5</v>
      </c>
      <c r="K53" s="529">
        <v>25</v>
      </c>
      <c r="L53" s="529">
        <v>0</v>
      </c>
      <c r="M53" s="529">
        <v>0</v>
      </c>
      <c r="N53" s="529">
        <v>0</v>
      </c>
      <c r="O53" s="245"/>
    </row>
    <row r="54" spans="1:15" x14ac:dyDescent="0.2">
      <c r="A54" s="245"/>
      <c r="B54" s="252">
        <f t="shared" si="0"/>
        <v>2009</v>
      </c>
      <c r="C54" s="529">
        <v>0</v>
      </c>
      <c r="D54" s="529">
        <v>0</v>
      </c>
      <c r="E54" s="529">
        <v>0</v>
      </c>
      <c r="F54" s="529">
        <v>2.5</v>
      </c>
      <c r="G54" s="529">
        <v>3.2</v>
      </c>
      <c r="H54" s="529">
        <v>44.9</v>
      </c>
      <c r="I54" s="529">
        <v>42.9</v>
      </c>
      <c r="J54" s="529">
        <v>82.1</v>
      </c>
      <c r="K54" s="529">
        <v>5</v>
      </c>
      <c r="L54" s="529">
        <v>0</v>
      </c>
      <c r="M54" s="529">
        <v>0</v>
      </c>
      <c r="N54" s="529">
        <v>0</v>
      </c>
      <c r="O54" s="245"/>
    </row>
    <row r="55" spans="1:15" x14ac:dyDescent="0.2">
      <c r="A55" s="245"/>
      <c r="B55" s="252">
        <f t="shared" si="0"/>
        <v>2010</v>
      </c>
      <c r="C55" s="529">
        <v>0</v>
      </c>
      <c r="D55" s="529">
        <v>0</v>
      </c>
      <c r="E55" s="529">
        <v>0</v>
      </c>
      <c r="F55" s="529">
        <v>1.6</v>
      </c>
      <c r="G55" s="529">
        <v>38.200000000000003</v>
      </c>
      <c r="H55" s="529">
        <v>33.4</v>
      </c>
      <c r="I55" s="529">
        <v>150.80000000000001</v>
      </c>
      <c r="J55" s="529">
        <v>93</v>
      </c>
      <c r="K55" s="529">
        <v>26.2</v>
      </c>
      <c r="L55" s="529">
        <v>0</v>
      </c>
      <c r="M55" s="529">
        <v>0</v>
      </c>
      <c r="N55" s="529">
        <v>0</v>
      </c>
      <c r="O55" s="245"/>
    </row>
    <row r="56" spans="1:15" x14ac:dyDescent="0.2">
      <c r="A56" s="245"/>
      <c r="B56" s="252">
        <f t="shared" si="0"/>
        <v>2011</v>
      </c>
      <c r="C56" s="530">
        <v>0</v>
      </c>
      <c r="D56" s="530">
        <v>0</v>
      </c>
      <c r="E56" s="530">
        <v>0</v>
      </c>
      <c r="F56" s="530">
        <v>0</v>
      </c>
      <c r="G56" s="530">
        <v>16.7</v>
      </c>
      <c r="H56" s="530">
        <v>59.1</v>
      </c>
      <c r="I56" s="530">
        <v>137.5</v>
      </c>
      <c r="J56" s="530">
        <v>82.3</v>
      </c>
      <c r="K56" s="530">
        <v>32.9</v>
      </c>
      <c r="L56" s="530">
        <v>1.4</v>
      </c>
      <c r="M56" s="530">
        <v>0</v>
      </c>
      <c r="N56" s="530">
        <v>0</v>
      </c>
      <c r="O56" s="245"/>
    </row>
    <row r="57" spans="1:15" x14ac:dyDescent="0.2">
      <c r="A57" s="245"/>
      <c r="B57" s="252">
        <f t="shared" si="0"/>
        <v>2012</v>
      </c>
      <c r="C57" s="529">
        <v>0</v>
      </c>
      <c r="D57" s="529">
        <v>0</v>
      </c>
      <c r="E57" s="529">
        <v>0</v>
      </c>
      <c r="F57" s="529">
        <v>3.2</v>
      </c>
      <c r="G57" s="529">
        <v>21</v>
      </c>
      <c r="H57" s="529">
        <v>70.400000000000006</v>
      </c>
      <c r="I57" s="529">
        <v>142.19999999999999</v>
      </c>
      <c r="J57" s="529">
        <v>97.6</v>
      </c>
      <c r="K57" s="529">
        <v>20.6</v>
      </c>
      <c r="L57" s="529">
        <v>0</v>
      </c>
      <c r="M57" s="529">
        <v>0</v>
      </c>
      <c r="N57" s="529">
        <v>0</v>
      </c>
      <c r="O57" s="245"/>
    </row>
    <row r="58" spans="1:15" x14ac:dyDescent="0.2">
      <c r="A58" s="245"/>
      <c r="B58" s="252">
        <f t="shared" si="0"/>
        <v>2013</v>
      </c>
      <c r="C58" s="529">
        <v>0</v>
      </c>
      <c r="D58" s="529">
        <v>0</v>
      </c>
      <c r="E58" s="529">
        <v>0</v>
      </c>
      <c r="F58" s="529">
        <v>0</v>
      </c>
      <c r="G58" s="529">
        <v>15.3</v>
      </c>
      <c r="H58" s="529">
        <v>39.4</v>
      </c>
      <c r="I58" s="529">
        <v>111.1</v>
      </c>
      <c r="J58" s="529">
        <v>57.2</v>
      </c>
      <c r="K58" s="529">
        <v>10.1</v>
      </c>
      <c r="L58" s="529">
        <v>0.7</v>
      </c>
      <c r="M58" s="529">
        <v>0</v>
      </c>
      <c r="N58" s="529">
        <v>0</v>
      </c>
      <c r="O58" s="245"/>
    </row>
    <row r="59" spans="1:15" x14ac:dyDescent="0.2">
      <c r="A59" s="245"/>
      <c r="B59" s="252">
        <f t="shared" si="0"/>
        <v>2014</v>
      </c>
      <c r="C59" s="529">
        <v>0</v>
      </c>
      <c r="D59" s="529">
        <v>0</v>
      </c>
      <c r="E59" s="529">
        <v>0</v>
      </c>
      <c r="F59" s="529">
        <v>0</v>
      </c>
      <c r="G59" s="529">
        <v>8.8000000000000007</v>
      </c>
      <c r="H59" s="529">
        <v>54.9</v>
      </c>
      <c r="I59" s="529">
        <v>62.800000000000011</v>
      </c>
      <c r="J59" s="529">
        <v>55.800000000000004</v>
      </c>
      <c r="K59" s="529">
        <v>21.600000000000005</v>
      </c>
      <c r="L59" s="529">
        <v>3.1</v>
      </c>
      <c r="M59" s="529">
        <v>0</v>
      </c>
      <c r="N59" s="529">
        <v>0</v>
      </c>
      <c r="O59" s="245"/>
    </row>
    <row r="60" spans="1:15" x14ac:dyDescent="0.2">
      <c r="A60" s="245"/>
      <c r="B60" s="246"/>
      <c r="C60" s="246"/>
      <c r="D60" s="246"/>
      <c r="E60" s="246"/>
      <c r="F60" s="246"/>
      <c r="G60" s="246"/>
      <c r="H60" s="246"/>
      <c r="I60" s="246"/>
      <c r="J60" s="246"/>
      <c r="K60" s="246"/>
      <c r="L60" s="246"/>
      <c r="M60" s="246"/>
      <c r="N60" s="246"/>
      <c r="O60" s="245"/>
    </row>
    <row r="61" spans="1:15" x14ac:dyDescent="0.2">
      <c r="A61" s="245"/>
      <c r="B61" s="246"/>
      <c r="C61" s="246"/>
      <c r="D61" s="246"/>
      <c r="E61" s="246"/>
      <c r="F61" s="246"/>
      <c r="G61" s="246"/>
      <c r="H61" s="246"/>
      <c r="I61" s="246"/>
      <c r="J61" s="246"/>
      <c r="K61" s="246"/>
      <c r="L61" s="246"/>
      <c r="M61" s="246"/>
      <c r="N61" s="246"/>
      <c r="O61" s="245"/>
    </row>
    <row r="62" spans="1:15" ht="25.5" x14ac:dyDescent="0.2">
      <c r="A62" s="245"/>
      <c r="B62" s="253" t="s">
        <v>243</v>
      </c>
      <c r="C62" s="246"/>
      <c r="D62" s="246"/>
      <c r="E62" s="246"/>
      <c r="F62" s="246"/>
      <c r="G62" s="246"/>
      <c r="H62" s="246"/>
      <c r="I62" s="246"/>
      <c r="J62" s="246"/>
      <c r="K62" s="246"/>
      <c r="L62" s="246"/>
      <c r="M62" s="246"/>
      <c r="N62" s="246"/>
      <c r="O62" s="245"/>
    </row>
    <row r="63" spans="1:15" x14ac:dyDescent="0.2">
      <c r="A63" s="245"/>
      <c r="B63" s="245"/>
      <c r="C63" s="249" t="s">
        <v>137</v>
      </c>
      <c r="D63" s="249" t="s">
        <v>138</v>
      </c>
      <c r="E63" s="249" t="s">
        <v>139</v>
      </c>
      <c r="F63" s="249" t="s">
        <v>140</v>
      </c>
      <c r="G63" s="249" t="s">
        <v>116</v>
      </c>
      <c r="H63" s="249" t="s">
        <v>141</v>
      </c>
      <c r="I63" s="249" t="s">
        <v>142</v>
      </c>
      <c r="J63" s="249" t="s">
        <v>143</v>
      </c>
      <c r="K63" s="249" t="s">
        <v>144</v>
      </c>
      <c r="L63" s="249" t="s">
        <v>147</v>
      </c>
      <c r="M63" s="249" t="s">
        <v>145</v>
      </c>
      <c r="N63" s="249" t="s">
        <v>146</v>
      </c>
      <c r="O63" s="245"/>
    </row>
    <row r="64" spans="1:15" x14ac:dyDescent="0.2">
      <c r="A64" s="245"/>
      <c r="B64" s="250">
        <f t="shared" ref="B64:B73" si="1">B50</f>
        <v>2005</v>
      </c>
      <c r="C64" s="526">
        <v>31</v>
      </c>
      <c r="D64" s="526">
        <v>28</v>
      </c>
      <c r="E64" s="526">
        <v>31</v>
      </c>
      <c r="F64" s="526">
        <v>30</v>
      </c>
      <c r="G64" s="526">
        <v>31</v>
      </c>
      <c r="H64" s="526">
        <v>30</v>
      </c>
      <c r="I64" s="526">
        <v>31</v>
      </c>
      <c r="J64" s="526">
        <v>31</v>
      </c>
      <c r="K64" s="526">
        <v>30</v>
      </c>
      <c r="L64" s="526">
        <v>31</v>
      </c>
      <c r="M64" s="526">
        <v>30</v>
      </c>
      <c r="N64" s="526">
        <v>31</v>
      </c>
      <c r="O64" s="245"/>
    </row>
    <row r="65" spans="1:15" x14ac:dyDescent="0.2">
      <c r="A65" s="245"/>
      <c r="B65" s="250">
        <f t="shared" si="1"/>
        <v>2006</v>
      </c>
      <c r="C65" s="526">
        <v>31</v>
      </c>
      <c r="D65" s="526">
        <v>28</v>
      </c>
      <c r="E65" s="526">
        <v>31</v>
      </c>
      <c r="F65" s="526">
        <v>30</v>
      </c>
      <c r="G65" s="526">
        <v>31</v>
      </c>
      <c r="H65" s="526">
        <v>30</v>
      </c>
      <c r="I65" s="526">
        <v>31</v>
      </c>
      <c r="J65" s="526">
        <v>31</v>
      </c>
      <c r="K65" s="526">
        <v>30</v>
      </c>
      <c r="L65" s="526">
        <v>31</v>
      </c>
      <c r="M65" s="526">
        <v>30</v>
      </c>
      <c r="N65" s="526">
        <v>31</v>
      </c>
      <c r="O65" s="245"/>
    </row>
    <row r="66" spans="1:15" x14ac:dyDescent="0.2">
      <c r="A66" s="245"/>
      <c r="B66" s="250">
        <f t="shared" si="1"/>
        <v>2007</v>
      </c>
      <c r="C66" s="526">
        <v>31</v>
      </c>
      <c r="D66" s="526">
        <v>28</v>
      </c>
      <c r="E66" s="526">
        <v>31</v>
      </c>
      <c r="F66" s="526">
        <v>30</v>
      </c>
      <c r="G66" s="526">
        <v>31</v>
      </c>
      <c r="H66" s="526">
        <v>30</v>
      </c>
      <c r="I66" s="526">
        <v>31</v>
      </c>
      <c r="J66" s="526">
        <v>31</v>
      </c>
      <c r="K66" s="526">
        <v>30</v>
      </c>
      <c r="L66" s="526">
        <v>31</v>
      </c>
      <c r="M66" s="526">
        <v>30</v>
      </c>
      <c r="N66" s="526">
        <v>31</v>
      </c>
      <c r="O66" s="245"/>
    </row>
    <row r="67" spans="1:15" x14ac:dyDescent="0.2">
      <c r="A67" s="245"/>
      <c r="B67" s="250">
        <f t="shared" si="1"/>
        <v>2008</v>
      </c>
      <c r="C67" s="526">
        <v>31</v>
      </c>
      <c r="D67" s="526">
        <v>29</v>
      </c>
      <c r="E67" s="526">
        <v>31</v>
      </c>
      <c r="F67" s="526">
        <v>30</v>
      </c>
      <c r="G67" s="526">
        <v>31</v>
      </c>
      <c r="H67" s="526">
        <v>30</v>
      </c>
      <c r="I67" s="526">
        <v>31</v>
      </c>
      <c r="J67" s="526">
        <v>31</v>
      </c>
      <c r="K67" s="526">
        <v>30</v>
      </c>
      <c r="L67" s="526">
        <v>31</v>
      </c>
      <c r="M67" s="526">
        <v>30</v>
      </c>
      <c r="N67" s="526">
        <v>31</v>
      </c>
      <c r="O67" s="245"/>
    </row>
    <row r="68" spans="1:15" x14ac:dyDescent="0.2">
      <c r="A68" s="245"/>
      <c r="B68" s="250">
        <f t="shared" si="1"/>
        <v>2009</v>
      </c>
      <c r="C68" s="526">
        <v>31</v>
      </c>
      <c r="D68" s="526">
        <v>28</v>
      </c>
      <c r="E68" s="526">
        <v>31</v>
      </c>
      <c r="F68" s="526">
        <v>30</v>
      </c>
      <c r="G68" s="526">
        <v>31</v>
      </c>
      <c r="H68" s="526">
        <v>30</v>
      </c>
      <c r="I68" s="526">
        <v>31</v>
      </c>
      <c r="J68" s="526">
        <v>31</v>
      </c>
      <c r="K68" s="526">
        <v>30</v>
      </c>
      <c r="L68" s="526">
        <v>31</v>
      </c>
      <c r="M68" s="526">
        <v>30</v>
      </c>
      <c r="N68" s="526">
        <v>31</v>
      </c>
      <c r="O68" s="245"/>
    </row>
    <row r="69" spans="1:15" x14ac:dyDescent="0.2">
      <c r="A69" s="245"/>
      <c r="B69" s="250">
        <f t="shared" si="1"/>
        <v>2010</v>
      </c>
      <c r="C69" s="526">
        <v>31</v>
      </c>
      <c r="D69" s="526">
        <v>28</v>
      </c>
      <c r="E69" s="526">
        <v>31</v>
      </c>
      <c r="F69" s="526">
        <v>30</v>
      </c>
      <c r="G69" s="526">
        <v>31</v>
      </c>
      <c r="H69" s="526">
        <v>30</v>
      </c>
      <c r="I69" s="526">
        <v>31</v>
      </c>
      <c r="J69" s="526">
        <v>31</v>
      </c>
      <c r="K69" s="526">
        <v>30</v>
      </c>
      <c r="L69" s="526">
        <v>31</v>
      </c>
      <c r="M69" s="526">
        <v>30</v>
      </c>
      <c r="N69" s="526">
        <v>31</v>
      </c>
      <c r="O69" s="245"/>
    </row>
    <row r="70" spans="1:15" x14ac:dyDescent="0.2">
      <c r="A70" s="245"/>
      <c r="B70" s="250">
        <f t="shared" si="1"/>
        <v>2011</v>
      </c>
      <c r="C70" s="526">
        <v>31</v>
      </c>
      <c r="D70" s="526">
        <v>28</v>
      </c>
      <c r="E70" s="526">
        <v>31</v>
      </c>
      <c r="F70" s="526">
        <v>30</v>
      </c>
      <c r="G70" s="526">
        <v>31</v>
      </c>
      <c r="H70" s="526">
        <v>30</v>
      </c>
      <c r="I70" s="526">
        <v>31</v>
      </c>
      <c r="J70" s="526">
        <v>31</v>
      </c>
      <c r="K70" s="526">
        <v>30</v>
      </c>
      <c r="L70" s="526">
        <v>31</v>
      </c>
      <c r="M70" s="526">
        <v>30</v>
      </c>
      <c r="N70" s="526">
        <v>31</v>
      </c>
      <c r="O70" s="245"/>
    </row>
    <row r="71" spans="1:15" x14ac:dyDescent="0.2">
      <c r="A71" s="245"/>
      <c r="B71" s="250">
        <f t="shared" si="1"/>
        <v>2012</v>
      </c>
      <c r="C71" s="526">
        <v>31</v>
      </c>
      <c r="D71" s="526">
        <v>29</v>
      </c>
      <c r="E71" s="526">
        <v>31</v>
      </c>
      <c r="F71" s="526">
        <v>30</v>
      </c>
      <c r="G71" s="526">
        <v>31</v>
      </c>
      <c r="H71" s="526">
        <v>30</v>
      </c>
      <c r="I71" s="526">
        <v>31</v>
      </c>
      <c r="J71" s="526">
        <v>31</v>
      </c>
      <c r="K71" s="526">
        <v>30</v>
      </c>
      <c r="L71" s="526">
        <v>31</v>
      </c>
      <c r="M71" s="526">
        <v>30</v>
      </c>
      <c r="N71" s="526">
        <v>31</v>
      </c>
      <c r="O71" s="245"/>
    </row>
    <row r="72" spans="1:15" x14ac:dyDescent="0.2">
      <c r="A72" s="245"/>
      <c r="B72" s="250">
        <f t="shared" si="1"/>
        <v>2013</v>
      </c>
      <c r="C72" s="526">
        <v>31</v>
      </c>
      <c r="D72" s="526">
        <v>28</v>
      </c>
      <c r="E72" s="526">
        <v>31</v>
      </c>
      <c r="F72" s="526">
        <v>30</v>
      </c>
      <c r="G72" s="526">
        <v>31</v>
      </c>
      <c r="H72" s="526">
        <v>30</v>
      </c>
      <c r="I72" s="526">
        <v>31</v>
      </c>
      <c r="J72" s="526">
        <v>31</v>
      </c>
      <c r="K72" s="526">
        <v>30</v>
      </c>
      <c r="L72" s="526">
        <v>31</v>
      </c>
      <c r="M72" s="526">
        <v>30</v>
      </c>
      <c r="N72" s="526">
        <v>31</v>
      </c>
      <c r="O72" s="245"/>
    </row>
    <row r="73" spans="1:15" x14ac:dyDescent="0.2">
      <c r="A73" s="245"/>
      <c r="B73" s="250">
        <f t="shared" si="1"/>
        <v>2014</v>
      </c>
      <c r="C73" s="526">
        <v>31</v>
      </c>
      <c r="D73" s="526">
        <v>28</v>
      </c>
      <c r="E73" s="526">
        <v>31</v>
      </c>
      <c r="F73" s="526">
        <v>30</v>
      </c>
      <c r="G73" s="526">
        <v>31</v>
      </c>
      <c r="H73" s="526">
        <v>30</v>
      </c>
      <c r="I73" s="526">
        <v>31</v>
      </c>
      <c r="J73" s="526">
        <v>31</v>
      </c>
      <c r="K73" s="526">
        <v>30</v>
      </c>
      <c r="L73" s="526">
        <v>31</v>
      </c>
      <c r="M73" s="526">
        <v>30</v>
      </c>
      <c r="N73" s="526">
        <v>31</v>
      </c>
      <c r="O73" s="245"/>
    </row>
    <row r="74" spans="1:15" x14ac:dyDescent="0.2">
      <c r="A74" s="245"/>
      <c r="B74" s="246"/>
      <c r="C74" s="246"/>
      <c r="D74" s="246"/>
      <c r="E74" s="246"/>
      <c r="F74" s="246"/>
      <c r="G74" s="246"/>
      <c r="H74" s="246"/>
      <c r="I74" s="246"/>
      <c r="J74" s="246"/>
      <c r="K74" s="246"/>
      <c r="L74" s="246"/>
      <c r="M74" s="246"/>
      <c r="N74" s="246"/>
      <c r="O74" s="245"/>
    </row>
    <row r="75" spans="1:15" x14ac:dyDescent="0.2">
      <c r="A75" s="245"/>
      <c r="B75" s="246"/>
      <c r="C75" s="246"/>
      <c r="D75" s="246"/>
      <c r="E75" s="246"/>
      <c r="F75" s="246"/>
      <c r="G75" s="246"/>
      <c r="H75" s="246"/>
      <c r="I75" s="246"/>
      <c r="J75" s="246"/>
      <c r="K75" s="246"/>
      <c r="L75" s="246"/>
      <c r="M75" s="246"/>
      <c r="N75" s="246"/>
      <c r="O75" s="245"/>
    </row>
    <row r="76" spans="1:15" x14ac:dyDescent="0.2">
      <c r="A76" s="245"/>
      <c r="B76" s="253" t="s">
        <v>268</v>
      </c>
      <c r="C76" s="246"/>
      <c r="D76" s="246"/>
      <c r="E76" s="246"/>
      <c r="F76" s="246"/>
      <c r="G76" s="246"/>
      <c r="H76" s="246"/>
      <c r="I76" s="246"/>
      <c r="J76" s="246"/>
      <c r="K76" s="246"/>
      <c r="L76" s="246"/>
      <c r="M76" s="246"/>
      <c r="N76" s="246"/>
      <c r="O76" s="245"/>
    </row>
    <row r="77" spans="1:15" x14ac:dyDescent="0.2">
      <c r="A77" s="245"/>
      <c r="B77" s="245"/>
      <c r="C77" s="249" t="s">
        <v>137</v>
      </c>
      <c r="D77" s="249" t="s">
        <v>138</v>
      </c>
      <c r="E77" s="249" t="s">
        <v>139</v>
      </c>
      <c r="F77" s="249" t="s">
        <v>140</v>
      </c>
      <c r="G77" s="249" t="s">
        <v>116</v>
      </c>
      <c r="H77" s="249" t="s">
        <v>141</v>
      </c>
      <c r="I77" s="249" t="s">
        <v>142</v>
      </c>
      <c r="J77" s="249" t="s">
        <v>143</v>
      </c>
      <c r="K77" s="249" t="s">
        <v>144</v>
      </c>
      <c r="L77" s="249" t="s">
        <v>147</v>
      </c>
      <c r="M77" s="249" t="s">
        <v>145</v>
      </c>
      <c r="N77" s="249" t="s">
        <v>146</v>
      </c>
      <c r="O77" s="245"/>
    </row>
    <row r="78" spans="1:15" x14ac:dyDescent="0.2">
      <c r="A78" s="245"/>
      <c r="B78" s="250">
        <f t="shared" ref="B78:B86" si="2">B64</f>
        <v>2005</v>
      </c>
      <c r="C78" s="527">
        <v>353.3</v>
      </c>
      <c r="D78" s="528">
        <v>353.6</v>
      </c>
      <c r="E78" s="528">
        <v>353.9</v>
      </c>
      <c r="F78" s="528">
        <v>354.3</v>
      </c>
      <c r="G78" s="527">
        <v>354.7</v>
      </c>
      <c r="H78" s="527">
        <v>355.2</v>
      </c>
      <c r="I78" s="527">
        <v>355.6</v>
      </c>
      <c r="J78" s="527">
        <v>356.1</v>
      </c>
      <c r="K78" s="527">
        <v>356.4</v>
      </c>
      <c r="L78" s="527">
        <v>356.7</v>
      </c>
      <c r="M78" s="527">
        <v>356.7</v>
      </c>
      <c r="N78" s="527">
        <v>356.8</v>
      </c>
      <c r="O78" s="245"/>
    </row>
    <row r="79" spans="1:15" x14ac:dyDescent="0.2">
      <c r="A79" s="245"/>
      <c r="B79" s="250">
        <f t="shared" si="2"/>
        <v>2006</v>
      </c>
      <c r="C79" s="527">
        <v>356.9</v>
      </c>
      <c r="D79" s="527">
        <v>357.1</v>
      </c>
      <c r="E79" s="527">
        <v>357.2</v>
      </c>
      <c r="F79" s="527">
        <v>357.4</v>
      </c>
      <c r="G79" s="527">
        <v>357.7</v>
      </c>
      <c r="H79" s="527">
        <v>358</v>
      </c>
      <c r="I79" s="527">
        <v>358.3</v>
      </c>
      <c r="J79" s="527">
        <v>358.7</v>
      </c>
      <c r="K79" s="527">
        <v>359.1</v>
      </c>
      <c r="L79" s="527">
        <v>359.4</v>
      </c>
      <c r="M79" s="527">
        <v>359.7</v>
      </c>
      <c r="N79" s="527">
        <v>359.9</v>
      </c>
      <c r="O79" s="245"/>
    </row>
    <row r="80" spans="1:15" x14ac:dyDescent="0.2">
      <c r="A80" s="245"/>
      <c r="B80" s="250">
        <f t="shared" si="2"/>
        <v>2007</v>
      </c>
      <c r="C80" s="527">
        <v>360</v>
      </c>
      <c r="D80" s="527">
        <v>360</v>
      </c>
      <c r="E80" s="527">
        <v>360.1</v>
      </c>
      <c r="F80" s="527">
        <v>360.3</v>
      </c>
      <c r="G80" s="527">
        <v>360.5</v>
      </c>
      <c r="H80" s="527">
        <v>360.7</v>
      </c>
      <c r="I80" s="527">
        <v>360.9</v>
      </c>
      <c r="J80" s="527">
        <v>361.2</v>
      </c>
      <c r="K80" s="527">
        <v>361.3</v>
      </c>
      <c r="L80" s="527">
        <v>361.4</v>
      </c>
      <c r="M80" s="527">
        <v>361.4</v>
      </c>
      <c r="N80" s="527">
        <v>361.6</v>
      </c>
      <c r="O80" s="245"/>
    </row>
    <row r="81" spans="1:15" x14ac:dyDescent="0.2">
      <c r="A81" s="245"/>
      <c r="B81" s="250">
        <f t="shared" si="2"/>
        <v>2008</v>
      </c>
      <c r="C81" s="527">
        <v>361.7</v>
      </c>
      <c r="D81" s="527">
        <v>361.8</v>
      </c>
      <c r="E81" s="527">
        <v>361.9</v>
      </c>
      <c r="F81" s="527">
        <v>362</v>
      </c>
      <c r="G81" s="527">
        <v>362.2</v>
      </c>
      <c r="H81" s="527">
        <v>362.4</v>
      </c>
      <c r="I81" s="527">
        <v>362.6</v>
      </c>
      <c r="J81" s="527">
        <v>362.9</v>
      </c>
      <c r="K81" s="527">
        <v>363.1</v>
      </c>
      <c r="L81" s="527">
        <v>363.3</v>
      </c>
      <c r="M81" s="527">
        <v>363.4</v>
      </c>
      <c r="N81" s="527">
        <v>363.5</v>
      </c>
      <c r="O81" s="245"/>
    </row>
    <row r="82" spans="1:15" x14ac:dyDescent="0.2">
      <c r="A82" s="245"/>
      <c r="B82" s="250">
        <f t="shared" si="2"/>
        <v>2009</v>
      </c>
      <c r="C82" s="527">
        <v>363.7</v>
      </c>
      <c r="D82" s="527">
        <v>363.7</v>
      </c>
      <c r="E82" s="527">
        <v>363.8</v>
      </c>
      <c r="F82" s="527">
        <v>364</v>
      </c>
      <c r="G82" s="527">
        <v>364.2</v>
      </c>
      <c r="H82" s="527">
        <v>364.5</v>
      </c>
      <c r="I82" s="527">
        <v>364.8</v>
      </c>
      <c r="J82" s="527">
        <v>365.2</v>
      </c>
      <c r="K82" s="527">
        <v>365.5</v>
      </c>
      <c r="L82" s="527">
        <v>365.7</v>
      </c>
      <c r="M82" s="527">
        <v>365.8</v>
      </c>
      <c r="N82" s="527">
        <v>365.9</v>
      </c>
      <c r="O82" s="245"/>
    </row>
    <row r="83" spans="1:15" x14ac:dyDescent="0.2">
      <c r="A83" s="245"/>
      <c r="B83" s="250">
        <f t="shared" si="2"/>
        <v>2010</v>
      </c>
      <c r="C83" s="527">
        <v>365.9</v>
      </c>
      <c r="D83" s="527">
        <v>366</v>
      </c>
      <c r="E83" s="527">
        <v>366.1</v>
      </c>
      <c r="F83" s="527">
        <v>366.2</v>
      </c>
      <c r="G83" s="527">
        <v>366.3</v>
      </c>
      <c r="H83" s="527">
        <v>366.6</v>
      </c>
      <c r="I83" s="527">
        <v>366.9</v>
      </c>
      <c r="J83" s="527">
        <v>367.2</v>
      </c>
      <c r="K83" s="527">
        <v>367.4</v>
      </c>
      <c r="L83" s="527">
        <v>367.6</v>
      </c>
      <c r="M83" s="527">
        <v>367.8</v>
      </c>
      <c r="N83" s="527">
        <v>367.9</v>
      </c>
      <c r="O83" s="245"/>
    </row>
    <row r="84" spans="1:15" x14ac:dyDescent="0.2">
      <c r="A84" s="245"/>
      <c r="B84" s="250">
        <f t="shared" si="2"/>
        <v>2011</v>
      </c>
      <c r="C84" s="527">
        <v>367.9</v>
      </c>
      <c r="D84" s="527">
        <v>368</v>
      </c>
      <c r="E84" s="527">
        <v>368</v>
      </c>
      <c r="F84" s="527">
        <v>368.2</v>
      </c>
      <c r="G84" s="527">
        <v>368.3</v>
      </c>
      <c r="H84" s="527">
        <v>368.4</v>
      </c>
      <c r="I84" s="527">
        <v>368.6</v>
      </c>
      <c r="J84" s="527">
        <v>368.8</v>
      </c>
      <c r="K84" s="527">
        <v>368.9</v>
      </c>
      <c r="L84" s="527">
        <v>369</v>
      </c>
      <c r="M84" s="527">
        <v>369.1</v>
      </c>
      <c r="N84" s="527">
        <v>369.2</v>
      </c>
      <c r="O84" s="245"/>
    </row>
    <row r="85" spans="1:15" x14ac:dyDescent="0.2">
      <c r="A85" s="245"/>
      <c r="B85" s="250">
        <f t="shared" si="2"/>
        <v>2012</v>
      </c>
      <c r="C85" s="527">
        <v>369.3</v>
      </c>
      <c r="D85" s="527">
        <v>369.3</v>
      </c>
      <c r="E85" s="527">
        <v>369.4</v>
      </c>
      <c r="F85" s="527">
        <v>369.5</v>
      </c>
      <c r="G85" s="527">
        <v>369.7</v>
      </c>
      <c r="H85" s="527">
        <v>369.9</v>
      </c>
      <c r="I85" s="527">
        <v>370.2</v>
      </c>
      <c r="J85" s="527">
        <v>370.5</v>
      </c>
      <c r="K85" s="527">
        <v>370.7</v>
      </c>
      <c r="L85" s="527">
        <v>370.9</v>
      </c>
      <c r="M85" s="527">
        <v>371</v>
      </c>
      <c r="N85" s="527">
        <v>371.2</v>
      </c>
      <c r="O85" s="245"/>
    </row>
    <row r="86" spans="1:15" x14ac:dyDescent="0.2">
      <c r="A86" s="245"/>
      <c r="B86" s="250">
        <f t="shared" si="2"/>
        <v>2013</v>
      </c>
      <c r="C86" s="527">
        <v>371.4</v>
      </c>
      <c r="D86" s="527">
        <v>371.5</v>
      </c>
      <c r="E86" s="527">
        <v>371.6</v>
      </c>
      <c r="F86" s="527">
        <v>371.6</v>
      </c>
      <c r="G86" s="527">
        <v>371.7</v>
      </c>
      <c r="H86" s="527">
        <v>372</v>
      </c>
      <c r="I86" s="527">
        <v>372.2</v>
      </c>
      <c r="J86" s="527">
        <v>372.5</v>
      </c>
      <c r="K86" s="527">
        <v>372.5</v>
      </c>
      <c r="L86" s="527">
        <v>372.5</v>
      </c>
      <c r="M86" s="527">
        <v>372.5</v>
      </c>
      <c r="N86" s="527">
        <v>372.5</v>
      </c>
      <c r="O86" s="245"/>
    </row>
    <row r="87" spans="1:15" x14ac:dyDescent="0.2">
      <c r="A87" s="245"/>
      <c r="B87" s="250">
        <f>B73</f>
        <v>2014</v>
      </c>
      <c r="C87" s="527">
        <v>372.5</v>
      </c>
      <c r="D87" s="527">
        <v>372.5</v>
      </c>
      <c r="E87" s="527">
        <v>372.5</v>
      </c>
      <c r="F87" s="527">
        <v>372.6</v>
      </c>
      <c r="G87" s="527">
        <v>372.8</v>
      </c>
      <c r="H87" s="527">
        <v>372.9</v>
      </c>
      <c r="I87" s="527">
        <v>373.1</v>
      </c>
      <c r="J87" s="527">
        <v>373.4</v>
      </c>
      <c r="K87" s="527">
        <v>373.5</v>
      </c>
      <c r="L87" s="527">
        <v>373.6</v>
      </c>
      <c r="M87" s="527">
        <v>373.6</v>
      </c>
      <c r="N87" s="527">
        <v>373.7</v>
      </c>
      <c r="O87" s="245"/>
    </row>
    <row r="88" spans="1:15" x14ac:dyDescent="0.2">
      <c r="A88" s="245"/>
      <c r="B88" s="246"/>
      <c r="C88" s="246"/>
      <c r="D88" s="246"/>
      <c r="E88" s="246"/>
      <c r="F88" s="246"/>
      <c r="G88" s="246"/>
      <c r="H88" s="246"/>
      <c r="I88" s="246"/>
      <c r="J88" s="246"/>
      <c r="K88" s="246"/>
      <c r="L88" s="246"/>
      <c r="M88" s="246"/>
      <c r="N88" s="246"/>
      <c r="O88" s="245"/>
    </row>
    <row r="89" spans="1:15" x14ac:dyDescent="0.2">
      <c r="A89" s="245"/>
      <c r="B89" s="246"/>
      <c r="C89" s="246"/>
      <c r="D89" s="246"/>
      <c r="E89" s="246"/>
      <c r="F89" s="246"/>
      <c r="G89" s="246"/>
      <c r="H89" s="246"/>
      <c r="I89" s="246"/>
      <c r="J89" s="246"/>
      <c r="K89" s="246"/>
      <c r="L89" s="246"/>
      <c r="M89" s="246"/>
      <c r="N89" s="246"/>
      <c r="O89" s="245"/>
    </row>
    <row r="90" spans="1:15" x14ac:dyDescent="0.2">
      <c r="A90" s="245"/>
      <c r="B90" s="253" t="s">
        <v>271</v>
      </c>
      <c r="C90" s="246"/>
      <c r="D90" s="246"/>
      <c r="E90" s="246"/>
      <c r="F90" s="246"/>
      <c r="G90" s="246"/>
      <c r="H90" s="246"/>
      <c r="I90" s="246"/>
      <c r="J90" s="246"/>
      <c r="K90" s="246"/>
      <c r="L90" s="246"/>
      <c r="M90" s="246"/>
      <c r="N90" s="246"/>
      <c r="O90" s="245"/>
    </row>
    <row r="91" spans="1:15" x14ac:dyDescent="0.2">
      <c r="A91" s="245"/>
      <c r="B91" s="245"/>
      <c r="C91" s="249" t="s">
        <v>137</v>
      </c>
      <c r="D91" s="249" t="s">
        <v>138</v>
      </c>
      <c r="E91" s="249" t="s">
        <v>139</v>
      </c>
      <c r="F91" s="249" t="s">
        <v>140</v>
      </c>
      <c r="G91" s="249" t="s">
        <v>116</v>
      </c>
      <c r="H91" s="249" t="s">
        <v>141</v>
      </c>
      <c r="I91" s="249" t="s">
        <v>142</v>
      </c>
      <c r="J91" s="249" t="s">
        <v>143</v>
      </c>
      <c r="K91" s="249" t="s">
        <v>144</v>
      </c>
      <c r="L91" s="249" t="s">
        <v>147</v>
      </c>
      <c r="M91" s="249" t="s">
        <v>145</v>
      </c>
      <c r="N91" s="249" t="s">
        <v>146</v>
      </c>
      <c r="O91" s="245"/>
    </row>
    <row r="92" spans="1:15" x14ac:dyDescent="0.2">
      <c r="A92" s="245"/>
      <c r="B92" s="250">
        <f t="shared" ref="B92:B100" si="3">B78</f>
        <v>2005</v>
      </c>
      <c r="C92" s="48">
        <v>1</v>
      </c>
      <c r="D92" s="48">
        <v>1</v>
      </c>
      <c r="E92" s="48">
        <v>0</v>
      </c>
      <c r="F92" s="48">
        <v>0</v>
      </c>
      <c r="G92" s="48">
        <v>0</v>
      </c>
      <c r="H92" s="48">
        <v>0</v>
      </c>
      <c r="I92" s="48">
        <v>0</v>
      </c>
      <c r="J92" s="48">
        <v>0</v>
      </c>
      <c r="K92" s="48">
        <v>0</v>
      </c>
      <c r="L92" s="48">
        <v>0</v>
      </c>
      <c r="M92" s="48">
        <v>0</v>
      </c>
      <c r="N92" s="48">
        <v>1</v>
      </c>
      <c r="O92" s="245"/>
    </row>
    <row r="93" spans="1:15" x14ac:dyDescent="0.2">
      <c r="A93" s="245"/>
      <c r="B93" s="250">
        <f t="shared" si="3"/>
        <v>2006</v>
      </c>
      <c r="C93" s="48">
        <v>1</v>
      </c>
      <c r="D93" s="48">
        <v>1</v>
      </c>
      <c r="E93" s="48">
        <v>0</v>
      </c>
      <c r="F93" s="48">
        <v>0</v>
      </c>
      <c r="G93" s="48">
        <v>0</v>
      </c>
      <c r="H93" s="48">
        <v>0</v>
      </c>
      <c r="I93" s="48">
        <v>0</v>
      </c>
      <c r="J93" s="48">
        <v>0</v>
      </c>
      <c r="K93" s="48">
        <v>0</v>
      </c>
      <c r="L93" s="48">
        <v>0</v>
      </c>
      <c r="M93" s="48">
        <v>0</v>
      </c>
      <c r="N93" s="48">
        <v>1</v>
      </c>
      <c r="O93" s="245"/>
    </row>
    <row r="94" spans="1:15" x14ac:dyDescent="0.2">
      <c r="A94" s="245"/>
      <c r="B94" s="250">
        <f t="shared" si="3"/>
        <v>2007</v>
      </c>
      <c r="C94" s="48">
        <v>1</v>
      </c>
      <c r="D94" s="48">
        <v>1</v>
      </c>
      <c r="E94" s="48">
        <v>0</v>
      </c>
      <c r="F94" s="48">
        <v>0</v>
      </c>
      <c r="G94" s="48">
        <v>0</v>
      </c>
      <c r="H94" s="48">
        <v>0</v>
      </c>
      <c r="I94" s="48">
        <v>0</v>
      </c>
      <c r="J94" s="48">
        <v>0</v>
      </c>
      <c r="K94" s="48">
        <v>0</v>
      </c>
      <c r="L94" s="48">
        <v>0</v>
      </c>
      <c r="M94" s="48">
        <v>0</v>
      </c>
      <c r="N94" s="48">
        <v>1</v>
      </c>
      <c r="O94" s="245"/>
    </row>
    <row r="95" spans="1:15" x14ac:dyDescent="0.2">
      <c r="A95" s="245"/>
      <c r="B95" s="250">
        <f t="shared" si="3"/>
        <v>2008</v>
      </c>
      <c r="C95" s="48">
        <v>1</v>
      </c>
      <c r="D95" s="48">
        <v>1</v>
      </c>
      <c r="E95" s="48">
        <v>0</v>
      </c>
      <c r="F95" s="48">
        <v>0</v>
      </c>
      <c r="G95" s="48">
        <v>0</v>
      </c>
      <c r="H95" s="48">
        <v>0</v>
      </c>
      <c r="I95" s="48">
        <v>0</v>
      </c>
      <c r="J95" s="48">
        <v>0</v>
      </c>
      <c r="K95" s="48">
        <v>0</v>
      </c>
      <c r="L95" s="48">
        <v>0</v>
      </c>
      <c r="M95" s="48">
        <v>0</v>
      </c>
      <c r="N95" s="48">
        <v>1</v>
      </c>
      <c r="O95" s="245"/>
    </row>
    <row r="96" spans="1:15" x14ac:dyDescent="0.2">
      <c r="A96" s="245"/>
      <c r="B96" s="250">
        <f t="shared" si="3"/>
        <v>2009</v>
      </c>
      <c r="C96" s="48">
        <v>1</v>
      </c>
      <c r="D96" s="48">
        <v>1</v>
      </c>
      <c r="E96" s="48">
        <v>0</v>
      </c>
      <c r="F96" s="48">
        <v>0</v>
      </c>
      <c r="G96" s="48">
        <v>0</v>
      </c>
      <c r="H96" s="48">
        <v>0</v>
      </c>
      <c r="I96" s="48">
        <v>0</v>
      </c>
      <c r="J96" s="48">
        <v>0</v>
      </c>
      <c r="K96" s="48">
        <v>0</v>
      </c>
      <c r="L96" s="48">
        <v>0</v>
      </c>
      <c r="M96" s="48">
        <v>0</v>
      </c>
      <c r="N96" s="48">
        <v>1</v>
      </c>
      <c r="O96" s="245"/>
    </row>
    <row r="97" spans="1:15" x14ac:dyDescent="0.2">
      <c r="A97" s="245"/>
      <c r="B97" s="250">
        <f t="shared" si="3"/>
        <v>2010</v>
      </c>
      <c r="C97" s="48">
        <v>1</v>
      </c>
      <c r="D97" s="48">
        <v>1</v>
      </c>
      <c r="E97" s="48">
        <v>0</v>
      </c>
      <c r="F97" s="48">
        <v>0</v>
      </c>
      <c r="G97" s="48">
        <v>0</v>
      </c>
      <c r="H97" s="48">
        <v>0</v>
      </c>
      <c r="I97" s="48">
        <v>0</v>
      </c>
      <c r="J97" s="48">
        <v>0</v>
      </c>
      <c r="K97" s="48">
        <v>0</v>
      </c>
      <c r="L97" s="48">
        <v>0</v>
      </c>
      <c r="M97" s="48">
        <v>0</v>
      </c>
      <c r="N97" s="48">
        <v>1</v>
      </c>
      <c r="O97" s="245"/>
    </row>
    <row r="98" spans="1:15" x14ac:dyDescent="0.2">
      <c r="A98" s="245"/>
      <c r="B98" s="250">
        <f t="shared" si="3"/>
        <v>2011</v>
      </c>
      <c r="C98" s="48">
        <v>1</v>
      </c>
      <c r="D98" s="48">
        <v>1</v>
      </c>
      <c r="E98" s="48">
        <v>0</v>
      </c>
      <c r="F98" s="48">
        <v>0</v>
      </c>
      <c r="G98" s="48">
        <v>0</v>
      </c>
      <c r="H98" s="48">
        <v>0</v>
      </c>
      <c r="I98" s="48">
        <v>0</v>
      </c>
      <c r="J98" s="48">
        <v>0</v>
      </c>
      <c r="K98" s="48">
        <v>0</v>
      </c>
      <c r="L98" s="48">
        <v>0</v>
      </c>
      <c r="M98" s="48">
        <v>0</v>
      </c>
      <c r="N98" s="48">
        <v>1</v>
      </c>
      <c r="O98" s="245"/>
    </row>
    <row r="99" spans="1:15" x14ac:dyDescent="0.2">
      <c r="A99" s="245"/>
      <c r="B99" s="250">
        <f t="shared" si="3"/>
        <v>2012</v>
      </c>
      <c r="C99" s="48">
        <v>1</v>
      </c>
      <c r="D99" s="48">
        <v>1</v>
      </c>
      <c r="E99" s="48">
        <v>0</v>
      </c>
      <c r="F99" s="48">
        <v>0</v>
      </c>
      <c r="G99" s="48">
        <v>0</v>
      </c>
      <c r="H99" s="48">
        <v>0</v>
      </c>
      <c r="I99" s="48">
        <v>0</v>
      </c>
      <c r="J99" s="48">
        <v>0</v>
      </c>
      <c r="K99" s="48">
        <v>0</v>
      </c>
      <c r="L99" s="48">
        <v>0</v>
      </c>
      <c r="M99" s="48">
        <v>0</v>
      </c>
      <c r="N99" s="48">
        <v>1</v>
      </c>
      <c r="O99" s="245"/>
    </row>
    <row r="100" spans="1:15" x14ac:dyDescent="0.2">
      <c r="A100" s="245"/>
      <c r="B100" s="250">
        <f t="shared" si="3"/>
        <v>2013</v>
      </c>
      <c r="C100" s="48">
        <v>1</v>
      </c>
      <c r="D100" s="48">
        <v>1</v>
      </c>
      <c r="E100" s="48">
        <v>0</v>
      </c>
      <c r="F100" s="48">
        <v>0</v>
      </c>
      <c r="G100" s="48">
        <v>0</v>
      </c>
      <c r="H100" s="48">
        <v>0</v>
      </c>
      <c r="I100" s="48">
        <v>0</v>
      </c>
      <c r="J100" s="48">
        <v>0</v>
      </c>
      <c r="K100" s="48">
        <v>0</v>
      </c>
      <c r="L100" s="48">
        <v>0</v>
      </c>
      <c r="M100" s="48">
        <v>0</v>
      </c>
      <c r="N100" s="48">
        <v>1</v>
      </c>
      <c r="O100" s="245"/>
    </row>
    <row r="101" spans="1:15" x14ac:dyDescent="0.2">
      <c r="A101" s="245"/>
      <c r="B101" s="250">
        <f>B87</f>
        <v>2014</v>
      </c>
      <c r="C101" s="48">
        <v>1</v>
      </c>
      <c r="D101" s="48">
        <v>1</v>
      </c>
      <c r="E101" s="48">
        <v>0</v>
      </c>
      <c r="F101" s="48">
        <v>0</v>
      </c>
      <c r="G101" s="48">
        <v>0</v>
      </c>
      <c r="H101" s="48">
        <v>0</v>
      </c>
      <c r="I101" s="48">
        <v>0</v>
      </c>
      <c r="J101" s="48">
        <v>0</v>
      </c>
      <c r="K101" s="48">
        <v>0</v>
      </c>
      <c r="L101" s="48">
        <v>0</v>
      </c>
      <c r="M101" s="48">
        <v>0</v>
      </c>
      <c r="N101" s="48">
        <v>1</v>
      </c>
      <c r="O101" s="245"/>
    </row>
    <row r="102" spans="1:15" x14ac:dyDescent="0.2">
      <c r="A102" s="245"/>
      <c r="B102" s="246"/>
      <c r="C102" s="246"/>
      <c r="D102" s="246"/>
      <c r="E102" s="246"/>
      <c r="F102" s="246"/>
      <c r="G102" s="246"/>
      <c r="H102" s="246"/>
      <c r="I102" s="246"/>
      <c r="J102" s="246"/>
      <c r="K102" s="246"/>
      <c r="L102" s="246"/>
      <c r="M102" s="246"/>
      <c r="N102" s="246"/>
      <c r="O102" s="245"/>
    </row>
    <row r="103" spans="1:15" x14ac:dyDescent="0.2">
      <c r="A103" s="245"/>
      <c r="B103" s="246"/>
      <c r="C103" s="246"/>
      <c r="D103" s="246"/>
      <c r="E103" s="246"/>
      <c r="F103" s="246"/>
      <c r="G103" s="246"/>
      <c r="H103" s="246"/>
      <c r="I103" s="246"/>
      <c r="J103" s="246"/>
      <c r="K103" s="246"/>
      <c r="L103" s="246"/>
      <c r="M103" s="246"/>
      <c r="N103" s="246"/>
      <c r="O103" s="245"/>
    </row>
    <row r="104" spans="1:15" x14ac:dyDescent="0.2">
      <c r="A104" s="245"/>
      <c r="B104" s="253" t="s">
        <v>408</v>
      </c>
      <c r="C104" s="246"/>
      <c r="D104" s="246"/>
      <c r="E104" s="246"/>
      <c r="F104" s="246"/>
      <c r="G104" s="246"/>
      <c r="H104" s="246"/>
      <c r="I104" s="246"/>
      <c r="J104" s="246"/>
      <c r="K104" s="246"/>
      <c r="L104" s="246"/>
      <c r="M104" s="246"/>
      <c r="N104" s="246"/>
      <c r="O104" s="245"/>
    </row>
    <row r="105" spans="1:15" x14ac:dyDescent="0.2">
      <c r="A105" s="245"/>
      <c r="B105" s="245"/>
      <c r="C105" s="249" t="s">
        <v>137</v>
      </c>
      <c r="D105" s="249" t="s">
        <v>138</v>
      </c>
      <c r="E105" s="249" t="s">
        <v>139</v>
      </c>
      <c r="F105" s="249" t="s">
        <v>140</v>
      </c>
      <c r="G105" s="249" t="s">
        <v>116</v>
      </c>
      <c r="H105" s="249" t="s">
        <v>141</v>
      </c>
      <c r="I105" s="249" t="s">
        <v>142</v>
      </c>
      <c r="J105" s="249" t="s">
        <v>143</v>
      </c>
      <c r="K105" s="249" t="s">
        <v>144</v>
      </c>
      <c r="L105" s="249" t="s">
        <v>147</v>
      </c>
      <c r="M105" s="249" t="s">
        <v>145</v>
      </c>
      <c r="N105" s="249" t="s">
        <v>146</v>
      </c>
      <c r="O105" s="245"/>
    </row>
    <row r="106" spans="1:15" x14ac:dyDescent="0.2">
      <c r="A106" s="245"/>
      <c r="B106" s="250">
        <f t="shared" ref="B106:B114" si="4">B92</f>
        <v>2005</v>
      </c>
      <c r="C106" s="696">
        <v>1</v>
      </c>
      <c r="D106" s="696">
        <v>0</v>
      </c>
      <c r="E106" s="696">
        <v>1</v>
      </c>
      <c r="F106" s="696">
        <v>0</v>
      </c>
      <c r="G106" s="696">
        <v>0</v>
      </c>
      <c r="H106" s="696">
        <v>0</v>
      </c>
      <c r="I106" s="696">
        <v>1</v>
      </c>
      <c r="J106" s="696">
        <v>0</v>
      </c>
      <c r="K106" s="696">
        <v>0</v>
      </c>
      <c r="L106" s="696">
        <v>0</v>
      </c>
      <c r="M106" s="696">
        <v>0</v>
      </c>
      <c r="N106" s="696">
        <v>1</v>
      </c>
      <c r="O106" s="245"/>
    </row>
    <row r="107" spans="1:15" x14ac:dyDescent="0.2">
      <c r="A107" s="245"/>
      <c r="B107" s="250">
        <f t="shared" si="4"/>
        <v>2006</v>
      </c>
      <c r="C107" s="696">
        <v>1</v>
      </c>
      <c r="D107" s="696">
        <v>0</v>
      </c>
      <c r="E107" s="696">
        <v>1</v>
      </c>
      <c r="F107" s="696">
        <v>0</v>
      </c>
      <c r="G107" s="696">
        <v>0</v>
      </c>
      <c r="H107" s="696">
        <v>0</v>
      </c>
      <c r="I107" s="696">
        <v>1</v>
      </c>
      <c r="J107" s="696">
        <v>0</v>
      </c>
      <c r="K107" s="696">
        <v>0</v>
      </c>
      <c r="L107" s="696">
        <v>0</v>
      </c>
      <c r="M107" s="696">
        <v>0</v>
      </c>
      <c r="N107" s="696">
        <v>1</v>
      </c>
      <c r="O107" s="245"/>
    </row>
    <row r="108" spans="1:15" x14ac:dyDescent="0.2">
      <c r="A108" s="245"/>
      <c r="B108" s="250">
        <f t="shared" si="4"/>
        <v>2007</v>
      </c>
      <c r="C108" s="696">
        <v>1</v>
      </c>
      <c r="D108" s="696">
        <v>0</v>
      </c>
      <c r="E108" s="696">
        <v>1</v>
      </c>
      <c r="F108" s="696">
        <v>0</v>
      </c>
      <c r="G108" s="696">
        <v>0</v>
      </c>
      <c r="H108" s="696">
        <v>0</v>
      </c>
      <c r="I108" s="696">
        <v>1</v>
      </c>
      <c r="J108" s="696">
        <v>0</v>
      </c>
      <c r="K108" s="696">
        <v>0</v>
      </c>
      <c r="L108" s="696">
        <v>0</v>
      </c>
      <c r="M108" s="696">
        <v>0</v>
      </c>
      <c r="N108" s="696">
        <v>1</v>
      </c>
      <c r="O108" s="245"/>
    </row>
    <row r="109" spans="1:15" x14ac:dyDescent="0.2">
      <c r="A109" s="245"/>
      <c r="B109" s="250">
        <f t="shared" si="4"/>
        <v>2008</v>
      </c>
      <c r="C109" s="696">
        <v>1</v>
      </c>
      <c r="D109" s="696">
        <v>0</v>
      </c>
      <c r="E109" s="696">
        <v>1</v>
      </c>
      <c r="F109" s="696">
        <v>0</v>
      </c>
      <c r="G109" s="696">
        <v>0</v>
      </c>
      <c r="H109" s="696">
        <v>0</v>
      </c>
      <c r="I109" s="696">
        <v>1</v>
      </c>
      <c r="J109" s="696">
        <v>0</v>
      </c>
      <c r="K109" s="696">
        <v>0</v>
      </c>
      <c r="L109" s="696">
        <v>0</v>
      </c>
      <c r="M109" s="696">
        <v>0</v>
      </c>
      <c r="N109" s="696">
        <v>1</v>
      </c>
      <c r="O109" s="245"/>
    </row>
    <row r="110" spans="1:15" x14ac:dyDescent="0.2">
      <c r="A110" s="245"/>
      <c r="B110" s="250">
        <f t="shared" si="4"/>
        <v>2009</v>
      </c>
      <c r="C110" s="696">
        <v>1</v>
      </c>
      <c r="D110" s="696">
        <v>0</v>
      </c>
      <c r="E110" s="696">
        <v>1</v>
      </c>
      <c r="F110" s="696">
        <v>0</v>
      </c>
      <c r="G110" s="696">
        <v>0</v>
      </c>
      <c r="H110" s="696">
        <v>0</v>
      </c>
      <c r="I110" s="696">
        <v>1</v>
      </c>
      <c r="J110" s="696">
        <v>0</v>
      </c>
      <c r="K110" s="696">
        <v>0</v>
      </c>
      <c r="L110" s="696">
        <v>0</v>
      </c>
      <c r="M110" s="696">
        <v>0</v>
      </c>
      <c r="N110" s="696">
        <v>1</v>
      </c>
      <c r="O110" s="245"/>
    </row>
    <row r="111" spans="1:15" x14ac:dyDescent="0.2">
      <c r="A111" s="245"/>
      <c r="B111" s="250">
        <f t="shared" si="4"/>
        <v>2010</v>
      </c>
      <c r="C111" s="696">
        <v>1</v>
      </c>
      <c r="D111" s="696">
        <v>0</v>
      </c>
      <c r="E111" s="696">
        <v>1</v>
      </c>
      <c r="F111" s="696">
        <v>0</v>
      </c>
      <c r="G111" s="696">
        <v>0</v>
      </c>
      <c r="H111" s="696">
        <v>0</v>
      </c>
      <c r="I111" s="696">
        <v>1</v>
      </c>
      <c r="J111" s="696">
        <v>0</v>
      </c>
      <c r="K111" s="696">
        <v>0</v>
      </c>
      <c r="L111" s="696">
        <v>0</v>
      </c>
      <c r="M111" s="696">
        <v>0</v>
      </c>
      <c r="N111" s="696">
        <v>1</v>
      </c>
      <c r="O111" s="245"/>
    </row>
    <row r="112" spans="1:15" x14ac:dyDescent="0.2">
      <c r="A112" s="245"/>
      <c r="B112" s="250">
        <f t="shared" si="4"/>
        <v>2011</v>
      </c>
      <c r="C112" s="696">
        <v>1</v>
      </c>
      <c r="D112" s="696">
        <v>0</v>
      </c>
      <c r="E112" s="696">
        <v>1</v>
      </c>
      <c r="F112" s="696">
        <v>0</v>
      </c>
      <c r="G112" s="696">
        <v>0</v>
      </c>
      <c r="H112" s="696">
        <v>0</v>
      </c>
      <c r="I112" s="696">
        <v>1</v>
      </c>
      <c r="J112" s="696">
        <v>0</v>
      </c>
      <c r="K112" s="696">
        <v>0</v>
      </c>
      <c r="L112" s="696">
        <v>0</v>
      </c>
      <c r="M112" s="696">
        <v>0</v>
      </c>
      <c r="N112" s="696">
        <v>1</v>
      </c>
      <c r="O112" s="245"/>
    </row>
    <row r="113" spans="1:15" x14ac:dyDescent="0.2">
      <c r="A113" s="245"/>
      <c r="B113" s="250">
        <f t="shared" si="4"/>
        <v>2012</v>
      </c>
      <c r="C113" s="696">
        <v>1</v>
      </c>
      <c r="D113" s="696">
        <v>0</v>
      </c>
      <c r="E113" s="696">
        <v>1</v>
      </c>
      <c r="F113" s="696">
        <v>0</v>
      </c>
      <c r="G113" s="696">
        <v>0</v>
      </c>
      <c r="H113" s="696">
        <v>0</v>
      </c>
      <c r="I113" s="696">
        <v>1</v>
      </c>
      <c r="J113" s="696">
        <v>0</v>
      </c>
      <c r="K113" s="696">
        <v>0</v>
      </c>
      <c r="L113" s="696">
        <v>0</v>
      </c>
      <c r="M113" s="696">
        <v>0</v>
      </c>
      <c r="N113" s="696">
        <v>1</v>
      </c>
      <c r="O113" s="245"/>
    </row>
    <row r="114" spans="1:15" x14ac:dyDescent="0.2">
      <c r="A114" s="245"/>
      <c r="B114" s="250">
        <f t="shared" si="4"/>
        <v>2013</v>
      </c>
      <c r="C114" s="696">
        <v>1</v>
      </c>
      <c r="D114" s="696">
        <v>0</v>
      </c>
      <c r="E114" s="696">
        <v>1</v>
      </c>
      <c r="F114" s="696">
        <v>0</v>
      </c>
      <c r="G114" s="696">
        <v>0</v>
      </c>
      <c r="H114" s="696">
        <v>0</v>
      </c>
      <c r="I114" s="696">
        <v>1</v>
      </c>
      <c r="J114" s="696">
        <v>0</v>
      </c>
      <c r="K114" s="696">
        <v>0</v>
      </c>
      <c r="L114" s="696">
        <v>0</v>
      </c>
      <c r="M114" s="696">
        <v>0</v>
      </c>
      <c r="N114" s="696">
        <v>1</v>
      </c>
      <c r="O114" s="245"/>
    </row>
    <row r="115" spans="1:15" x14ac:dyDescent="0.2">
      <c r="A115" s="245"/>
      <c r="B115" s="250">
        <f>B101</f>
        <v>2014</v>
      </c>
      <c r="C115" s="696">
        <v>1</v>
      </c>
      <c r="D115" s="696">
        <v>0</v>
      </c>
      <c r="E115" s="696">
        <v>1</v>
      </c>
      <c r="F115" s="696">
        <v>0</v>
      </c>
      <c r="G115" s="696">
        <v>0</v>
      </c>
      <c r="H115" s="696">
        <v>0</v>
      </c>
      <c r="I115" s="696">
        <v>1</v>
      </c>
      <c r="J115" s="696">
        <v>0</v>
      </c>
      <c r="K115" s="696">
        <v>0</v>
      </c>
      <c r="L115" s="696">
        <v>0</v>
      </c>
      <c r="M115" s="696">
        <v>0</v>
      </c>
      <c r="N115" s="696">
        <v>1</v>
      </c>
      <c r="O115" s="245"/>
    </row>
    <row r="116" spans="1:15" x14ac:dyDescent="0.2">
      <c r="A116" s="245"/>
      <c r="B116" s="246"/>
      <c r="C116" s="246"/>
      <c r="D116" s="246"/>
      <c r="E116" s="246"/>
      <c r="F116" s="246"/>
      <c r="G116" s="246"/>
      <c r="H116" s="246"/>
      <c r="I116" s="246"/>
      <c r="J116" s="246"/>
      <c r="K116" s="246"/>
      <c r="L116" s="246"/>
      <c r="M116" s="246"/>
      <c r="N116" s="246"/>
      <c r="O116" s="245"/>
    </row>
    <row r="117" spans="1:15" x14ac:dyDescent="0.2">
      <c r="A117" s="245"/>
      <c r="B117" s="246"/>
      <c r="C117" s="246"/>
      <c r="D117" s="246"/>
      <c r="E117" s="246"/>
      <c r="F117" s="246"/>
      <c r="G117" s="246"/>
      <c r="H117" s="246"/>
      <c r="I117" s="246"/>
      <c r="J117" s="246"/>
      <c r="K117" s="246"/>
      <c r="L117" s="246"/>
      <c r="M117" s="246"/>
      <c r="N117" s="246"/>
      <c r="O117" s="245"/>
    </row>
    <row r="118" spans="1:15" x14ac:dyDescent="0.2">
      <c r="A118" s="245"/>
      <c r="B118" s="254" t="s">
        <v>135</v>
      </c>
      <c r="C118" s="246"/>
      <c r="D118" s="246"/>
      <c r="E118" s="246"/>
      <c r="F118" s="246"/>
      <c r="G118" s="246"/>
      <c r="H118" s="246"/>
      <c r="I118" s="246"/>
      <c r="J118" s="246"/>
      <c r="K118" s="246"/>
      <c r="L118" s="246"/>
      <c r="M118" s="246"/>
      <c r="N118" s="246"/>
      <c r="O118" s="245"/>
    </row>
    <row r="119" spans="1:15" x14ac:dyDescent="0.2">
      <c r="A119" s="245"/>
      <c r="B119" s="255"/>
      <c r="C119" s="246"/>
      <c r="D119" s="246"/>
      <c r="E119" s="246"/>
      <c r="F119" s="246"/>
      <c r="G119" s="246"/>
      <c r="H119" s="246"/>
      <c r="I119" s="246"/>
      <c r="J119" s="246"/>
      <c r="K119" s="246"/>
      <c r="L119" s="246"/>
      <c r="M119" s="246"/>
      <c r="N119" s="246"/>
      <c r="O119" s="245"/>
    </row>
    <row r="120" spans="1:15" x14ac:dyDescent="0.2">
      <c r="A120" s="245"/>
      <c r="B120" s="256" t="str">
        <f>Variable1</f>
        <v>HDD</v>
      </c>
      <c r="C120" s="246"/>
      <c r="D120" s="246"/>
      <c r="E120" s="246"/>
      <c r="F120" s="246"/>
      <c r="G120" s="246"/>
      <c r="H120" s="246"/>
      <c r="I120" s="246"/>
      <c r="J120" s="246"/>
      <c r="K120" s="246"/>
      <c r="L120" s="246"/>
      <c r="M120" s="246"/>
      <c r="N120" s="246"/>
      <c r="O120" s="245"/>
    </row>
    <row r="121" spans="1:15" x14ac:dyDescent="0.2">
      <c r="A121" s="245"/>
      <c r="B121" s="256" t="str">
        <f>Variable2</f>
        <v>CDD</v>
      </c>
      <c r="C121" s="246"/>
      <c r="D121" s="246"/>
      <c r="E121" s="246"/>
      <c r="F121" s="246"/>
      <c r="G121" s="246"/>
      <c r="H121" s="246"/>
      <c r="I121" s="246"/>
      <c r="J121" s="246"/>
      <c r="K121" s="246"/>
      <c r="L121" s="246"/>
      <c r="M121" s="246"/>
      <c r="N121" s="246"/>
      <c r="O121" s="245"/>
    </row>
    <row r="122" spans="1:15" x14ac:dyDescent="0.2">
      <c r="A122" s="245"/>
      <c r="B122" s="256" t="str">
        <f>Variable3</f>
        <v>Number of Days in Month</v>
      </c>
      <c r="C122" s="246"/>
      <c r="D122" s="246"/>
      <c r="E122" s="246"/>
      <c r="F122" s="246"/>
      <c r="G122" s="246"/>
      <c r="H122" s="246"/>
      <c r="I122" s="246"/>
      <c r="J122" s="246"/>
      <c r="K122" s="246"/>
      <c r="L122" s="246"/>
      <c r="M122" s="246"/>
      <c r="N122" s="246"/>
      <c r="O122" s="245"/>
    </row>
    <row r="123" spans="1:15" x14ac:dyDescent="0.2">
      <c r="A123" s="245"/>
      <c r="B123" s="256" t="str">
        <f>B76</f>
        <v>Employment Stats</v>
      </c>
      <c r="C123" s="246"/>
      <c r="D123" s="246"/>
      <c r="E123" s="246"/>
      <c r="F123" s="246"/>
      <c r="G123" s="246"/>
      <c r="H123" s="246"/>
      <c r="I123" s="246"/>
      <c r="J123" s="246"/>
      <c r="K123" s="246"/>
      <c r="L123" s="246"/>
      <c r="M123" s="246"/>
      <c r="N123" s="246"/>
      <c r="O123" s="245"/>
    </row>
    <row r="124" spans="1:15" x14ac:dyDescent="0.2">
      <c r="A124" s="245"/>
      <c r="B124" s="256" t="str">
        <f>Variable5</f>
        <v>Winter Flag</v>
      </c>
      <c r="C124" s="246"/>
      <c r="D124" s="246"/>
      <c r="E124" s="246"/>
      <c r="F124" s="246"/>
      <c r="G124" s="246"/>
      <c r="H124" s="246"/>
      <c r="I124" s="246"/>
      <c r="J124" s="246"/>
      <c r="K124" s="246"/>
      <c r="L124" s="246"/>
      <c r="M124" s="246"/>
      <c r="N124" s="246"/>
      <c r="O124" s="245"/>
    </row>
    <row r="125" spans="1:15" x14ac:dyDescent="0.2">
      <c r="A125" s="245"/>
      <c r="B125" s="256" t="str">
        <f>Variable6</f>
        <v>Holiday Months</v>
      </c>
      <c r="C125" s="246"/>
      <c r="D125" s="246"/>
      <c r="E125" s="246"/>
      <c r="F125" s="246"/>
      <c r="G125" s="246"/>
      <c r="H125" s="246"/>
      <c r="I125" s="246"/>
      <c r="J125" s="246"/>
      <c r="K125" s="246"/>
      <c r="L125" s="246"/>
      <c r="M125" s="246"/>
      <c r="N125" s="246"/>
      <c r="O125" s="245"/>
    </row>
    <row r="126" spans="1:15" x14ac:dyDescent="0.2">
      <c r="A126" s="245"/>
      <c r="B126" s="246"/>
      <c r="C126" s="246"/>
      <c r="D126" s="246"/>
      <c r="E126" s="246"/>
      <c r="F126" s="246"/>
      <c r="G126" s="246"/>
      <c r="H126" s="246"/>
      <c r="I126" s="246"/>
      <c r="J126" s="246"/>
      <c r="K126" s="246"/>
      <c r="L126" s="246"/>
      <c r="M126" s="246"/>
      <c r="N126" s="246"/>
      <c r="O126" s="245"/>
    </row>
    <row r="127" spans="1:15" x14ac:dyDescent="0.2">
      <c r="A127" s="245"/>
      <c r="B127" s="246"/>
      <c r="C127" s="246"/>
      <c r="D127" s="246"/>
      <c r="E127" s="246"/>
      <c r="F127" s="246"/>
      <c r="G127" s="246"/>
      <c r="H127" s="246"/>
      <c r="I127" s="246"/>
      <c r="J127" s="246"/>
      <c r="K127" s="246"/>
      <c r="L127" s="246"/>
      <c r="M127" s="246"/>
      <c r="N127" s="246"/>
      <c r="O127" s="245"/>
    </row>
    <row r="128" spans="1:15" x14ac:dyDescent="0.2">
      <c r="A128" s="245"/>
      <c r="B128" s="246"/>
      <c r="C128" s="246"/>
      <c r="D128" s="246"/>
      <c r="E128" s="246"/>
      <c r="F128" s="246"/>
      <c r="G128" s="246"/>
      <c r="H128" s="246"/>
      <c r="I128" s="246"/>
      <c r="J128" s="246"/>
      <c r="K128" s="246"/>
      <c r="L128" s="246"/>
      <c r="M128" s="246"/>
      <c r="N128" s="246"/>
      <c r="O128" s="245"/>
    </row>
    <row r="129" spans="1:15" x14ac:dyDescent="0.2">
      <c r="A129" s="245"/>
      <c r="B129" s="246"/>
      <c r="C129" s="246"/>
      <c r="D129" s="246"/>
      <c r="E129" s="246"/>
      <c r="F129" s="246"/>
      <c r="G129" s="246"/>
      <c r="H129" s="246"/>
      <c r="I129" s="246"/>
      <c r="J129" s="246"/>
      <c r="K129" s="246"/>
      <c r="L129" s="246"/>
      <c r="M129" s="246"/>
      <c r="N129" s="246"/>
      <c r="O129" s="245"/>
    </row>
    <row r="130" spans="1:15" x14ac:dyDescent="0.2">
      <c r="A130" s="245"/>
      <c r="B130" s="246"/>
      <c r="C130" s="246"/>
      <c r="D130" s="246"/>
      <c r="E130" s="246"/>
      <c r="F130" s="246"/>
      <c r="G130" s="246"/>
      <c r="H130" s="246"/>
      <c r="I130" s="246"/>
      <c r="J130" s="246"/>
      <c r="K130" s="246"/>
      <c r="L130" s="246"/>
      <c r="M130" s="246"/>
      <c r="N130" s="246"/>
      <c r="O130" s="245"/>
    </row>
    <row r="131" spans="1:15" x14ac:dyDescent="0.2">
      <c r="A131" s="245"/>
      <c r="B131" s="246"/>
      <c r="C131" s="246"/>
      <c r="D131" s="246"/>
      <c r="E131" s="246"/>
      <c r="F131" s="246"/>
      <c r="G131" s="246"/>
      <c r="H131" s="246"/>
      <c r="I131" s="246"/>
      <c r="J131" s="246"/>
      <c r="K131" s="246"/>
      <c r="L131" s="246"/>
      <c r="M131" s="246"/>
      <c r="N131" s="246"/>
      <c r="O131" s="245"/>
    </row>
    <row r="132" spans="1:15" x14ac:dyDescent="0.2">
      <c r="A132" s="245"/>
      <c r="B132" s="246"/>
      <c r="C132" s="246"/>
      <c r="D132" s="246"/>
      <c r="E132" s="246"/>
      <c r="F132" s="246"/>
      <c r="G132" s="246"/>
      <c r="H132" s="246"/>
      <c r="I132" s="246"/>
      <c r="J132" s="246"/>
      <c r="K132" s="246"/>
      <c r="L132" s="246"/>
      <c r="M132" s="246"/>
      <c r="N132" s="246"/>
      <c r="O132" s="245"/>
    </row>
  </sheetData>
  <pageMargins left="0.7" right="0.7" top="0.75" bottom="0.75" header="0.3" footer="0.3"/>
  <pageSetup scale="42" fitToWidth="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AM182"/>
  <sheetViews>
    <sheetView showGridLines="0" topLeftCell="H4" zoomScaleNormal="100" workbookViewId="0">
      <selection activeCell="AB51" sqref="AB51"/>
    </sheetView>
  </sheetViews>
  <sheetFormatPr defaultRowHeight="12.75" x14ac:dyDescent="0.2"/>
  <cols>
    <col min="1" max="1" width="13.6640625" customWidth="1"/>
    <col min="2" max="2" width="25.33203125" style="58" customWidth="1"/>
    <col min="3" max="3" width="16.83203125" style="709" customWidth="1"/>
    <col min="4" max="10" width="16.83203125" style="58" customWidth="1"/>
    <col min="11" max="16" width="16.83203125" style="723" customWidth="1"/>
    <col min="17" max="17" width="4.1640625" style="1" customWidth="1"/>
    <col min="18" max="18" width="20.33203125" style="58" bestFit="1" customWidth="1"/>
    <col min="19" max="19" width="21.6640625" style="1" bestFit="1" customWidth="1"/>
    <col min="20" max="20" width="10.1640625" style="1" customWidth="1"/>
    <col min="21" max="29" width="17.83203125" style="1" customWidth="1"/>
    <col min="30" max="16384" width="9.33203125" style="1"/>
  </cols>
  <sheetData>
    <row r="1" spans="1:39" s="536" customFormat="1" x14ac:dyDescent="0.2">
      <c r="A1" s="758" t="s">
        <v>272</v>
      </c>
      <c r="B1" s="58"/>
      <c r="C1" s="709"/>
      <c r="D1" s="58"/>
      <c r="E1" s="58"/>
      <c r="F1" s="58"/>
      <c r="G1" s="58"/>
      <c r="H1" s="58"/>
      <c r="I1" s="58"/>
      <c r="J1" s="58"/>
      <c r="K1" s="723"/>
      <c r="L1" s="723"/>
      <c r="M1" s="723"/>
      <c r="N1" s="723"/>
      <c r="O1" s="723"/>
      <c r="P1" s="723"/>
      <c r="R1" s="58"/>
    </row>
    <row r="2" spans="1:39" s="536" customFormat="1" x14ac:dyDescent="0.2">
      <c r="A2"/>
      <c r="B2" s="58"/>
      <c r="C2" s="709"/>
      <c r="D2" s="58"/>
      <c r="E2" s="58"/>
      <c r="F2" s="58"/>
      <c r="G2" s="58"/>
      <c r="H2" s="58"/>
      <c r="I2" s="58"/>
      <c r="J2" s="58"/>
      <c r="K2" s="723"/>
      <c r="L2" s="723"/>
      <c r="M2" s="723"/>
      <c r="N2" s="723"/>
      <c r="O2" s="723"/>
      <c r="P2" s="723"/>
      <c r="R2" s="58"/>
    </row>
    <row r="3" spans="1:39" s="536" customFormat="1" x14ac:dyDescent="0.2">
      <c r="A3"/>
      <c r="B3" s="58"/>
      <c r="C3" s="709"/>
      <c r="D3" s="58"/>
      <c r="E3" s="58"/>
      <c r="F3" s="58"/>
      <c r="G3" s="58"/>
      <c r="H3" s="58"/>
      <c r="I3" s="58"/>
      <c r="J3" s="58"/>
      <c r="K3" s="723"/>
      <c r="L3" s="723"/>
      <c r="M3" s="723"/>
      <c r="N3" s="723"/>
      <c r="O3" s="723"/>
      <c r="P3" s="723"/>
      <c r="R3" s="58"/>
    </row>
    <row r="4" spans="1:39" s="536" customFormat="1" x14ac:dyDescent="0.2">
      <c r="A4"/>
      <c r="B4" s="58"/>
      <c r="C4" s="709"/>
      <c r="D4" s="58"/>
      <c r="E4" s="58"/>
      <c r="F4" s="58"/>
      <c r="G4" s="58"/>
      <c r="H4" s="58"/>
      <c r="I4" s="58"/>
      <c r="J4" s="58"/>
      <c r="K4" s="723"/>
      <c r="L4" s="723"/>
      <c r="M4" s="723"/>
      <c r="N4" s="723"/>
      <c r="O4" s="723"/>
      <c r="P4" s="723"/>
      <c r="R4" s="58"/>
    </row>
    <row r="5" spans="1:39" s="536" customFormat="1" x14ac:dyDescent="0.2">
      <c r="A5"/>
      <c r="B5" s="58"/>
      <c r="C5" s="709"/>
      <c r="D5" s="58"/>
      <c r="E5" s="58"/>
      <c r="F5" s="58"/>
      <c r="G5" s="58"/>
      <c r="H5" s="58"/>
      <c r="I5" s="58"/>
      <c r="J5" s="58"/>
      <c r="K5" s="723"/>
      <c r="L5" s="723"/>
      <c r="M5" s="723"/>
      <c r="N5" s="723"/>
      <c r="O5" s="723"/>
      <c r="P5" s="723"/>
      <c r="R5" s="58"/>
    </row>
    <row r="6" spans="1:39" s="536" customFormat="1" x14ac:dyDescent="0.2">
      <c r="A6"/>
      <c r="B6" s="58"/>
      <c r="C6" s="709"/>
      <c r="D6" s="58"/>
      <c r="E6" s="58"/>
      <c r="F6" s="58"/>
      <c r="G6" s="58"/>
      <c r="H6" s="58"/>
      <c r="I6" s="58"/>
      <c r="J6" s="58"/>
      <c r="K6" s="723"/>
      <c r="L6" s="723"/>
      <c r="M6" s="723"/>
      <c r="N6" s="723"/>
      <c r="O6" s="723"/>
      <c r="P6" s="723"/>
      <c r="R6" s="58"/>
    </row>
    <row r="7" spans="1:39" s="536" customFormat="1" x14ac:dyDescent="0.2">
      <c r="A7"/>
      <c r="B7" s="58"/>
      <c r="C7" s="709"/>
      <c r="D7" s="58"/>
      <c r="E7" s="58"/>
      <c r="F7" s="58"/>
      <c r="G7" s="58"/>
      <c r="H7" s="58"/>
      <c r="I7" s="58"/>
      <c r="J7" s="58"/>
      <c r="K7" s="723"/>
      <c r="L7" s="723"/>
      <c r="M7" s="723"/>
      <c r="N7" s="723"/>
      <c r="O7" s="723"/>
      <c r="P7" s="723"/>
      <c r="R7" s="58"/>
    </row>
    <row r="8" spans="1:39" s="536" customFormat="1" x14ac:dyDescent="0.2">
      <c r="A8"/>
      <c r="B8" s="58"/>
      <c r="C8" s="709"/>
      <c r="D8" s="58"/>
      <c r="E8" s="58"/>
      <c r="F8" s="58"/>
      <c r="G8" s="58"/>
      <c r="H8" s="58"/>
      <c r="I8" s="58"/>
      <c r="J8" s="58"/>
      <c r="K8" s="723"/>
      <c r="L8" s="723"/>
      <c r="M8" s="723"/>
      <c r="N8" s="723"/>
      <c r="O8" s="723"/>
      <c r="P8" s="723"/>
      <c r="R8" s="58"/>
    </row>
    <row r="9" spans="1:39" s="536" customFormat="1" x14ac:dyDescent="0.2">
      <c r="A9"/>
      <c r="B9" s="58"/>
      <c r="C9" s="709"/>
      <c r="D9" s="58"/>
      <c r="E9" s="58"/>
      <c r="F9" s="58"/>
      <c r="G9" s="58"/>
      <c r="H9" s="58"/>
      <c r="I9" s="58"/>
      <c r="J9" s="58"/>
      <c r="K9" s="723"/>
      <c r="L9" s="723"/>
      <c r="M9" s="723"/>
      <c r="N9" s="723"/>
      <c r="O9" s="723"/>
      <c r="P9" s="723"/>
      <c r="R9" s="58"/>
    </row>
    <row r="10" spans="1:39" s="536" customFormat="1" x14ac:dyDescent="0.2">
      <c r="A10"/>
      <c r="B10" s="58"/>
      <c r="C10" s="709"/>
      <c r="D10" s="58"/>
      <c r="E10" s="58"/>
      <c r="F10" s="58"/>
      <c r="G10" s="58"/>
      <c r="H10" s="58"/>
      <c r="I10" s="58"/>
      <c r="J10" s="58"/>
      <c r="K10" s="723"/>
      <c r="L10" s="723"/>
      <c r="M10" s="723"/>
      <c r="N10" s="723"/>
      <c r="O10" s="723"/>
      <c r="P10" s="723"/>
      <c r="R10" s="58"/>
    </row>
    <row r="11" spans="1:39" ht="23.25" x14ac:dyDescent="0.2">
      <c r="A11" s="259"/>
      <c r="B11" s="260" t="s">
        <v>99</v>
      </c>
      <c r="C11" s="710"/>
      <c r="D11" s="246"/>
      <c r="E11" s="246"/>
      <c r="F11" s="246"/>
      <c r="G11" s="246"/>
      <c r="H11" s="246"/>
      <c r="I11" s="246"/>
      <c r="J11" s="246"/>
      <c r="K11" s="724"/>
      <c r="L11" s="724"/>
      <c r="M11" s="724"/>
      <c r="N11" s="724"/>
      <c r="O11" s="724"/>
      <c r="P11" s="724"/>
      <c r="Q11" s="245"/>
      <c r="R11" s="246"/>
      <c r="S11" s="245"/>
      <c r="T11" s="245"/>
      <c r="U11" s="245"/>
      <c r="V11" s="245"/>
      <c r="W11" s="245"/>
      <c r="X11" s="245"/>
      <c r="Y11" s="245"/>
      <c r="Z11" s="245"/>
      <c r="AA11" s="245"/>
      <c r="AB11" s="245"/>
      <c r="AC11" s="245"/>
      <c r="AD11" s="245"/>
      <c r="AE11" s="245"/>
      <c r="AF11" s="245"/>
      <c r="AG11" s="245"/>
      <c r="AH11" s="245"/>
      <c r="AI11" s="245"/>
      <c r="AJ11" s="245"/>
      <c r="AK11" s="245"/>
      <c r="AL11" s="245"/>
      <c r="AM11" s="245"/>
    </row>
    <row r="12" spans="1:39" ht="15" x14ac:dyDescent="0.2">
      <c r="A12" s="259"/>
      <c r="B12" s="63" t="s">
        <v>64</v>
      </c>
      <c r="C12" s="710"/>
      <c r="D12" s="246"/>
      <c r="E12" s="246"/>
      <c r="F12" s="246"/>
      <c r="G12" s="246"/>
      <c r="H12" s="246"/>
      <c r="I12" s="246"/>
      <c r="J12" s="246"/>
      <c r="K12" s="724"/>
      <c r="L12" s="724"/>
      <c r="M12" s="724"/>
      <c r="N12" s="724"/>
      <c r="O12" s="724"/>
      <c r="P12" s="724"/>
      <c r="Q12" s="245"/>
      <c r="R12" s="245"/>
      <c r="S12" s="245"/>
      <c r="T12" s="245"/>
      <c r="U12" s="245"/>
      <c r="V12" s="245"/>
      <c r="W12" s="245"/>
      <c r="X12" s="245"/>
      <c r="Y12" s="245"/>
      <c r="Z12" s="245"/>
      <c r="AA12" s="245"/>
      <c r="AB12" s="245"/>
      <c r="AC12" s="245"/>
      <c r="AD12" s="245"/>
      <c r="AE12" s="245"/>
      <c r="AF12" s="245"/>
      <c r="AG12" s="245"/>
      <c r="AH12" s="245"/>
      <c r="AI12" s="245"/>
      <c r="AJ12" s="245"/>
      <c r="AK12" s="245"/>
    </row>
    <row r="13" spans="1:39" ht="14.25" x14ac:dyDescent="0.2">
      <c r="A13" s="259"/>
      <c r="B13" s="100" t="s">
        <v>250</v>
      </c>
      <c r="C13" s="710"/>
      <c r="D13" s="246"/>
      <c r="E13" s="246"/>
      <c r="F13" s="246"/>
      <c r="G13" s="246"/>
      <c r="H13" s="246"/>
      <c r="I13" s="246"/>
      <c r="J13" s="246"/>
      <c r="K13" s="724"/>
      <c r="L13" s="724"/>
      <c r="M13" s="724"/>
      <c r="N13" s="724"/>
      <c r="O13" s="724"/>
      <c r="P13" s="724"/>
      <c r="Q13" s="245"/>
      <c r="R13" s="246"/>
      <c r="S13" s="245"/>
      <c r="T13" s="245"/>
      <c r="U13" s="245"/>
      <c r="V13" s="245"/>
      <c r="W13" s="245"/>
      <c r="X13" s="245"/>
      <c r="Y13" s="245"/>
      <c r="Z13" s="245"/>
      <c r="AA13" s="245"/>
      <c r="AB13" s="245"/>
      <c r="AC13" s="245"/>
      <c r="AD13" s="245"/>
      <c r="AE13" s="245"/>
      <c r="AF13" s="245"/>
      <c r="AG13" s="245"/>
      <c r="AH13" s="245"/>
      <c r="AI13" s="245"/>
      <c r="AJ13" s="245"/>
      <c r="AK13" s="245"/>
      <c r="AL13" s="245"/>
      <c r="AM13" s="245"/>
    </row>
    <row r="14" spans="1:39" ht="14.25" x14ac:dyDescent="0.2">
      <c r="A14" s="259"/>
      <c r="B14" s="100" t="s">
        <v>251</v>
      </c>
      <c r="C14" s="710"/>
      <c r="D14" s="246"/>
      <c r="E14" s="246"/>
      <c r="F14" s="246"/>
      <c r="G14" s="246"/>
      <c r="H14" s="246"/>
      <c r="I14" s="246"/>
      <c r="J14" s="246"/>
      <c r="K14" s="724"/>
      <c r="L14" s="724"/>
      <c r="M14" s="724"/>
      <c r="N14" s="724"/>
      <c r="O14" s="724"/>
      <c r="P14" s="724"/>
      <c r="Q14" s="245"/>
      <c r="R14" s="246"/>
      <c r="S14" s="245"/>
      <c r="T14" s="245"/>
      <c r="U14" s="245"/>
      <c r="V14" s="245"/>
      <c r="W14" s="245"/>
      <c r="X14" s="245"/>
      <c r="Y14" s="245"/>
      <c r="Z14" s="245"/>
      <c r="AA14" s="245"/>
      <c r="AB14" s="245"/>
      <c r="AC14" s="245"/>
      <c r="AD14" s="245"/>
      <c r="AE14" s="245"/>
      <c r="AF14" s="245"/>
      <c r="AG14" s="245"/>
      <c r="AH14" s="245"/>
      <c r="AI14" s="245"/>
      <c r="AJ14" s="245"/>
      <c r="AK14" s="245"/>
      <c r="AL14" s="245"/>
      <c r="AM14" s="245"/>
    </row>
    <row r="15" spans="1:39" ht="15" customHeight="1" x14ac:dyDescent="0.2">
      <c r="A15" s="259"/>
      <c r="B15" s="100" t="s">
        <v>252</v>
      </c>
      <c r="C15" s="711"/>
      <c r="D15" s="260"/>
      <c r="E15" s="260"/>
      <c r="F15" s="260"/>
      <c r="G15" s="260"/>
      <c r="H15" s="260"/>
      <c r="I15" s="260"/>
      <c r="J15" s="246"/>
      <c r="K15" s="724"/>
      <c r="L15" s="724"/>
      <c r="M15" s="724"/>
      <c r="N15" s="724"/>
      <c r="O15" s="724"/>
      <c r="P15" s="724"/>
      <c r="Q15" s="245"/>
      <c r="R15" s="246"/>
      <c r="S15" s="245"/>
      <c r="T15" s="245"/>
      <c r="U15" s="245"/>
      <c r="V15" s="245"/>
      <c r="W15" s="245"/>
      <c r="X15" s="245"/>
      <c r="Y15" s="245"/>
      <c r="Z15" s="245"/>
      <c r="AA15" s="245"/>
      <c r="AB15" s="245"/>
      <c r="AC15" s="245"/>
      <c r="AD15" s="245"/>
      <c r="AE15" s="245"/>
      <c r="AF15" s="245"/>
      <c r="AG15" s="245"/>
      <c r="AH15" s="245"/>
      <c r="AI15" s="245"/>
      <c r="AJ15" s="245"/>
      <c r="AK15" s="245"/>
      <c r="AL15" s="245"/>
      <c r="AM15" s="245"/>
    </row>
    <row r="16" spans="1:39" ht="13.5" customHeight="1" x14ac:dyDescent="0.2">
      <c r="A16" s="259"/>
      <c r="C16" s="711"/>
      <c r="D16" s="260"/>
      <c r="E16" s="260"/>
      <c r="F16" s="260"/>
      <c r="G16" s="260"/>
      <c r="H16" s="260"/>
      <c r="I16" s="260"/>
      <c r="J16" s="246"/>
      <c r="K16" s="724"/>
      <c r="L16" s="724"/>
      <c r="M16" s="724"/>
      <c r="N16" s="724"/>
      <c r="O16" s="724"/>
      <c r="P16" s="724"/>
      <c r="Q16" s="245"/>
      <c r="R16" s="246"/>
      <c r="S16" s="245"/>
      <c r="T16" s="245"/>
      <c r="U16" s="245"/>
      <c r="V16" s="245"/>
      <c r="W16" s="245"/>
      <c r="X16" s="245"/>
      <c r="Y16" s="245"/>
      <c r="Z16" s="245"/>
      <c r="AA16" s="245"/>
      <c r="AB16" s="245"/>
      <c r="AC16" s="245"/>
      <c r="AD16" s="245"/>
      <c r="AE16" s="245"/>
      <c r="AF16" s="245"/>
      <c r="AG16" s="245"/>
      <c r="AH16" s="245"/>
      <c r="AI16" s="245"/>
      <c r="AJ16" s="245"/>
      <c r="AK16" s="245"/>
      <c r="AL16" s="245"/>
      <c r="AM16" s="245"/>
    </row>
    <row r="17" spans="1:39" s="177" customFormat="1" x14ac:dyDescent="0.2">
      <c r="A17" s="559"/>
      <c r="B17" s="565"/>
      <c r="C17" s="712"/>
      <c r="D17" s="840" t="s">
        <v>136</v>
      </c>
      <c r="E17" s="840"/>
      <c r="F17" s="840"/>
      <c r="G17" s="840"/>
      <c r="H17" s="840"/>
      <c r="I17" s="840"/>
      <c r="J17" s="565"/>
      <c r="K17" s="840" t="s">
        <v>124</v>
      </c>
      <c r="L17" s="840"/>
      <c r="M17" s="840"/>
      <c r="N17" s="840"/>
      <c r="O17" s="840"/>
      <c r="P17" s="840"/>
      <c r="Q17" s="272"/>
      <c r="R17" s="565"/>
      <c r="S17" s="272"/>
      <c r="T17" s="272"/>
      <c r="U17" s="272"/>
      <c r="V17" s="272"/>
      <c r="W17" s="272"/>
      <c r="X17" s="272"/>
      <c r="Y17" s="272"/>
      <c r="Z17" s="272"/>
      <c r="AA17" s="272"/>
      <c r="AB17" s="272"/>
      <c r="AC17" s="272"/>
      <c r="AD17" s="272"/>
      <c r="AE17" s="272"/>
      <c r="AF17" s="272"/>
      <c r="AG17" s="272"/>
      <c r="AH17" s="272"/>
      <c r="AI17" s="272"/>
      <c r="AJ17" s="272"/>
      <c r="AK17" s="272"/>
      <c r="AL17" s="272"/>
      <c r="AM17" s="272"/>
    </row>
    <row r="18" spans="1:39" s="177" customFormat="1" ht="75" customHeight="1" x14ac:dyDescent="0.2">
      <c r="A18" s="559"/>
      <c r="B18" s="560"/>
      <c r="C18" s="713" t="s">
        <v>122</v>
      </c>
      <c r="D18" s="561" t="s">
        <v>279</v>
      </c>
      <c r="E18" s="561" t="s">
        <v>280</v>
      </c>
      <c r="F18" s="561" t="s">
        <v>246</v>
      </c>
      <c r="G18" s="561" t="s">
        <v>246</v>
      </c>
      <c r="H18" s="562" t="s">
        <v>246</v>
      </c>
      <c r="I18" s="562" t="s">
        <v>246</v>
      </c>
      <c r="J18" s="555" t="s">
        <v>123</v>
      </c>
      <c r="K18" s="775" t="s">
        <v>1</v>
      </c>
      <c r="L18" s="775" t="s">
        <v>2</v>
      </c>
      <c r="M18" s="775" t="s">
        <v>271</v>
      </c>
      <c r="N18" s="775" t="s">
        <v>408</v>
      </c>
      <c r="O18" s="775" t="s">
        <v>243</v>
      </c>
      <c r="P18" s="775">
        <v>0</v>
      </c>
      <c r="Q18" s="563"/>
      <c r="R18" s="244" t="s">
        <v>148</v>
      </c>
      <c r="S18" s="244" t="s">
        <v>32</v>
      </c>
      <c r="T18" s="272"/>
      <c r="U18" t="s">
        <v>158</v>
      </c>
      <c r="V18"/>
      <c r="W18"/>
      <c r="X18"/>
      <c r="Y18"/>
      <c r="Z18"/>
      <c r="AA18"/>
      <c r="AB18"/>
      <c r="AC18"/>
      <c r="AD18" s="564"/>
      <c r="AE18" s="272"/>
      <c r="AF18" s="272"/>
      <c r="AG18" s="272"/>
      <c r="AH18" s="272"/>
      <c r="AI18" s="272"/>
      <c r="AJ18" s="272"/>
      <c r="AK18" s="272"/>
      <c r="AL18" s="272"/>
      <c r="AM18" s="272"/>
    </row>
    <row r="19" spans="1:39" ht="23.25" thickBot="1" x14ac:dyDescent="0.25">
      <c r="A19" s="557"/>
      <c r="B19" s="556"/>
      <c r="C19" s="714"/>
      <c r="D19" s="551"/>
      <c r="E19" s="552"/>
      <c r="F19" s="552"/>
      <c r="G19" s="553"/>
      <c r="I19" s="745" t="s">
        <v>167</v>
      </c>
      <c r="J19" s="708"/>
      <c r="K19" s="774" t="s">
        <v>169</v>
      </c>
      <c r="L19" s="774" t="s">
        <v>169</v>
      </c>
      <c r="M19" s="774" t="s">
        <v>169</v>
      </c>
      <c r="N19" s="774" t="s">
        <v>169</v>
      </c>
      <c r="O19" s="774" t="s">
        <v>169</v>
      </c>
      <c r="P19" s="774" t="s">
        <v>169</v>
      </c>
      <c r="Q19" s="841"/>
      <c r="R19" s="841"/>
      <c r="S19" s="841"/>
      <c r="T19" s="245"/>
      <c r="U19"/>
      <c r="V19"/>
      <c r="W19"/>
      <c r="X19"/>
      <c r="Y19"/>
      <c r="Z19"/>
      <c r="AA19"/>
      <c r="AB19"/>
      <c r="AC19"/>
      <c r="AD19" s="261"/>
      <c r="AE19" s="245"/>
      <c r="AF19" s="245"/>
      <c r="AG19" s="245"/>
      <c r="AH19" s="245"/>
      <c r="AI19" s="245"/>
      <c r="AJ19" s="245"/>
      <c r="AK19" s="245"/>
      <c r="AL19" s="245"/>
      <c r="AM19" s="245"/>
    </row>
    <row r="20" spans="1:39" x14ac:dyDescent="0.2">
      <c r="A20" s="503">
        <v>1</v>
      </c>
      <c r="B20" s="554" t="str">
        <f>CONCATENATE('3. Consumption by Rate Class'!B25,"-",'3. Consumption by Rate Class'!C25)</f>
        <v>2005-January</v>
      </c>
      <c r="C20" s="697">
        <v>23375222.759390123</v>
      </c>
      <c r="D20" s="703">
        <v>-40200</v>
      </c>
      <c r="E20" s="700"/>
      <c r="F20" s="700"/>
      <c r="G20" s="700"/>
      <c r="H20" s="701"/>
      <c r="I20" s="701"/>
      <c r="J20" s="558">
        <f>SUM(C20:I20)</f>
        <v>23335022.759390123</v>
      </c>
      <c r="K20" s="725">
        <f>IF(K$18='5.Variables'!$B$16,+'5.Variables'!$C27,+IF(K$18='5.Variables'!$B$39,+'5.Variables'!$C50,+IF(K$18='5.Variables'!$B$62,+'5.Variables'!$C64,+IF(K$18='5.Variables'!$B$76,+'5.Variables'!$C78,+IF(K$18='5.Variables'!$B$90,+'5.Variables'!$C92,+IF(K$18='5.Variables'!$B$104,+'5.Variables'!$C106,0))))))</f>
        <v>920.7</v>
      </c>
      <c r="L20" s="725">
        <f>IF(L$18='5.Variables'!$B$16,+'5.Variables'!$C27,+IF(L$18='5.Variables'!$B$39,+'5.Variables'!$C50,+IF(L$18='5.Variables'!$B$62,+'5.Variables'!$C64,+IF(L$18='5.Variables'!$B$76,+'5.Variables'!$C78,+IF(L$18='5.Variables'!$B$90,+'5.Variables'!$C92,+IF(L$18='5.Variables'!$B$104,+'5.Variables'!$C106,0))))))</f>
        <v>0</v>
      </c>
      <c r="M20" s="725">
        <f>IF(M$18='5.Variables'!$B$16,+'5.Variables'!$C26,+IF(M$18='5.Variables'!$B$39,+'5.Variables'!$C50,+IF(M$18='5.Variables'!$B$62,+'5.Variables'!$C64,+IF(M$18='5.Variables'!$B$76,+'5.Variables'!$C78,+IF(M$18='5.Variables'!$B$90,+'5.Variables'!$C92,+IF(M$18='5.Variables'!$B$104,+'5.Variables'!$C106,0))))))</f>
        <v>1</v>
      </c>
      <c r="N20" s="725">
        <f>IF(N$18='5.Variables'!$B$16,+'5.Variables'!$C26,+IF(N$18='5.Variables'!$B$39,+'5.Variables'!$C50,+IF(N$18='5.Variables'!$B$62,+'5.Variables'!$C64,+IF(N$18='5.Variables'!$B$76,+'5.Variables'!$C78,+IF(N$18='5.Variables'!$B$90,+'5.Variables'!$C92,+IF(N$18='5.Variables'!$B$104,+'5.Variables'!$C106,0))))))</f>
        <v>1</v>
      </c>
      <c r="O20" s="725">
        <f>IF(O$18='5.Variables'!$B$16,+'5.Variables'!$C26,+IF(O$18='5.Variables'!$B$39,+'5.Variables'!$C50,+IF(O$18='5.Variables'!$B$62,+'5.Variables'!$C64,+IF(O$18='5.Variables'!$B$76,+'5.Variables'!$C78,+IF(O$18='5.Variables'!$B$90,+'5.Variables'!$C92,+IF(O$18='5.Variables'!$B$104,+'5.Variables'!$C106,0))))))</f>
        <v>31</v>
      </c>
      <c r="P20" s="725">
        <f>IF(P$18='5.Variables'!$B$16,+'5.Variables'!$C26,+IF(P$18='5.Variables'!$B$39,+'5.Variables'!$C50,+IF(P$18='5.Variables'!$B$62,+'5.Variables'!$C64,+IF(P$18='5.Variables'!$B$76,+'5.Variables'!$C78,+IF(P$18='5.Variables'!$B$90,+'5.Variables'!$C92,+IF(P$18='5.Variables'!$B$104,+'5.Variables'!$C106,0))))))</f>
        <v>0</v>
      </c>
      <c r="Q20" s="245"/>
      <c r="R20" s="558">
        <f>$V$34+(K20*$V$35)+(L20*$V$36)+(M20*$V$37)+(N20*$V$38)+(O20*$V$39)</f>
        <v>21125664.799616948</v>
      </c>
      <c r="S20" s="264"/>
      <c r="T20" s="245"/>
      <c r="U20" s="549" t="s">
        <v>7</v>
      </c>
      <c r="V20" s="549"/>
      <c r="W20"/>
      <c r="X20"/>
      <c r="Y20"/>
      <c r="Z20"/>
      <c r="AA20"/>
      <c r="AB20"/>
      <c r="AC20"/>
      <c r="AD20" s="261"/>
      <c r="AE20" s="245"/>
      <c r="AF20" s="245"/>
      <c r="AG20" s="245"/>
      <c r="AH20" s="245"/>
      <c r="AI20" s="245"/>
      <c r="AJ20" s="245"/>
      <c r="AK20" s="245"/>
      <c r="AL20" s="245"/>
      <c r="AM20" s="245"/>
    </row>
    <row r="21" spans="1:39" x14ac:dyDescent="0.2">
      <c r="A21" s="503">
        <f>+A20+1</f>
        <v>2</v>
      </c>
      <c r="B21" s="262" t="str">
        <f>CONCATENATE('3. Consumption by Rate Class'!B26,"-",'3. Consumption by Rate Class'!C26)</f>
        <v>2005-February</v>
      </c>
      <c r="C21" s="697">
        <v>19532450.321269371</v>
      </c>
      <c r="D21" s="703">
        <v>-51000</v>
      </c>
      <c r="E21" s="702"/>
      <c r="F21" s="702"/>
      <c r="G21" s="702"/>
      <c r="H21" s="702"/>
      <c r="I21" s="702"/>
      <c r="J21" s="263">
        <f t="shared" ref="J21:J84" si="0">SUM(C21:I21)</f>
        <v>19481450.321269371</v>
      </c>
      <c r="K21" s="725">
        <f>IF(K$18='5.Variables'!$B$16,+'5.Variables'!$D27,+IF(K$18='5.Variables'!$B$39,+'5.Variables'!$D50,+IF(K$18='5.Variables'!$B$62,+'5.Variables'!$D64,+IF(K$18='5.Variables'!$B$76,+'5.Variables'!$D78,+IF(K$18='5.Variables'!$B$90,+'5.Variables'!$D92,+IF(K$18='5.Variables'!$B$104,+'5.Variables'!$D106,0))))))</f>
        <v>700.6</v>
      </c>
      <c r="L21" s="725">
        <f>IF(L$18='5.Variables'!$B$16,+'5.Variables'!$D27,+IF(L$18='5.Variables'!$B$39,+'5.Variables'!$D50,+IF(L$18='5.Variables'!$B$62,+'5.Variables'!$D64,+IF(L$18='5.Variables'!$B$76,+'5.Variables'!$D78,+IF(L$18='5.Variables'!$B$90,+'5.Variables'!$D92,+IF(L$18='5.Variables'!$B$104,+'5.Variables'!$D106,0))))))</f>
        <v>0</v>
      </c>
      <c r="M21" s="725">
        <f>IF(M$18='5.Variables'!$B$16,+'5.Variables'!$D26,+IF(M$18='5.Variables'!$B$39,+'5.Variables'!$D50,+IF(M$18='5.Variables'!$B$62,+'5.Variables'!$D64,+IF(M$18='5.Variables'!$B$76,+'5.Variables'!$D78,+IF(M$18='5.Variables'!$B$90,+'5.Variables'!$D92,+IF(M$18='5.Variables'!$B$104,+'5.Variables'!$D106,0))))))</f>
        <v>1</v>
      </c>
      <c r="N21" s="725">
        <f>IF(N$18='5.Variables'!$B$16,+'5.Variables'!$D26,+IF(N$18='5.Variables'!$B$39,+'5.Variables'!$D50,+IF(N$18='5.Variables'!$B$62,+'5.Variables'!$D64,+IF(N$18='5.Variables'!$B$76,+'5.Variables'!$D78,+IF(N$18='5.Variables'!$B$90,+'5.Variables'!$D92,+IF(N$18='5.Variables'!$B$104,+'5.Variables'!$D106,0))))))</f>
        <v>0</v>
      </c>
      <c r="O21" s="725">
        <f>IF(O$18='5.Variables'!$B$16,+'5.Variables'!$D26,+IF(O$18='5.Variables'!$B$39,+'5.Variables'!$D50,+IF(O$18='5.Variables'!$B$62,+'5.Variables'!$D64,+IF(O$18='5.Variables'!$B$76,+'5.Variables'!$D78,+IF(O$18='5.Variables'!$B$90,+'5.Variables'!$D92,+IF(O$18='5.Variables'!$B$104,+'5.Variables'!$D106,0))))))</f>
        <v>28</v>
      </c>
      <c r="P21" s="725">
        <f>IF(P$18='5.Variables'!$B$16,+'5.Variables'!$D26,+IF(P$18='5.Variables'!$B$39,+'5.Variables'!$D50,+IF(P$18='5.Variables'!$B$62,+'5.Variables'!$D64,+IF(P$18='5.Variables'!$B$76,+'5.Variables'!$D78,+IF(P$18='5.Variables'!$B$90,+'5.Variables'!$D92,+IF(P$18='5.Variables'!$B$104,+'5.Variables'!$D106,0))))))</f>
        <v>0</v>
      </c>
      <c r="Q21" s="245"/>
      <c r="R21" s="558">
        <f t="shared" ref="R21:R84" si="1">$V$34+(K21*$V$35)+(L21*$V$36)+(M21*$V$37)+(N21*$V$38)+(O21*$V$39)</f>
        <v>19554021.902431689</v>
      </c>
      <c r="S21" s="264"/>
      <c r="T21" s="245"/>
      <c r="U21" s="546" t="s">
        <v>8</v>
      </c>
      <c r="V21" s="546">
        <v>0.92186767944268844</v>
      </c>
      <c r="W21"/>
      <c r="X21"/>
      <c r="Y21"/>
      <c r="Z21"/>
      <c r="AA21"/>
      <c r="AB21"/>
      <c r="AC21"/>
      <c r="AD21" s="261"/>
      <c r="AE21" s="245"/>
      <c r="AF21" s="245"/>
      <c r="AG21" s="245"/>
      <c r="AH21" s="245"/>
      <c r="AI21" s="245"/>
      <c r="AJ21" s="245"/>
      <c r="AK21" s="245"/>
      <c r="AL21" s="245"/>
      <c r="AM21" s="245"/>
    </row>
    <row r="22" spans="1:39" x14ac:dyDescent="0.2">
      <c r="A22" s="503">
        <f t="shared" ref="A22:A85" si="2">+A21+1</f>
        <v>3</v>
      </c>
      <c r="B22" s="262" t="str">
        <f>CONCATENATE('3. Consumption by Rate Class'!B27,"-",'3. Consumption by Rate Class'!C27)</f>
        <v>2005-March</v>
      </c>
      <c r="C22" s="697">
        <v>18788975.258694019</v>
      </c>
      <c r="D22" s="703">
        <v>-60600</v>
      </c>
      <c r="E22" s="703"/>
      <c r="F22" s="703"/>
      <c r="G22" s="703"/>
      <c r="H22" s="704"/>
      <c r="I22" s="704"/>
      <c r="J22" s="263">
        <f t="shared" si="0"/>
        <v>18728375.258694019</v>
      </c>
      <c r="K22" s="725">
        <f>IF(K$18='5.Variables'!$B$16,+'5.Variables'!$E27,+IF(K$18='5.Variables'!$B$39,+'5.Variables'!$E50,+IF(K$18='5.Variables'!$B$62,+'5.Variables'!$E64,+IF(K$18='5.Variables'!$B$76,+'5.Variables'!$E78,+IF(K$18='5.Variables'!$B$90,+'5.Variables'!$E92,+IF(K$18='5.Variables'!$B$104,+'5.Variables'!$E106,0))))))</f>
        <v>668.8</v>
      </c>
      <c r="L22" s="725">
        <f>IF(L$18='5.Variables'!$B$16,+'5.Variables'!$E27,+IF(L$18='5.Variables'!$B$39,+'5.Variables'!$E50,+IF(L$18='5.Variables'!$B$62,+'5.Variables'!$E64,+IF(L$18='5.Variables'!$B$76,+'5.Variables'!$E78,+IF(L$18='5.Variables'!$B$90,+'5.Variables'!$E92,+IF(L$18='5.Variables'!$B$104,+'5.Variables'!$E106,0))))))</f>
        <v>0</v>
      </c>
      <c r="M22" s="725">
        <f>IF(M$18='5.Variables'!$B$16,+'5.Variables'!$E26,+IF(M$18='5.Variables'!$B$39,+'5.Variables'!$E50,+IF(M$18='5.Variables'!$B$62,+'5.Variables'!$E64,+IF(M$18='5.Variables'!$B$76,+'5.Variables'!$E78,+IF(M$18='5.Variables'!$B$90,+'5.Variables'!$E92,+IF(M$18='5.Variables'!$B$104,+'5.Variables'!$E106,0))))))</f>
        <v>0</v>
      </c>
      <c r="N22" s="725">
        <f>IF(N$18='5.Variables'!$B$16,+'5.Variables'!$E26,+IF(N$18='5.Variables'!$B$39,+'5.Variables'!$E50,+IF(N$18='5.Variables'!$B$62,+'5.Variables'!$E64,+IF(N$18='5.Variables'!$B$76,+'5.Variables'!$E78,+IF(N$18='5.Variables'!$B$90,+'5.Variables'!$E92,+IF(N$18='5.Variables'!$B$104,+'5.Variables'!$E106,0))))))</f>
        <v>1</v>
      </c>
      <c r="O22" s="725">
        <f>IF(O$18='5.Variables'!$B$16,+'5.Variables'!$E26,+IF(O$18='5.Variables'!$B$39,+'5.Variables'!$E50,+IF(O$18='5.Variables'!$B$62,+'5.Variables'!$E64,+IF(O$18='5.Variables'!$B$76,+'5.Variables'!$E78,+IF(O$18='5.Variables'!$B$90,+'5.Variables'!$E92,+IF(O$18='5.Variables'!$B$104,+'5.Variables'!$E106,0))))))</f>
        <v>31</v>
      </c>
      <c r="P22" s="725">
        <f>IF(P$18='5.Variables'!$B$16,+'5.Variables'!$E26,+IF(P$18='5.Variables'!$B$39,+'5.Variables'!$E50,+IF(P$18='5.Variables'!$B$62,+'5.Variables'!$E64,+IF(P$18='5.Variables'!$B$76,+'5.Variables'!$E78,+IF(P$18='5.Variables'!$B$90,+'5.Variables'!$E92,+IF(P$18='5.Variables'!$B$104,+'5.Variables'!$E106,0))))))</f>
        <v>0</v>
      </c>
      <c r="Q22" s="245"/>
      <c r="R22" s="558">
        <f t="shared" si="1"/>
        <v>17852003.05718052</v>
      </c>
      <c r="S22" s="265"/>
      <c r="T22" s="245"/>
      <c r="U22" s="546" t="s">
        <v>9</v>
      </c>
      <c r="V22" s="546">
        <v>0.84984001840104728</v>
      </c>
      <c r="W22"/>
      <c r="X22"/>
      <c r="Y22"/>
      <c r="Z22"/>
      <c r="AA22"/>
      <c r="AB22"/>
      <c r="AC22"/>
      <c r="AD22" s="261"/>
      <c r="AE22" s="245"/>
      <c r="AF22" s="245"/>
      <c r="AG22" s="245"/>
      <c r="AH22" s="245"/>
      <c r="AI22" s="245"/>
      <c r="AJ22" s="245"/>
      <c r="AK22" s="245"/>
      <c r="AL22" s="245"/>
      <c r="AM22" s="245"/>
    </row>
    <row r="23" spans="1:39" x14ac:dyDescent="0.2">
      <c r="A23" s="503">
        <f t="shared" si="2"/>
        <v>4</v>
      </c>
      <c r="B23" s="262" t="str">
        <f>CONCATENATE('3. Consumption by Rate Class'!B28,"-",'3. Consumption by Rate Class'!C28)</f>
        <v>2005-April</v>
      </c>
      <c r="C23" s="697">
        <v>16627360.577996613</v>
      </c>
      <c r="D23" s="703">
        <v>-36600</v>
      </c>
      <c r="E23" s="703"/>
      <c r="F23" s="703"/>
      <c r="G23" s="703"/>
      <c r="H23" s="704"/>
      <c r="I23" s="704"/>
      <c r="J23" s="263">
        <f t="shared" si="0"/>
        <v>16590760.577996613</v>
      </c>
      <c r="K23" s="725">
        <f>IF(K$18='5.Variables'!$B$16,+'5.Variables'!$F27,+IF(K$18='5.Variables'!$B$39,+'5.Variables'!$F50,+IF(K$18='5.Variables'!$B$62,+'5.Variables'!$F64,+IF(K$18='5.Variables'!$B$76,+'5.Variables'!$F78,+IF(K$18='5.Variables'!$B$90,+'5.Variables'!$F92,+IF(K$18='5.Variables'!$B$104,+'5.Variables'!$F106,0))))))</f>
        <v>324.8</v>
      </c>
      <c r="L23" s="725">
        <f>IF(L$18='5.Variables'!$B$16,+'5.Variables'!$F27,+IF(L$18='5.Variables'!$B$39,+'5.Variables'!$F50,+IF(L$18='5.Variables'!$B$62,+'5.Variables'!$F64,+IF(L$18='5.Variables'!$B$76,+'5.Variables'!$F78,+IF(L$18='5.Variables'!$B$90,+'5.Variables'!$F92,+IF(L$18='5.Variables'!$B$104,+'5.Variables'!$F106,0))))))</f>
        <v>0</v>
      </c>
      <c r="M23" s="725">
        <f>IF(M$18='5.Variables'!$B$16,+'5.Variables'!$F26,+IF(M$18='5.Variables'!$B$39,+'5.Variables'!$F50,+IF(M$18='5.Variables'!$B$62,+'5.Variables'!$F64,+IF(M$18='5.Variables'!$B$76,+'5.Variables'!$F78,+IF(M$18='5.Variables'!$B$90,+'5.Variables'!$F92,+IF(M$18='5.Variables'!$B$104,+'5.Variables'!$F106,0))))))</f>
        <v>0</v>
      </c>
      <c r="N23" s="725">
        <f>IF(N$18='5.Variables'!$B$16,+'5.Variables'!$F26,+IF(N$18='5.Variables'!$B$39,+'5.Variables'!$F50,+IF(N$18='5.Variables'!$B$62,+'5.Variables'!$F64,+IF(N$18='5.Variables'!$B$76,+'5.Variables'!$F78,+IF(N$18='5.Variables'!$B$90,+'5.Variables'!$F92,+IF(N$18='5.Variables'!$B$104,+'5.Variables'!$F106,0))))))</f>
        <v>0</v>
      </c>
      <c r="O23" s="725">
        <f>IF(O$18='5.Variables'!$B$16,+'5.Variables'!$F26,+IF(O$18='5.Variables'!$B$39,+'5.Variables'!$F50,+IF(O$18='5.Variables'!$B$62,+'5.Variables'!$F64,+IF(O$18='5.Variables'!$B$76,+'5.Variables'!$F78,+IF(O$18='5.Variables'!$B$90,+'5.Variables'!$F92,+IF(O$18='5.Variables'!$B$104,+'5.Variables'!$F106,0))))))</f>
        <v>30</v>
      </c>
      <c r="P23" s="725">
        <f>IF(P$18='5.Variables'!$B$16,+'5.Variables'!$F26,+IF(P$18='5.Variables'!$B$39,+'5.Variables'!$F50,+IF(P$18='5.Variables'!$B$62,+'5.Variables'!$F64,+IF(P$18='5.Variables'!$B$76,+'5.Variables'!$F78,+IF(P$18='5.Variables'!$B$90,+'5.Variables'!$F92,+IF(P$18='5.Variables'!$B$104,+'5.Variables'!$F106,0))))))</f>
        <v>0</v>
      </c>
      <c r="Q23" s="245"/>
      <c r="R23" s="558">
        <f t="shared" si="1"/>
        <v>15395641.600425731</v>
      </c>
      <c r="S23" s="265"/>
      <c r="T23" s="245"/>
      <c r="U23" s="546" t="s">
        <v>10</v>
      </c>
      <c r="V23" s="546">
        <v>0.84595657060107432</v>
      </c>
      <c r="W23"/>
      <c r="X23"/>
      <c r="Y23"/>
      <c r="Z23"/>
      <c r="AA23"/>
      <c r="AB23"/>
      <c r="AC23"/>
      <c r="AD23" s="261"/>
      <c r="AE23" s="245"/>
      <c r="AF23" s="245"/>
      <c r="AG23" s="245"/>
      <c r="AH23" s="245"/>
      <c r="AI23" s="245"/>
      <c r="AJ23" s="245"/>
      <c r="AK23" s="245"/>
      <c r="AL23" s="245"/>
      <c r="AM23" s="245"/>
    </row>
    <row r="24" spans="1:39" x14ac:dyDescent="0.2">
      <c r="A24" s="503">
        <f t="shared" si="2"/>
        <v>5</v>
      </c>
      <c r="B24" s="262" t="str">
        <f>CONCATENATE('3. Consumption by Rate Class'!B29,"-",'3. Consumption by Rate Class'!C29)</f>
        <v>2005-May</v>
      </c>
      <c r="C24" s="697">
        <v>15334365.959005743</v>
      </c>
      <c r="D24" s="703">
        <v>-48600</v>
      </c>
      <c r="E24" s="703"/>
      <c r="F24" s="703"/>
      <c r="G24" s="703"/>
      <c r="H24" s="704"/>
      <c r="I24" s="704"/>
      <c r="J24" s="263">
        <f t="shared" si="0"/>
        <v>15285765.959005743</v>
      </c>
      <c r="K24" s="725">
        <f>IF(K$18='5.Variables'!$B$16,+'5.Variables'!$G27,+IF(K$18='5.Variables'!$B$39,+'5.Variables'!$G50,+IF(K$18='5.Variables'!$B$62,+'5.Variables'!$G64,+IF(K$18='5.Variables'!$B$76,+'5.Variables'!$G78,+IF(K$18='5.Variables'!$B$90,+'5.Variables'!$G92,+IF(K$18='5.Variables'!$B$104,+'5.Variables'!$G106,0))))))</f>
        <v>205</v>
      </c>
      <c r="L24" s="725">
        <f>IF(L$18='5.Variables'!$B$16,+'5.Variables'!$G27,+IF(L$18='5.Variables'!$B$39,+'5.Variables'!$G50,+IF(L$18='5.Variables'!$B$62,+'5.Variables'!$G64,+IF(L$18='5.Variables'!$B$76,+'5.Variables'!$G78,+IF(L$18='5.Variables'!$B$90,+'5.Variables'!$G92,+IF(L$18='5.Variables'!$B$104,+'5.Variables'!$G106,0))))))</f>
        <v>1.9</v>
      </c>
      <c r="M24" s="725">
        <f>IF(M$18='5.Variables'!$B$16,+'5.Variables'!$G26,+IF(M$18='5.Variables'!$B$39,+'5.Variables'!$G50,+IF(M$18='5.Variables'!$B$62,+'5.Variables'!$G64,+IF(M$18='5.Variables'!$B$76,+'5.Variables'!$G78,+IF(M$18='5.Variables'!$B$90,+'5.Variables'!$G92,+IF(M$18='5.Variables'!$B$104,+'5.Variables'!$G106,0))))))</f>
        <v>0</v>
      </c>
      <c r="N24" s="725">
        <f>IF(N$18='5.Variables'!$B$16,+'5.Variables'!$G26,+IF(N$18='5.Variables'!$B$39,+'5.Variables'!$G50,+IF(N$18='5.Variables'!$B$62,+'5.Variables'!$G64,+IF(N$18='5.Variables'!$B$76,+'5.Variables'!$G78,+IF(N$18='5.Variables'!$B$90,+'5.Variables'!$G92,+IF(N$18='5.Variables'!$B$104,+'5.Variables'!$G106,0))))))</f>
        <v>0</v>
      </c>
      <c r="O24" s="725">
        <f>IF(O$18='5.Variables'!$B$16,+'5.Variables'!$G26,+IF(O$18='5.Variables'!$B$39,+'5.Variables'!$G50,+IF(O$18='5.Variables'!$B$62,+'5.Variables'!$G64,+IF(O$18='5.Variables'!$B$76,+'5.Variables'!$G78,+IF(O$18='5.Variables'!$B$90,+'5.Variables'!$G92,+IF(O$18='5.Variables'!$B$104,+'5.Variables'!$G106,0))))))</f>
        <v>31</v>
      </c>
      <c r="P24" s="725">
        <f>IF(P$18='5.Variables'!$B$16,+'5.Variables'!$G26,+IF(P$18='5.Variables'!$B$39,+'5.Variables'!$G50,+IF(P$18='5.Variables'!$B$62,+'5.Variables'!$G64,+IF(P$18='5.Variables'!$B$76,+'5.Variables'!$G78,+IF(P$18='5.Variables'!$B$90,+'5.Variables'!$G92,+IF(P$18='5.Variables'!$B$104,+'5.Variables'!$G106,0))))))</f>
        <v>0</v>
      </c>
      <c r="Q24" s="245"/>
      <c r="R24" s="558">
        <f t="shared" si="1"/>
        <v>14592482.368245671</v>
      </c>
      <c r="S24" s="265"/>
      <c r="T24" s="245"/>
      <c r="U24" s="546" t="s">
        <v>11</v>
      </c>
      <c r="V24" s="546">
        <v>932292.42564790917</v>
      </c>
      <c r="W24"/>
      <c r="X24"/>
      <c r="Y24"/>
      <c r="Z24"/>
      <c r="AA24"/>
      <c r="AB24"/>
      <c r="AC24"/>
      <c r="AD24" s="261"/>
      <c r="AE24" s="245"/>
      <c r="AF24" s="245"/>
      <c r="AG24" s="245"/>
      <c r="AH24" s="245"/>
      <c r="AI24" s="245"/>
      <c r="AJ24" s="245"/>
      <c r="AK24" s="245"/>
      <c r="AL24" s="245"/>
      <c r="AM24" s="245"/>
    </row>
    <row r="25" spans="1:39" ht="13.5" thickBot="1" x14ac:dyDescent="0.25">
      <c r="A25" s="503">
        <f t="shared" si="2"/>
        <v>6</v>
      </c>
      <c r="B25" s="262" t="str">
        <f>CONCATENATE('3. Consumption by Rate Class'!B30,"-",'3. Consumption by Rate Class'!C30)</f>
        <v>2005-June</v>
      </c>
      <c r="C25" s="697">
        <v>17387211.672388487</v>
      </c>
      <c r="D25" s="703">
        <v>-60600</v>
      </c>
      <c r="E25" s="703"/>
      <c r="F25" s="703"/>
      <c r="G25" s="703"/>
      <c r="H25" s="704"/>
      <c r="I25" s="704"/>
      <c r="J25" s="263">
        <f t="shared" si="0"/>
        <v>17326611.672388487</v>
      </c>
      <c r="K25" s="725">
        <f>IF(K$18='5.Variables'!$B$16,+'5.Variables'!$H27,+IF(K$18='5.Variables'!$B$39,+'5.Variables'!$H50,+IF(K$18='5.Variables'!$B$62,+'5.Variables'!$H64,+IF(K$18='5.Variables'!$B$76,+'5.Variables'!$H78,+IF(K$18='5.Variables'!$B$90,+'5.Variables'!$H92,+IF(K$18='5.Variables'!$B$104,+'5.Variables'!$H106,0))))))</f>
        <v>16.100000000000001</v>
      </c>
      <c r="L25" s="725">
        <f>IF(L$18='5.Variables'!$B$16,+'5.Variables'!$H27,+IF(L$18='5.Variables'!$B$39,+'5.Variables'!$H50,+IF(L$18='5.Variables'!$B$62,+'5.Variables'!$H64,+IF(L$18='5.Variables'!$B$76,+'5.Variables'!$H78,+IF(L$18='5.Variables'!$B$90,+'5.Variables'!$H92,+IF(L$18='5.Variables'!$B$104,+'5.Variables'!$H106,0))))))</f>
        <v>111.6</v>
      </c>
      <c r="M25" s="725">
        <f>IF(M$18='5.Variables'!$B$16,+'5.Variables'!$H26,+IF(M$18='5.Variables'!$B$39,+'5.Variables'!$H50,+IF(M$18='5.Variables'!$B$62,+'5.Variables'!$H64,+IF(M$18='5.Variables'!$B$76,+'5.Variables'!$H78,+IF(M$18='5.Variables'!$B$90,+'5.Variables'!$H92,+IF(M$18='5.Variables'!$B$104,+'5.Variables'!$H106,0))))))</f>
        <v>0</v>
      </c>
      <c r="N25" s="725">
        <f>IF(N$18='5.Variables'!$B$16,+'5.Variables'!$H26,+IF(N$18='5.Variables'!$B$39,+'5.Variables'!$H50,+IF(N$18='5.Variables'!$B$62,+'5.Variables'!$H64,+IF(N$18='5.Variables'!$B$76,+'5.Variables'!$H78,+IF(N$18='5.Variables'!$B$90,+'5.Variables'!$H92,+IF(N$18='5.Variables'!$B$104,+'5.Variables'!$H106,0))))))</f>
        <v>0</v>
      </c>
      <c r="O25" s="725">
        <f>IF(O$18='5.Variables'!$B$16,+'5.Variables'!$H26,+IF(O$18='5.Variables'!$B$39,+'5.Variables'!$H50,+IF(O$18='5.Variables'!$B$62,+'5.Variables'!$H64,+IF(O$18='5.Variables'!$B$76,+'5.Variables'!$H78,+IF(O$18='5.Variables'!$B$90,+'5.Variables'!$H92,+IF(O$18='5.Variables'!$B$104,+'5.Variables'!$H106,0))))))</f>
        <v>30</v>
      </c>
      <c r="P25" s="725">
        <f>IF(P$18='5.Variables'!$B$16,+'5.Variables'!$H26,+IF(P$18='5.Variables'!$B$39,+'5.Variables'!$H50,+IF(P$18='5.Variables'!$B$62,+'5.Variables'!$H64,+IF(P$18='5.Variables'!$B$76,+'5.Variables'!$H78,+IF(P$18='5.Variables'!$B$90,+'5.Variables'!$H92,+IF(P$18='5.Variables'!$B$104,+'5.Variables'!$H106,0))))))</f>
        <v>0</v>
      </c>
      <c r="Q25" s="245"/>
      <c r="R25" s="558">
        <f t="shared" si="1"/>
        <v>16262276.803653397</v>
      </c>
      <c r="S25" s="265"/>
      <c r="T25" s="245"/>
      <c r="U25" s="547" t="s">
        <v>12</v>
      </c>
      <c r="V25" s="547">
        <v>120</v>
      </c>
      <c r="W25"/>
      <c r="X25"/>
      <c r="Y25"/>
      <c r="Z25"/>
      <c r="AA25"/>
      <c r="AB25"/>
      <c r="AC25"/>
      <c r="AD25" s="261"/>
      <c r="AE25" s="245"/>
      <c r="AF25" s="245"/>
      <c r="AG25" s="245"/>
      <c r="AH25" s="245"/>
      <c r="AI25" s="245"/>
      <c r="AJ25" s="245"/>
      <c r="AK25" s="245"/>
      <c r="AL25" s="245"/>
      <c r="AM25" s="245"/>
    </row>
    <row r="26" spans="1:39" x14ac:dyDescent="0.2">
      <c r="A26" s="503">
        <f t="shared" si="2"/>
        <v>7</v>
      </c>
      <c r="B26" s="262" t="str">
        <f>CONCATENATE('3. Consumption by Rate Class'!B31,"-",'3. Consumption by Rate Class'!C31)</f>
        <v>2005-July</v>
      </c>
      <c r="C26" s="697">
        <v>16573581.857891716</v>
      </c>
      <c r="D26" s="703">
        <v>-20400</v>
      </c>
      <c r="E26" s="703"/>
      <c r="F26" s="703"/>
      <c r="G26" s="703"/>
      <c r="H26" s="704"/>
      <c r="I26" s="704"/>
      <c r="J26" s="263">
        <f t="shared" si="0"/>
        <v>16553181.857891716</v>
      </c>
      <c r="K26" s="725">
        <f>IF(K$18='5.Variables'!$B$16,+'5.Variables'!$I27,+IF(K$18='5.Variables'!$B$39,+'5.Variables'!$I50,+IF(K$18='5.Variables'!$B$62,+'5.Variables'!$I64,+IF(K$18='5.Variables'!$B$76,+'5.Variables'!$I78,+IF(K$18='5.Variables'!$B$90,+'5.Variables'!$I92,+IF(K$18='5.Variables'!$B$104,+'5.Variables'!$I106,0))))))</f>
        <v>2.9</v>
      </c>
      <c r="L26" s="725">
        <f>IF(L$18='5.Variables'!$B$16,+'5.Variables'!$I27,+IF(L$18='5.Variables'!$B$39,+'5.Variables'!$I50,+IF(L$18='5.Variables'!$B$62,+'5.Variables'!$I64,+IF(L$18='5.Variables'!$B$76,+'5.Variables'!$I78,+IF(L$18='5.Variables'!$B$90,+'5.Variables'!$I92,+IF(L$18='5.Variables'!$B$104,+'5.Variables'!$I106,0))))))</f>
        <v>128.6</v>
      </c>
      <c r="M26" s="725">
        <f>IF(M$18='5.Variables'!$B$16,+'5.Variables'!$I26,+IF(M$18='5.Variables'!$B$39,+'5.Variables'!$I50,+IF(M$18='5.Variables'!$B$62,+'5.Variables'!$I64,+IF(M$18='5.Variables'!$B$76,+'5.Variables'!$I78,+IF(M$18='5.Variables'!$B$90,+'5.Variables'!$I92,+IF(M$18='5.Variables'!$B$104,+'5.Variables'!$I106,0))))))</f>
        <v>0</v>
      </c>
      <c r="N26" s="725">
        <f>IF(N$18='5.Variables'!$B$16,+'5.Variables'!$I26,+IF(N$18='5.Variables'!$B$39,+'5.Variables'!$I50,+IF(N$18='5.Variables'!$B$62,+'5.Variables'!$I64,+IF(N$18='5.Variables'!$B$76,+'5.Variables'!$I78,+IF(N$18='5.Variables'!$B$90,+'5.Variables'!$I92,+IF(N$18='5.Variables'!$B$104,+'5.Variables'!$I106,0))))))</f>
        <v>1</v>
      </c>
      <c r="O26" s="725">
        <f>IF(O$18='5.Variables'!$B$16,+'5.Variables'!$I26,+IF(O$18='5.Variables'!$B$39,+'5.Variables'!$I50,+IF(O$18='5.Variables'!$B$62,+'5.Variables'!$I64,+IF(O$18='5.Variables'!$B$76,+'5.Variables'!$I78,+IF(O$18='5.Variables'!$B$90,+'5.Variables'!$I92,+IF(O$18='5.Variables'!$B$104,+'5.Variables'!$I106,0))))))</f>
        <v>31</v>
      </c>
      <c r="P26" s="725">
        <f>IF(P$18='5.Variables'!$B$16,+'5.Variables'!$I26,+IF(P$18='5.Variables'!$B$39,+'5.Variables'!$I50,+IF(P$18='5.Variables'!$B$62,+'5.Variables'!$I64,+IF(P$18='5.Variables'!$B$76,+'5.Variables'!$I78,+IF(P$18='5.Variables'!$B$90,+'5.Variables'!$I92,+IF(P$18='5.Variables'!$B$104,+'5.Variables'!$I106,0))))))</f>
        <v>0</v>
      </c>
      <c r="Q26" s="245"/>
      <c r="R26" s="558">
        <f t="shared" si="1"/>
        <v>16635815.677127084</v>
      </c>
      <c r="S26" s="265"/>
      <c r="T26" s="245"/>
      <c r="U26"/>
      <c r="V26"/>
      <c r="W26"/>
      <c r="X26"/>
      <c r="Y26"/>
      <c r="Z26"/>
      <c r="AA26"/>
      <c r="AB26"/>
      <c r="AC26"/>
      <c r="AD26" s="261"/>
      <c r="AE26" s="245"/>
      <c r="AF26" s="245"/>
      <c r="AG26" s="245"/>
      <c r="AH26" s="245"/>
      <c r="AI26" s="245"/>
      <c r="AJ26" s="245"/>
      <c r="AK26" s="245"/>
      <c r="AL26" s="245"/>
      <c r="AM26" s="245"/>
    </row>
    <row r="27" spans="1:39" ht="13.5" thickBot="1" x14ac:dyDescent="0.25">
      <c r="A27" s="503">
        <f t="shared" si="2"/>
        <v>8</v>
      </c>
      <c r="B27" s="262" t="str">
        <f>CONCATENATE('3. Consumption by Rate Class'!B32,"-",'3. Consumption by Rate Class'!C32)</f>
        <v>2005-August</v>
      </c>
      <c r="C27" s="697">
        <v>15704074.029739005</v>
      </c>
      <c r="D27" s="703">
        <v>-67800</v>
      </c>
      <c r="E27" s="703"/>
      <c r="F27" s="703"/>
      <c r="G27" s="703"/>
      <c r="H27" s="704"/>
      <c r="I27" s="704"/>
      <c r="J27" s="263">
        <f t="shared" si="0"/>
        <v>15636274.029739005</v>
      </c>
      <c r="K27" s="725">
        <f>IF(K$18='5.Variables'!$B$16,+'5.Variables'!$J27,+IF(K$18='5.Variables'!$B$39,+'5.Variables'!$J50,+IF(K$18='5.Variables'!$B$62,+'5.Variables'!$J64,+IF(K$18='5.Variables'!$B$76,+'5.Variables'!$J78,+IF(K$18='5.Variables'!$B$90,+'5.Variables'!$J92,+IF(K$18='5.Variables'!$B$104,+'5.Variables'!$J106,0))))))</f>
        <v>8.4</v>
      </c>
      <c r="L27" s="725">
        <f>IF(L$18='5.Variables'!$B$16,+'5.Variables'!$J27,+IF(L$18='5.Variables'!$B$39,+'5.Variables'!$J50,+IF(L$18='5.Variables'!$B$62,+'5.Variables'!$J64,+IF(L$18='5.Variables'!$B$76,+'5.Variables'!$J78,+IF(L$18='5.Variables'!$B$90,+'5.Variables'!$J92,+IF(L$18='5.Variables'!$B$104,+'5.Variables'!$J106,0))))))</f>
        <v>115.4</v>
      </c>
      <c r="M27" s="725">
        <f>IF(M$18='5.Variables'!$B$16,+'5.Variables'!$J26,+IF(M$18='5.Variables'!$B$39,+'5.Variables'!$J50,+IF(M$18='5.Variables'!$B$62,+'5.Variables'!$J64,+IF(M$18='5.Variables'!$B$76,+'5.Variables'!$J78,+IF(M$18='5.Variables'!$B$90,+'5.Variables'!$J92,+IF(M$18='5.Variables'!$B$104,+'5.Variables'!$J106,0))))))</f>
        <v>0</v>
      </c>
      <c r="N27" s="725">
        <f>IF(N$18='5.Variables'!$B$16,+'5.Variables'!$J26,+IF(N$18='5.Variables'!$B$39,+'5.Variables'!$J50,+IF(N$18='5.Variables'!$B$62,+'5.Variables'!$J64,+IF(N$18='5.Variables'!$B$76,+'5.Variables'!$J78,+IF(N$18='5.Variables'!$B$90,+'5.Variables'!$J92,+IF(N$18='5.Variables'!$B$104,+'5.Variables'!$J106,0))))))</f>
        <v>0</v>
      </c>
      <c r="O27" s="725">
        <f>IF(O$18='5.Variables'!$B$16,+'5.Variables'!$J26,+IF(O$18='5.Variables'!$B$39,+'5.Variables'!$J50,+IF(O$18='5.Variables'!$B$62,+'5.Variables'!$J64,+IF(O$18='5.Variables'!$B$76,+'5.Variables'!$J78,+IF(O$18='5.Variables'!$B$90,+'5.Variables'!$J92,+IF(O$18='5.Variables'!$B$104,+'5.Variables'!$J106,0))))))</f>
        <v>31</v>
      </c>
      <c r="P27" s="725">
        <f>IF(P$18='5.Variables'!$B$16,+'5.Variables'!$J26,+IF(P$18='5.Variables'!$B$39,+'5.Variables'!$J50,+IF(P$18='5.Variables'!$B$62,+'5.Variables'!$J64,+IF(P$18='5.Variables'!$B$76,+'5.Variables'!$J78,+IF(P$18='5.Variables'!$B$90,+'5.Variables'!$J92,+IF(P$18='5.Variables'!$B$104,+'5.Variables'!$J106,0))))))</f>
        <v>0</v>
      </c>
      <c r="Q27" s="245"/>
      <c r="R27" s="558">
        <f t="shared" si="1"/>
        <v>16311860.14691373</v>
      </c>
      <c r="S27" s="265"/>
      <c r="T27" s="245"/>
      <c r="U27" t="s">
        <v>13</v>
      </c>
      <c r="V27"/>
      <c r="W27"/>
      <c r="X27"/>
      <c r="Y27"/>
      <c r="Z27"/>
      <c r="AA27"/>
      <c r="AB27"/>
      <c r="AC27"/>
      <c r="AD27" s="261"/>
      <c r="AE27" s="245"/>
      <c r="AF27" s="245"/>
      <c r="AG27" s="245"/>
      <c r="AH27" s="245"/>
      <c r="AI27" s="245"/>
      <c r="AJ27" s="245"/>
      <c r="AK27" s="245"/>
      <c r="AL27" s="245"/>
      <c r="AM27" s="245"/>
    </row>
    <row r="28" spans="1:39" x14ac:dyDescent="0.2">
      <c r="A28" s="503">
        <f t="shared" si="2"/>
        <v>9</v>
      </c>
      <c r="B28" s="262" t="str">
        <f>CONCATENATE('3. Consumption by Rate Class'!B33,"-",'3. Consumption by Rate Class'!C33)</f>
        <v>2005-September</v>
      </c>
      <c r="C28" s="697">
        <v>15074613.851820258</v>
      </c>
      <c r="D28" s="703">
        <v>-58200</v>
      </c>
      <c r="E28" s="703"/>
      <c r="F28" s="703"/>
      <c r="G28" s="703"/>
      <c r="H28" s="704"/>
      <c r="I28" s="704"/>
      <c r="J28" s="263">
        <f t="shared" si="0"/>
        <v>15016413.851820258</v>
      </c>
      <c r="K28" s="725">
        <f>IF(K$18='5.Variables'!$B$16,+'5.Variables'!$K27,+IF(K$18='5.Variables'!$B$39,+'5.Variables'!$K50,+IF(K$18='5.Variables'!$B$62,+'5.Variables'!$K64,+IF(K$18='5.Variables'!$B$76,+'5.Variables'!$K78,+IF(K$18='5.Variables'!$B$90,+'5.Variables'!$K92,+IF(K$18='5.Variables'!$B$104,+'5.Variables'!$K106,0))))))</f>
        <v>59.2</v>
      </c>
      <c r="L28" s="725">
        <f>IF(L$18='5.Variables'!$B$16,+'5.Variables'!$K27,+IF(L$18='5.Variables'!$B$39,+'5.Variables'!$K50,+IF(L$18='5.Variables'!$B$62,+'5.Variables'!$K64,+IF(L$18='5.Variables'!$B$76,+'5.Variables'!$K78,+IF(L$18='5.Variables'!$B$90,+'5.Variables'!$K92,+IF(L$18='5.Variables'!$B$104,+'5.Variables'!$K106,0))))))</f>
        <v>33.1</v>
      </c>
      <c r="M28" s="725">
        <f>IF(M$18='5.Variables'!$B$16,+'5.Variables'!$K26,+IF(M$18='5.Variables'!$B$39,+'5.Variables'!$K50,+IF(M$18='5.Variables'!$B$62,+'5.Variables'!$K64,+IF(M$18='5.Variables'!$B$76,+'5.Variables'!$K78,+IF(M$18='5.Variables'!$B$90,+'5.Variables'!$K92,+IF(M$18='5.Variables'!$B$104,+'5.Variables'!$K106,0))))))</f>
        <v>0</v>
      </c>
      <c r="N28" s="725">
        <f>IF(N$18='5.Variables'!$B$16,+'5.Variables'!$K26,+IF(N$18='5.Variables'!$B$39,+'5.Variables'!$K50,+IF(N$18='5.Variables'!$B$62,+'5.Variables'!$K64,+IF(N$18='5.Variables'!$B$76,+'5.Variables'!$K78,+IF(N$18='5.Variables'!$B$90,+'5.Variables'!$K92,+IF(N$18='5.Variables'!$B$104,+'5.Variables'!$K106,0))))))</f>
        <v>0</v>
      </c>
      <c r="O28" s="725">
        <f>IF(O$18='5.Variables'!$B$16,+'5.Variables'!$K26,+IF(O$18='5.Variables'!$B$39,+'5.Variables'!$K50,+IF(O$18='5.Variables'!$B$62,+'5.Variables'!$K64,+IF(O$18='5.Variables'!$B$76,+'5.Variables'!$K78,+IF(O$18='5.Variables'!$B$90,+'5.Variables'!$K92,+IF(O$18='5.Variables'!$B$104,+'5.Variables'!$K106,0))))))</f>
        <v>30</v>
      </c>
      <c r="P28" s="725">
        <f>IF(P$18='5.Variables'!$B$16,+'5.Variables'!$K26,+IF(P$18='5.Variables'!$B$39,+'5.Variables'!$K50,+IF(P$18='5.Variables'!$B$62,+'5.Variables'!$K64,+IF(P$18='5.Variables'!$B$76,+'5.Variables'!$K78,+IF(P$18='5.Variables'!$B$90,+'5.Variables'!$K92,+IF(P$18='5.Variables'!$B$104,+'5.Variables'!$K106,0))))))</f>
        <v>0</v>
      </c>
      <c r="Q28" s="245"/>
      <c r="R28" s="558">
        <f t="shared" si="1"/>
        <v>14409925.667981625</v>
      </c>
      <c r="S28" s="265"/>
      <c r="T28" s="245"/>
      <c r="U28" s="548"/>
      <c r="V28" s="548" t="s">
        <v>18</v>
      </c>
      <c r="W28" s="548" t="s">
        <v>19</v>
      </c>
      <c r="X28" s="548" t="s">
        <v>20</v>
      </c>
      <c r="Y28" s="548" t="s">
        <v>21</v>
      </c>
      <c r="Z28" s="548" t="s">
        <v>22</v>
      </c>
      <c r="AA28"/>
      <c r="AB28"/>
      <c r="AC28"/>
      <c r="AD28" s="261"/>
      <c r="AE28" s="245"/>
      <c r="AF28" s="245"/>
      <c r="AG28" s="245"/>
      <c r="AH28" s="245"/>
      <c r="AI28" s="245"/>
      <c r="AJ28" s="245"/>
      <c r="AK28" s="245"/>
      <c r="AL28" s="245"/>
      <c r="AM28" s="245"/>
    </row>
    <row r="29" spans="1:39" x14ac:dyDescent="0.2">
      <c r="A29" s="503">
        <f t="shared" si="2"/>
        <v>10</v>
      </c>
      <c r="B29" s="262" t="str">
        <f>CONCATENATE('3. Consumption by Rate Class'!B34,"-",'3. Consumption by Rate Class'!C34)</f>
        <v>2005-October</v>
      </c>
      <c r="C29" s="697">
        <v>14827971.713964712</v>
      </c>
      <c r="D29" s="703">
        <v>-56400</v>
      </c>
      <c r="E29" s="703"/>
      <c r="F29" s="703"/>
      <c r="G29" s="703"/>
      <c r="H29" s="704"/>
      <c r="I29" s="704"/>
      <c r="J29" s="263">
        <f t="shared" si="0"/>
        <v>14771571.713964712</v>
      </c>
      <c r="K29" s="725">
        <f>IF(K$18='5.Variables'!$B$16,+'5.Variables'!$L27,+IF(K$18='5.Variables'!$B$39,+'5.Variables'!$L50,+IF(K$18='5.Variables'!$B$62,+'5.Variables'!$L64,+IF(K$18='5.Variables'!$B$76,+'5.Variables'!$L78,+IF(K$18='5.Variables'!$B$90,+'5.Variables'!$L92,+IF(K$18='5.Variables'!$B$104,+'5.Variables'!$L106,0))))))</f>
        <v>269.7</v>
      </c>
      <c r="L29" s="725">
        <f>IF(L$18='5.Variables'!$B$16,+'5.Variables'!$L27,+IF(L$18='5.Variables'!$B$39,+'5.Variables'!$L50,+IF(L$18='5.Variables'!$B$62,+'5.Variables'!$L64,+IF(L$18='5.Variables'!$B$76,+'5.Variables'!$L78,+IF(L$18='5.Variables'!$B$90,+'5.Variables'!$L92,+IF(L$18='5.Variables'!$B$104,+'5.Variables'!$L106,0))))))</f>
        <v>6.4</v>
      </c>
      <c r="M29" s="725">
        <f>IF(M$18='5.Variables'!$B$16,+'5.Variables'!$L26,+IF(M$18='5.Variables'!$B$39,+'5.Variables'!$L50,+IF(M$18='5.Variables'!$B$62,+'5.Variables'!$L64,+IF(M$18='5.Variables'!$B$76,+'5.Variables'!$L78,+IF(M$18='5.Variables'!$B$90,+'5.Variables'!$L92,+IF(M$18='5.Variables'!$B$104,+'5.Variables'!$L106,0))))))</f>
        <v>0</v>
      </c>
      <c r="N29" s="725">
        <f>IF(N$18='5.Variables'!$B$16,+'5.Variables'!$L26,+IF(N$18='5.Variables'!$B$39,+'5.Variables'!$L50,+IF(N$18='5.Variables'!$B$62,+'5.Variables'!$L64,+IF(N$18='5.Variables'!$B$76,+'5.Variables'!$L78,+IF(N$18='5.Variables'!$B$90,+'5.Variables'!$L92,+IF(N$18='5.Variables'!$B$104,+'5.Variables'!$L106,0))))))</f>
        <v>0</v>
      </c>
      <c r="O29" s="725">
        <f>IF(O$18='5.Variables'!$B$16,+'5.Variables'!$L26,+IF(O$18='5.Variables'!$B$39,+'5.Variables'!$L50,+IF(O$18='5.Variables'!$B$62,+'5.Variables'!$L64,+IF(O$18='5.Variables'!$B$76,+'5.Variables'!$L78,+IF(O$18='5.Variables'!$B$90,+'5.Variables'!$L92,+IF(O$18='5.Variables'!$B$104,+'5.Variables'!$L106,0))))))</f>
        <v>31</v>
      </c>
      <c r="P29" s="725">
        <f>IF(P$18='5.Variables'!$B$16,+'5.Variables'!$L26,+IF(P$18='5.Variables'!$B$39,+'5.Variables'!$L50,+IF(P$18='5.Variables'!$B$62,+'5.Variables'!$L64,+IF(P$18='5.Variables'!$B$76,+'5.Variables'!$L78,+IF(P$18='5.Variables'!$B$90,+'5.Variables'!$L92,+IF(P$18='5.Variables'!$B$104,+'5.Variables'!$L106,0))))))</f>
        <v>0</v>
      </c>
      <c r="Q29" s="245"/>
      <c r="R29" s="558">
        <f t="shared" si="1"/>
        <v>15178306.24186966</v>
      </c>
      <c r="S29" s="265"/>
      <c r="T29" s="245"/>
      <c r="U29" s="546" t="s">
        <v>14</v>
      </c>
      <c r="V29" s="546">
        <v>3</v>
      </c>
      <c r="W29" s="546">
        <v>570617743965396</v>
      </c>
      <c r="X29" s="546">
        <v>190205914655132</v>
      </c>
      <c r="Y29" s="546">
        <v>218.83647268465259</v>
      </c>
      <c r="Z29" s="546">
        <v>1.3881052297968255E-47</v>
      </c>
      <c r="AA29"/>
      <c r="AB29"/>
      <c r="AC29"/>
      <c r="AD29" s="261"/>
      <c r="AE29" s="245"/>
      <c r="AF29" s="245"/>
      <c r="AG29" s="245"/>
      <c r="AH29" s="245"/>
      <c r="AI29" s="245"/>
      <c r="AJ29" s="245"/>
      <c r="AK29" s="245"/>
      <c r="AL29" s="245"/>
      <c r="AM29" s="245"/>
    </row>
    <row r="30" spans="1:39" x14ac:dyDescent="0.2">
      <c r="A30" s="503">
        <f t="shared" si="2"/>
        <v>11</v>
      </c>
      <c r="B30" s="262" t="str">
        <f>CONCATENATE('3. Consumption by Rate Class'!B35,"-",'3. Consumption by Rate Class'!C35)</f>
        <v>2005-November</v>
      </c>
      <c r="C30" s="697">
        <v>16770749.158282166</v>
      </c>
      <c r="D30" s="703">
        <v>-62400</v>
      </c>
      <c r="E30" s="703"/>
      <c r="F30" s="703"/>
      <c r="G30" s="703"/>
      <c r="H30" s="704"/>
      <c r="I30" s="704"/>
      <c r="J30" s="263">
        <f t="shared" si="0"/>
        <v>16708349.158282166</v>
      </c>
      <c r="K30" s="725">
        <f>IF(K$18='5.Variables'!$B$16,+'5.Variables'!$M27,+IF(K$18='5.Variables'!$B$39,+'5.Variables'!$M50,+IF(K$18='5.Variables'!$B$62,+'5.Variables'!$M64,+IF(K$18='5.Variables'!$B$76,+'5.Variables'!$M78,+IF(K$18='5.Variables'!$B$90,+'5.Variables'!$M92,+IF(K$18='5.Variables'!$B$104,+'5.Variables'!$M106,0))))))</f>
        <v>484.2</v>
      </c>
      <c r="L30" s="725">
        <f>IF(L$18='5.Variables'!$B$16,+'5.Variables'!$M27,+IF(L$18='5.Variables'!$B$39,+'5.Variables'!$M50,+IF(L$18='5.Variables'!$B$62,+'5.Variables'!$M64,+IF(L$18='5.Variables'!$B$76,+'5.Variables'!$M78,+IF(L$18='5.Variables'!$B$90,+'5.Variables'!$M92,+IF(L$18='5.Variables'!$B$104,+'5.Variables'!$M106,0))))))</f>
        <v>0</v>
      </c>
      <c r="M30" s="725">
        <f>IF(M$18='5.Variables'!$B$16,+'5.Variables'!$M26,+IF(M$18='5.Variables'!$B$39,+'5.Variables'!$M50,+IF(M$18='5.Variables'!$B$62,+'5.Variables'!$M64,+IF(M$18='5.Variables'!$B$76,+'5.Variables'!$M78,+IF(M$18='5.Variables'!$B$90,+'5.Variables'!$M92,+IF(M$18='5.Variables'!$B$104,+'5.Variables'!$M106,0))))))</f>
        <v>0</v>
      </c>
      <c r="N30" s="725">
        <f>IF(N$18='5.Variables'!$B$16,+'5.Variables'!$M26,+IF(N$18='5.Variables'!$B$39,+'5.Variables'!$M50,+IF(N$18='5.Variables'!$B$62,+'5.Variables'!$M64,+IF(N$18='5.Variables'!$B$76,+'5.Variables'!$M78,+IF(N$18='5.Variables'!$B$90,+'5.Variables'!$M92,+IF(N$18='5.Variables'!$B$104,+'5.Variables'!$M106,0))))))</f>
        <v>0</v>
      </c>
      <c r="O30" s="725">
        <f>IF(O$18='5.Variables'!$B$16,+'5.Variables'!$M26,+IF(O$18='5.Variables'!$B$39,+'5.Variables'!$M50,+IF(O$18='5.Variables'!$B$62,+'5.Variables'!$M64,+IF(O$18='5.Variables'!$B$76,+'5.Variables'!$M78,+IF(O$18='5.Variables'!$B$90,+'5.Variables'!$M92,+IF(O$18='5.Variables'!$B$104,+'5.Variables'!$M106,0))))))</f>
        <v>30</v>
      </c>
      <c r="P30" s="725">
        <f>IF(P$18='5.Variables'!$B$16,+'5.Variables'!$M26,+IF(P$18='5.Variables'!$B$39,+'5.Variables'!$M50,+IF(P$18='5.Variables'!$B$62,+'5.Variables'!$M64,+IF(P$18='5.Variables'!$B$76,+'5.Variables'!$M78,+IF(P$18='5.Variables'!$B$90,+'5.Variables'!$M92,+IF(P$18='5.Variables'!$B$104,+'5.Variables'!$M106,0))))))</f>
        <v>0</v>
      </c>
      <c r="Q30" s="245"/>
      <c r="R30" s="558">
        <f t="shared" si="1"/>
        <v>16533850.949863851</v>
      </c>
      <c r="S30" s="265"/>
      <c r="T30" s="245"/>
      <c r="U30" s="546" t="s">
        <v>15</v>
      </c>
      <c r="V30" s="546">
        <v>116</v>
      </c>
      <c r="W30" s="546">
        <v>100823623362773.62</v>
      </c>
      <c r="X30" s="546">
        <v>869169166920.46228</v>
      </c>
      <c r="Y30" s="546"/>
      <c r="Z30" s="546"/>
      <c r="AA30"/>
      <c r="AB30"/>
      <c r="AC30"/>
      <c r="AD30" s="261"/>
      <c r="AE30" s="245"/>
      <c r="AF30" s="245"/>
      <c r="AG30" s="245"/>
      <c r="AH30" s="245"/>
      <c r="AI30" s="245"/>
      <c r="AJ30" s="245"/>
      <c r="AK30" s="245"/>
      <c r="AL30" s="245"/>
      <c r="AM30" s="245"/>
    </row>
    <row r="31" spans="1:39" ht="13.5" thickBot="1" x14ac:dyDescent="0.25">
      <c r="A31" s="503">
        <f t="shared" si="2"/>
        <v>12</v>
      </c>
      <c r="B31" s="522" t="str">
        <f>CONCATENATE('3. Consumption by Rate Class'!B36,"-",'3. Consumption by Rate Class'!C36)</f>
        <v>2005-December</v>
      </c>
      <c r="C31" s="698">
        <v>20488551.590970002</v>
      </c>
      <c r="D31" s="705">
        <v>-51000</v>
      </c>
      <c r="E31" s="705"/>
      <c r="F31" s="705"/>
      <c r="G31" s="705"/>
      <c r="H31" s="706"/>
      <c r="I31" s="706"/>
      <c r="J31" s="263">
        <f t="shared" si="0"/>
        <v>20437551.590970002</v>
      </c>
      <c r="K31" s="725">
        <f>IF(K$18='5.Variables'!$B$16,+'5.Variables'!$N27,+IF(K$18='5.Variables'!$B$39,+'5.Variables'!$N50,+IF(K$18='5.Variables'!$B$62,+'5.Variables'!$N64,+IF(K$18='5.Variables'!$B$76,+'5.Variables'!$N78,+IF(K$18='5.Variables'!$B$90,+'5.Variables'!$N92,+IF(K$18='5.Variables'!$B$104,+'5.Variables'!$N106,0))))))</f>
        <v>762</v>
      </c>
      <c r="L31" s="725">
        <f>IF(L$18='5.Variables'!$B$16,+'5.Variables'!$N27,+IF(L$18='5.Variables'!$B$39,+'5.Variables'!$N50,+IF(L$18='5.Variables'!$B$62,+'5.Variables'!$N64,+IF(L$18='5.Variables'!$B$76,+'5.Variables'!$N78,+IF(L$18='5.Variables'!$B$90,+'5.Variables'!$N92,+IF(L$18='5.Variables'!$B$104,+'5.Variables'!$N106,0))))))</f>
        <v>0</v>
      </c>
      <c r="M31" s="725">
        <f>IF(M$18='5.Variables'!$B$16,+'5.Variables'!$N26,+IF(M$18='5.Variables'!$B$39,+'5.Variables'!$N50,+IF(M$18='5.Variables'!$B$62,+'5.Variables'!$N64,+IF(M$18='5.Variables'!$B$76,+'5.Variables'!$N78,+IF(M$18='5.Variables'!$B$90,+'5.Variables'!$N92,+IF(M$18='5.Variables'!$B$104,+'5.Variables'!$N106,0))))))</f>
        <v>1</v>
      </c>
      <c r="N31" s="725">
        <f>IF(N$18='5.Variables'!$B$16,+'5.Variables'!$N26,+IF(N$18='5.Variables'!$B$39,+'5.Variables'!$N50,+IF(N$18='5.Variables'!$B$62,+'5.Variables'!$N64,+IF(N$18='5.Variables'!$B$76,+'5.Variables'!$N78,+IF(N$18='5.Variables'!$B$90,+'5.Variables'!$N92,+IF(N$18='5.Variables'!$B$104,+'5.Variables'!$N106,0))))))</f>
        <v>1</v>
      </c>
      <c r="O31" s="725">
        <f>IF(O$18='5.Variables'!$B$16,+'5.Variables'!$N26,+IF(O$18='5.Variables'!$B$39,+'5.Variables'!$N50,+IF(O$18='5.Variables'!$B$62,+'5.Variables'!$N64,+IF(O$18='5.Variables'!$B$76,+'5.Variables'!$N78,+IF(O$18='5.Variables'!$B$90,+'5.Variables'!$N92,+IF(O$18='5.Variables'!$B$104,+'5.Variables'!$N106,0))))))</f>
        <v>31</v>
      </c>
      <c r="P31" s="725">
        <f>IF(P$18='5.Variables'!$B$16,+'5.Variables'!$N26,+IF(P$18='5.Variables'!$B$39,+'5.Variables'!$N50,+IF(P$18='5.Variables'!$B$62,+'5.Variables'!$N64,+IF(P$18='5.Variables'!$B$76,+'5.Variables'!$N78,+IF(P$18='5.Variables'!$B$90,+'5.Variables'!$N92,+IF(P$18='5.Variables'!$B$104,+'5.Variables'!$N106,0))))))</f>
        <v>0</v>
      </c>
      <c r="Q31" s="245"/>
      <c r="R31" s="558">
        <f t="shared" si="1"/>
        <v>19992453.860119902</v>
      </c>
      <c r="S31" s="265">
        <f>SUM(R20:R31)</f>
        <v>203844303.0754298</v>
      </c>
      <c r="T31" s="245"/>
      <c r="U31" s="547" t="s">
        <v>16</v>
      </c>
      <c r="V31" s="547">
        <v>119</v>
      </c>
      <c r="W31" s="547">
        <v>671441367328169.62</v>
      </c>
      <c r="X31" s="547"/>
      <c r="Y31" s="547"/>
      <c r="Z31" s="547"/>
      <c r="AA31"/>
      <c r="AB31"/>
      <c r="AC31"/>
      <c r="AD31" s="261"/>
      <c r="AE31" s="245"/>
      <c r="AF31" s="245"/>
      <c r="AG31" s="245"/>
      <c r="AH31" s="245"/>
      <c r="AI31" s="245"/>
      <c r="AJ31" s="245"/>
      <c r="AK31" s="245"/>
      <c r="AL31" s="245"/>
      <c r="AM31" s="245"/>
    </row>
    <row r="32" spans="1:39" ht="13.5" thickBot="1" x14ac:dyDescent="0.25">
      <c r="A32" s="503">
        <f t="shared" si="2"/>
        <v>13</v>
      </c>
      <c r="B32" s="262" t="str">
        <f>CONCATENATE('3. Consumption by Rate Class'!B37,"-",'3. Consumption by Rate Class'!C37)</f>
        <v>2006-January</v>
      </c>
      <c r="C32" s="697">
        <v>20121798.356498003</v>
      </c>
      <c r="D32" s="703">
        <v>-43800</v>
      </c>
      <c r="E32" s="703"/>
      <c r="F32" s="703"/>
      <c r="G32" s="703"/>
      <c r="H32" s="704"/>
      <c r="I32" s="704"/>
      <c r="J32" s="263">
        <f t="shared" si="0"/>
        <v>20077998.356498003</v>
      </c>
      <c r="K32" s="725">
        <f>IF(K$18='5.Variables'!$B$16,+'5.Variables'!$C28,+IF(K$18='5.Variables'!$B$39,+'5.Variables'!$C51,+IF(K$18='5.Variables'!$B$62,+'5.Variables'!$C65,+IF(K$18='5.Variables'!$B$76,+'5.Variables'!$C79,+IF(K$18='5.Variables'!$B$90,+'5.Variables'!$C93,+IF(K$18='5.Variables'!$B$104,+'5.Variables'!$C107,0))))))</f>
        <v>733.5</v>
      </c>
      <c r="L32" s="725">
        <f>IF(L$18='5.Variables'!$B$16,+'5.Variables'!$C27,+IF(L$18='5.Variables'!$B$39,+'5.Variables'!$C51,+IF(L$18='5.Variables'!$B$62,+'5.Variables'!$C65,+IF(L$18='5.Variables'!$B$76,+'5.Variables'!$C79,+IF(L$18='5.Variables'!$B$90,+'5.Variables'!$C93,+IF(L$18='5.Variables'!$B$104,+'5.Variables'!$C107,0))))))</f>
        <v>0</v>
      </c>
      <c r="M32" s="725">
        <f>IF(M$18='5.Variables'!$B$16,+'5.Variables'!$C27,+IF(M$18='5.Variables'!$B$39,+'5.Variables'!$C51,+IF(M$18='5.Variables'!$B$62,+'5.Variables'!$C65,+IF(M$18='5.Variables'!$B$76,+'5.Variables'!$C79,+IF(M$18='5.Variables'!$B$90,+'5.Variables'!$C93,+IF(M$18='5.Variables'!$B$104,+'5.Variables'!$C107,0))))))</f>
        <v>1</v>
      </c>
      <c r="N32" s="725">
        <f>IF(N$18='5.Variables'!$B$16,+'5.Variables'!$C27,+IF(N$18='5.Variables'!$B$39,+'5.Variables'!$C51,+IF(N$18='5.Variables'!$B$62,+'5.Variables'!$C65,+IF(N$18='5.Variables'!$B$76,+'5.Variables'!$C79,+IF(N$18='5.Variables'!$B$90,+'5.Variables'!$C93,+IF(N$18='5.Variables'!$B$104,+'5.Variables'!$C107,0))))))</f>
        <v>1</v>
      </c>
      <c r="O32" s="725">
        <f>IF(O$18='5.Variables'!$B$16,+'5.Variables'!$C27,+IF(O$18='5.Variables'!$B$39,+'5.Variables'!$C51,+IF(O$18='5.Variables'!$B$62,+'5.Variables'!$C65,+IF(O$18='5.Variables'!$B$76,+'5.Variables'!$C79,+IF(O$18='5.Variables'!$B$90,+'5.Variables'!$C93,+IF(O$18='5.Variables'!$B$104,+'5.Variables'!$C107,0))))))</f>
        <v>31</v>
      </c>
      <c r="P32" s="725">
        <f>IF(P$18='5.Variables'!$B$16,+'5.Variables'!$C27,+IF(P$18='5.Variables'!$B$39,+'5.Variables'!$C51,+IF(P$18='5.Variables'!$B$62,+'5.Variables'!$C65,+IF(P$18='5.Variables'!$B$76,+'5.Variables'!$C79,+IF(P$18='5.Variables'!$B$90,+'5.Variables'!$C93,+IF(P$18='5.Variables'!$B$104,+'5.Variables'!$C107,0))))))</f>
        <v>0</v>
      </c>
      <c r="Q32" s="245"/>
      <c r="R32" s="558">
        <f t="shared" si="1"/>
        <v>19788947.169662017</v>
      </c>
      <c r="S32" s="265"/>
      <c r="T32" s="245"/>
      <c r="U32"/>
      <c r="V32"/>
      <c r="W32"/>
      <c r="X32"/>
      <c r="Y32"/>
      <c r="Z32"/>
      <c r="AA32"/>
      <c r="AB32"/>
      <c r="AC32"/>
      <c r="AD32" s="261"/>
      <c r="AE32" s="245"/>
      <c r="AF32" s="245"/>
      <c r="AG32" s="245"/>
      <c r="AH32" s="245"/>
      <c r="AI32" s="245"/>
      <c r="AJ32" s="245"/>
      <c r="AK32" s="245"/>
      <c r="AL32" s="245"/>
      <c r="AM32" s="245"/>
    </row>
    <row r="33" spans="1:39" x14ac:dyDescent="0.2">
      <c r="A33" s="503">
        <f t="shared" si="2"/>
        <v>14</v>
      </c>
      <c r="B33" s="262" t="str">
        <f>CONCATENATE('3. Consumption by Rate Class'!B38,"-",'3. Consumption by Rate Class'!C38)</f>
        <v>2006-February</v>
      </c>
      <c r="C33" s="697">
        <v>20144052.542633999</v>
      </c>
      <c r="D33" s="703">
        <v>-40200</v>
      </c>
      <c r="E33" s="703"/>
      <c r="F33" s="703"/>
      <c r="G33" s="703"/>
      <c r="H33" s="704"/>
      <c r="I33" s="704"/>
      <c r="J33" s="263">
        <f t="shared" si="0"/>
        <v>20103852.542633999</v>
      </c>
      <c r="K33" s="725">
        <f>IF(K$18='5.Variables'!$B$16,+'5.Variables'!$D28,+IF(K$18='5.Variables'!$B$39,+'5.Variables'!$D51,+IF(K$18='5.Variables'!$B$62,+'5.Variables'!$D65,+IF(K$18='5.Variables'!$B$76,+'5.Variables'!$D79,+IF(K$18='5.Variables'!$B$90,+'5.Variables'!$D93,+IF(K$18='5.Variables'!$B$104,+'5.Variables'!$D107,0))))))</f>
        <v>720.9</v>
      </c>
      <c r="L33" s="725">
        <f>IF(L$18='5.Variables'!$B$16,+'5.Variables'!$D27,+IF(L$18='5.Variables'!$B$39,+'5.Variables'!$D51,+IF(L$18='5.Variables'!$B$62,+'5.Variables'!$D65,+IF(L$18='5.Variables'!$B$76,+'5.Variables'!$D79,+IF(L$18='5.Variables'!$B$90,+'5.Variables'!$D93,+IF(L$18='5.Variables'!$B$104,+'5.Variables'!$D107,0))))))</f>
        <v>0</v>
      </c>
      <c r="M33" s="725">
        <f>IF(M$18='5.Variables'!$B$16,+'5.Variables'!$D27,+IF(M$18='5.Variables'!$B$39,+'5.Variables'!$D51,+IF(M$18='5.Variables'!$B$62,+'5.Variables'!$D65,+IF(M$18='5.Variables'!$B$76,+'5.Variables'!$D79,+IF(M$18='5.Variables'!$B$90,+'5.Variables'!$D93,+IF(M$18='5.Variables'!$B$104,+'5.Variables'!$D107,0))))))</f>
        <v>1</v>
      </c>
      <c r="N33" s="725">
        <f>IF(N$18='5.Variables'!$B$16,+'5.Variables'!$D27,+IF(N$18='5.Variables'!$B$39,+'5.Variables'!$D51,+IF(N$18='5.Variables'!$B$62,+'5.Variables'!$D65,+IF(N$18='5.Variables'!$B$76,+'5.Variables'!$D79,+IF(N$18='5.Variables'!$B$90,+'5.Variables'!$D93,+IF(N$18='5.Variables'!$B$104,+'5.Variables'!$D107,0))))))</f>
        <v>0</v>
      </c>
      <c r="O33" s="725">
        <f>IF(O$18='5.Variables'!$B$16,+'5.Variables'!$D27,+IF(O$18='5.Variables'!$B$39,+'5.Variables'!$D51,+IF(O$18='5.Variables'!$B$62,+'5.Variables'!$D65,+IF(O$18='5.Variables'!$B$76,+'5.Variables'!$D79,+IF(O$18='5.Variables'!$B$90,+'5.Variables'!$D93,+IF(O$18='5.Variables'!$B$104,+'5.Variables'!$D107,0))))))</f>
        <v>28</v>
      </c>
      <c r="P33" s="725">
        <f>IF(P$18='5.Variables'!$B$16,+'5.Variables'!$D27,+IF(P$18='5.Variables'!$B$39,+'5.Variables'!$D51,+IF(P$18='5.Variables'!$B$62,+'5.Variables'!$D65,+IF(P$18='5.Variables'!$B$76,+'5.Variables'!$D79,+IF(P$18='5.Variables'!$B$90,+'5.Variables'!$D93,+IF(P$18='5.Variables'!$B$104,+'5.Variables'!$D107,0))))))</f>
        <v>0</v>
      </c>
      <c r="Q33" s="245"/>
      <c r="R33" s="558">
        <f t="shared" si="1"/>
        <v>19698975.790722743</v>
      </c>
      <c r="S33" s="265"/>
      <c r="T33" s="245"/>
      <c r="U33" s="548"/>
      <c r="V33" s="548" t="s">
        <v>23</v>
      </c>
      <c r="W33" s="548" t="s">
        <v>11</v>
      </c>
      <c r="X33" s="548" t="s">
        <v>24</v>
      </c>
      <c r="Y33" s="548" t="s">
        <v>25</v>
      </c>
      <c r="Z33" s="548" t="s">
        <v>26</v>
      </c>
      <c r="AA33" s="548" t="s">
        <v>27</v>
      </c>
      <c r="AB33" s="548" t="s">
        <v>28</v>
      </c>
      <c r="AC33" s="548" t="s">
        <v>29</v>
      </c>
      <c r="AD33" s="261"/>
      <c r="AE33" s="245"/>
      <c r="AF33" s="245"/>
      <c r="AG33" s="245"/>
      <c r="AH33" s="245"/>
      <c r="AI33" s="245"/>
      <c r="AJ33" s="245"/>
      <c r="AK33" s="245"/>
      <c r="AL33" s="245"/>
      <c r="AM33" s="245"/>
    </row>
    <row r="34" spans="1:39" x14ac:dyDescent="0.2">
      <c r="A34" s="503">
        <f t="shared" si="2"/>
        <v>15</v>
      </c>
      <c r="B34" s="262" t="str">
        <f>CONCATENATE('3. Consumption by Rate Class'!B39,"-",'3. Consumption by Rate Class'!C39)</f>
        <v>2006-March</v>
      </c>
      <c r="C34" s="697">
        <v>18617454.222617</v>
      </c>
      <c r="D34" s="703">
        <v>-41400</v>
      </c>
      <c r="E34" s="707"/>
      <c r="F34" s="703"/>
      <c r="G34" s="703"/>
      <c r="H34" s="704"/>
      <c r="I34" s="704"/>
      <c r="J34" s="263">
        <f t="shared" si="0"/>
        <v>18576054.222617</v>
      </c>
      <c r="K34" s="725">
        <f>IF(K$18='5.Variables'!$B$16,+'5.Variables'!$E28,+IF(K$18='5.Variables'!$B$39,+'5.Variables'!$E51,+IF(K$18='5.Variables'!$B$62,+'5.Variables'!$E65,+IF(K$18='5.Variables'!$B$76,+'5.Variables'!$E79,+IF(K$18='5.Variables'!$B$90,+'5.Variables'!$E93,+IF(K$18='5.Variables'!$B$104,+'5.Variables'!$E107,0))))))</f>
        <v>600.4</v>
      </c>
      <c r="L34" s="725">
        <f>IF(L$18='5.Variables'!$B$16,+'5.Variables'!$E27,+IF(L$18='5.Variables'!$B$39,+'5.Variables'!$E51,+IF(L$18='5.Variables'!$B$62,+'5.Variables'!$E65,+IF(L$18='5.Variables'!$B$76,+'5.Variables'!$E79,+IF(L$18='5.Variables'!$B$90,+'5.Variables'!$E93,+IF(L$18='5.Variables'!$B$104,+'5.Variables'!$E107,0))))))</f>
        <v>0</v>
      </c>
      <c r="M34" s="725">
        <f>IF(M$18='5.Variables'!$B$16,+'5.Variables'!$E27,+IF(M$18='5.Variables'!$B$39,+'5.Variables'!$E51,+IF(M$18='5.Variables'!$B$62,+'5.Variables'!$E65,+IF(M$18='5.Variables'!$B$76,+'5.Variables'!$E79,+IF(M$18='5.Variables'!$B$90,+'5.Variables'!$E93,+IF(M$18='5.Variables'!$B$104,+'5.Variables'!$E107,0))))))</f>
        <v>0</v>
      </c>
      <c r="N34" s="725">
        <f>IF(N$18='5.Variables'!$B$16,+'5.Variables'!$E27,+IF(N$18='5.Variables'!$B$39,+'5.Variables'!$E51,+IF(N$18='5.Variables'!$B$62,+'5.Variables'!$E65,+IF(N$18='5.Variables'!$B$76,+'5.Variables'!$E79,+IF(N$18='5.Variables'!$B$90,+'5.Variables'!$E93,+IF(N$18='5.Variables'!$B$104,+'5.Variables'!$E107,0))))))</f>
        <v>1</v>
      </c>
      <c r="O34" s="725">
        <f>IF(O$18='5.Variables'!$B$16,+'5.Variables'!$E27,+IF(O$18='5.Variables'!$B$39,+'5.Variables'!$E51,+IF(O$18='5.Variables'!$B$62,+'5.Variables'!$E65,+IF(O$18='5.Variables'!$B$76,+'5.Variables'!$E79,+IF(O$18='5.Variables'!$B$90,+'5.Variables'!$E93,+IF(O$18='5.Variables'!$B$104,+'5.Variables'!$E107,0))))))</f>
        <v>31</v>
      </c>
      <c r="P34" s="725">
        <f>IF(P$18='5.Variables'!$B$16,+'5.Variables'!$E27,+IF(P$18='5.Variables'!$B$39,+'5.Variables'!$E51,+IF(P$18='5.Variables'!$B$62,+'5.Variables'!$E65,+IF(P$18='5.Variables'!$B$76,+'5.Variables'!$E79,+IF(P$18='5.Variables'!$B$90,+'5.Variables'!$E93,+IF(P$18='5.Variables'!$B$104,+'5.Variables'!$E107,0))))))</f>
        <v>0</v>
      </c>
      <c r="Q34" s="245"/>
      <c r="R34" s="558">
        <f t="shared" si="1"/>
        <v>17363587.000081602</v>
      </c>
      <c r="S34" s="265"/>
      <c r="T34" s="245"/>
      <c r="U34" s="546" t="s">
        <v>17</v>
      </c>
      <c r="V34" s="546">
        <v>13076379.387768883</v>
      </c>
      <c r="W34" s="546">
        <v>233096.29619605499</v>
      </c>
      <c r="X34" s="546">
        <v>56.098615040929133</v>
      </c>
      <c r="Y34" s="546">
        <v>6.68114823861109E-86</v>
      </c>
      <c r="Z34" s="546">
        <v>12614702.802446071</v>
      </c>
      <c r="AA34" s="546">
        <v>13538055.973091695</v>
      </c>
      <c r="AB34" s="546">
        <v>12614702.802446071</v>
      </c>
      <c r="AC34" s="546">
        <v>13538055.973091695</v>
      </c>
      <c r="AD34" s="261"/>
      <c r="AE34" s="245"/>
      <c r="AF34" s="245"/>
      <c r="AG34" s="245"/>
      <c r="AH34" s="245"/>
      <c r="AI34" s="245"/>
      <c r="AJ34" s="245"/>
      <c r="AK34" s="245"/>
      <c r="AL34" s="245"/>
      <c r="AM34" s="245"/>
    </row>
    <row r="35" spans="1:39" ht="15" x14ac:dyDescent="0.25">
      <c r="A35" s="503">
        <f t="shared" si="2"/>
        <v>16</v>
      </c>
      <c r="B35" s="262" t="str">
        <f>CONCATENATE('3. Consumption by Rate Class'!B40,"-",'3. Consumption by Rate Class'!C40)</f>
        <v>2006-April</v>
      </c>
      <c r="C35" s="697">
        <v>15813969.868452001</v>
      </c>
      <c r="D35" s="703">
        <v>-39000</v>
      </c>
      <c r="E35" s="707"/>
      <c r="F35" s="703"/>
      <c r="G35" s="703"/>
      <c r="H35" s="704"/>
      <c r="I35" s="704"/>
      <c r="J35" s="263">
        <f t="shared" si="0"/>
        <v>15774969.868452001</v>
      </c>
      <c r="K35" s="725">
        <f>IF(K$18='5.Variables'!$B$16,+'5.Variables'!$F28,+IF(K$18='5.Variables'!$B$39,+'5.Variables'!$F51,+IF(K$18='5.Variables'!$B$62,+'5.Variables'!$F65,+IF(K$18='5.Variables'!$B$76,+'5.Variables'!$F79,+IF(K$18='5.Variables'!$B$90,+'5.Variables'!$F93,+IF(K$18='5.Variables'!$B$104,+'5.Variables'!$F107,0))))))</f>
        <v>321.60000000000002</v>
      </c>
      <c r="L35" s="725">
        <f>IF(L$18='5.Variables'!$B$16,+'5.Variables'!$F27,+IF(L$18='5.Variables'!$B$39,+'5.Variables'!$F51,+IF(L$18='5.Variables'!$B$62,+'5.Variables'!$F65,+IF(L$18='5.Variables'!$B$76,+'5.Variables'!$F79,+IF(L$18='5.Variables'!$B$90,+'5.Variables'!$F93,+IF(L$18='5.Variables'!$B$104,+'5.Variables'!$F107,0))))))</f>
        <v>0</v>
      </c>
      <c r="M35" s="725">
        <f>IF(M$18='5.Variables'!$B$16,+'5.Variables'!$F27,+IF(M$18='5.Variables'!$B$39,+'5.Variables'!$F51,+IF(M$18='5.Variables'!$B$62,+'5.Variables'!$F65,+IF(M$18='5.Variables'!$B$76,+'5.Variables'!$F79,+IF(M$18='5.Variables'!$B$90,+'5.Variables'!$F93,+IF(M$18='5.Variables'!$B$104,+'5.Variables'!$F107,0))))))</f>
        <v>0</v>
      </c>
      <c r="N35" s="725">
        <f>IF(N$18='5.Variables'!$B$16,+'5.Variables'!$F27,+IF(N$18='5.Variables'!$B$39,+'5.Variables'!$F51,+IF(N$18='5.Variables'!$B$62,+'5.Variables'!$F65,+IF(N$18='5.Variables'!$B$76,+'5.Variables'!$F79,+IF(N$18='5.Variables'!$B$90,+'5.Variables'!$F93,+IF(N$18='5.Variables'!$B$104,+'5.Variables'!$F107,0))))))</f>
        <v>0</v>
      </c>
      <c r="O35" s="725">
        <f>IF(O$18='5.Variables'!$B$16,+'5.Variables'!$F27,+IF(O$18='5.Variables'!$B$39,+'5.Variables'!$F51,+IF(O$18='5.Variables'!$B$62,+'5.Variables'!$F65,+IF(O$18='5.Variables'!$B$76,+'5.Variables'!$F79,+IF(O$18='5.Variables'!$B$90,+'5.Variables'!$F93,+IF(O$18='5.Variables'!$B$104,+'5.Variables'!$F107,0))))))</f>
        <v>30</v>
      </c>
      <c r="P35" s="725">
        <f>IF(P$18='5.Variables'!$B$16,+'5.Variables'!$F27,+IF(P$18='5.Variables'!$B$39,+'5.Variables'!$F51,+IF(P$18='5.Variables'!$B$62,+'5.Variables'!$F65,+IF(P$18='5.Variables'!$B$76,+'5.Variables'!$F79,+IF(P$18='5.Variables'!$B$90,+'5.Variables'!$F93,+IF(P$18='5.Variables'!$B$104,+'5.Variables'!$F107,0))))))</f>
        <v>0</v>
      </c>
      <c r="Q35" s="245"/>
      <c r="R35" s="558">
        <f t="shared" si="1"/>
        <v>15372791.726409407</v>
      </c>
      <c r="S35" s="265"/>
      <c r="T35" s="519"/>
      <c r="U35" s="803" t="s">
        <v>1</v>
      </c>
      <c r="V35" s="546">
        <v>7140.5856301011318</v>
      </c>
      <c r="W35" s="546">
        <v>589.87638597588216</v>
      </c>
      <c r="X35" s="546">
        <v>12.105223738169922</v>
      </c>
      <c r="Y35" s="546">
        <v>2.6187671189235457E-22</v>
      </c>
      <c r="Z35" s="546">
        <v>5972.261121800705</v>
      </c>
      <c r="AA35" s="546">
        <v>8308.9101384015594</v>
      </c>
      <c r="AB35" s="546">
        <v>5972.261121800705</v>
      </c>
      <c r="AC35" s="546">
        <v>8308.9101384015594</v>
      </c>
      <c r="AD35" s="261"/>
      <c r="AE35" s="245"/>
      <c r="AF35" s="245"/>
      <c r="AG35" s="245"/>
      <c r="AH35" s="245"/>
      <c r="AI35" s="245"/>
      <c r="AJ35" s="245"/>
      <c r="AK35" s="245"/>
      <c r="AL35" s="245"/>
      <c r="AM35" s="245"/>
    </row>
    <row r="36" spans="1:39" ht="15" x14ac:dyDescent="0.25">
      <c r="A36" s="503">
        <f t="shared" si="2"/>
        <v>17</v>
      </c>
      <c r="B36" s="262" t="str">
        <f>CONCATENATE('3. Consumption by Rate Class'!B41,"-",'3. Consumption by Rate Class'!C41)</f>
        <v>2006-May</v>
      </c>
      <c r="C36" s="697">
        <v>14937402.02</v>
      </c>
      <c r="D36" s="703">
        <v>-40800</v>
      </c>
      <c r="E36" s="707"/>
      <c r="F36" s="703"/>
      <c r="G36" s="703"/>
      <c r="H36" s="704"/>
      <c r="I36" s="704"/>
      <c r="J36" s="263">
        <f t="shared" si="0"/>
        <v>14896602.02</v>
      </c>
      <c r="K36" s="725">
        <f>IF(K$18='5.Variables'!$B$16,+'5.Variables'!$G28,+IF(K$18='5.Variables'!$B$39,+'5.Variables'!$G51,+IF(K$18='5.Variables'!$B$62,+'5.Variables'!$G65,+IF(K$18='5.Variables'!$B$76,+'5.Variables'!$G79,+IF(K$18='5.Variables'!$B$90,+'5.Variables'!$G93,+IF(K$18='5.Variables'!$B$104,+'5.Variables'!$G107,0))))))</f>
        <v>128.19999999999999</v>
      </c>
      <c r="L36" s="725">
        <f>IF(L$18='5.Variables'!$B$16,+'5.Variables'!$G27,+IF(L$18='5.Variables'!$B$39,+'5.Variables'!$G51,+IF(L$18='5.Variables'!$B$62,+'5.Variables'!$G65,+IF(L$18='5.Variables'!$B$76,+'5.Variables'!$G79,+IF(L$18='5.Variables'!$B$90,+'5.Variables'!$G93,+IF(L$18='5.Variables'!$B$104,+'5.Variables'!$G107,0))))))</f>
        <v>16.899999999999999</v>
      </c>
      <c r="M36" s="725">
        <f>IF(M$18='5.Variables'!$B$16,+'5.Variables'!$G27,+IF(M$18='5.Variables'!$B$39,+'5.Variables'!$G51,+IF(M$18='5.Variables'!$B$62,+'5.Variables'!$G65,+IF(M$18='5.Variables'!$B$76,+'5.Variables'!$G79,+IF(M$18='5.Variables'!$B$90,+'5.Variables'!$G93,+IF(M$18='5.Variables'!$B$104,+'5.Variables'!$G107,0))))))</f>
        <v>0</v>
      </c>
      <c r="N36" s="725">
        <f>IF(N$18='5.Variables'!$B$16,+'5.Variables'!$G27,+IF(N$18='5.Variables'!$B$39,+'5.Variables'!$G51,+IF(N$18='5.Variables'!$B$62,+'5.Variables'!$G65,+IF(N$18='5.Variables'!$B$76,+'5.Variables'!$G79,+IF(N$18='5.Variables'!$B$90,+'5.Variables'!$G93,+IF(N$18='5.Variables'!$B$104,+'5.Variables'!$G107,0))))))</f>
        <v>0</v>
      </c>
      <c r="O36" s="725">
        <f>IF(O$18='5.Variables'!$B$16,+'5.Variables'!$G27,+IF(O$18='5.Variables'!$B$39,+'5.Variables'!$G51,+IF(O$18='5.Variables'!$B$62,+'5.Variables'!$G65,+IF(O$18='5.Variables'!$B$76,+'5.Variables'!$G79,+IF(O$18='5.Variables'!$B$90,+'5.Variables'!$G93,+IF(O$18='5.Variables'!$B$104,+'5.Variables'!$G107,0))))))</f>
        <v>31</v>
      </c>
      <c r="P36" s="725">
        <f>IF(P$18='5.Variables'!$B$16,+'5.Variables'!$G27,+IF(P$18='5.Variables'!$B$39,+'5.Variables'!$G51,+IF(P$18='5.Variables'!$B$62,+'5.Variables'!$G65,+IF(P$18='5.Variables'!$B$76,+'5.Variables'!$G79,+IF(P$18='5.Variables'!$B$90,+'5.Variables'!$G93,+IF(P$18='5.Variables'!$B$104,+'5.Variables'!$G107,0))))))</f>
        <v>0</v>
      </c>
      <c r="Q36" s="245"/>
      <c r="R36" s="558">
        <f t="shared" si="1"/>
        <v>14456845.336375393</v>
      </c>
      <c r="S36" s="265"/>
      <c r="T36" s="519"/>
      <c r="U36" s="803" t="s">
        <v>2</v>
      </c>
      <c r="V36" s="546">
        <v>27517.329634766</v>
      </c>
      <c r="W36" s="546">
        <v>3226.896143638789</v>
      </c>
      <c r="X36" s="546">
        <v>8.5274915615152889</v>
      </c>
      <c r="Y36" s="546">
        <v>6.4795972667262457E-14</v>
      </c>
      <c r="Z36" s="546">
        <v>21126.055225440054</v>
      </c>
      <c r="AA36" s="546">
        <v>33908.604044091946</v>
      </c>
      <c r="AB36" s="546">
        <v>21126.055225440054</v>
      </c>
      <c r="AC36" s="546">
        <v>33908.604044091946</v>
      </c>
      <c r="AD36" s="261"/>
      <c r="AE36" s="245"/>
      <c r="AF36" s="245"/>
      <c r="AG36" s="245"/>
      <c r="AH36" s="245"/>
      <c r="AI36" s="245"/>
      <c r="AJ36" s="245"/>
      <c r="AK36" s="245"/>
      <c r="AL36" s="245"/>
      <c r="AM36" s="245"/>
    </row>
    <row r="37" spans="1:39" ht="15" x14ac:dyDescent="0.25">
      <c r="A37" s="503">
        <f t="shared" si="2"/>
        <v>18</v>
      </c>
      <c r="B37" s="262" t="str">
        <f>CONCATENATE('3. Consumption by Rate Class'!B42,"-",'3. Consumption by Rate Class'!C42)</f>
        <v>2006-June</v>
      </c>
      <c r="C37" s="697">
        <v>15216019.100000001</v>
      </c>
      <c r="D37" s="703">
        <v>-39600</v>
      </c>
      <c r="E37" s="707"/>
      <c r="F37" s="703"/>
      <c r="G37" s="703"/>
      <c r="H37" s="704"/>
      <c r="I37" s="704"/>
      <c r="J37" s="263">
        <f t="shared" si="0"/>
        <v>15176419.100000001</v>
      </c>
      <c r="K37" s="725">
        <f>IF(K$18='5.Variables'!$B$16,+'5.Variables'!$H28,+IF(K$18='5.Variables'!$B$39,+'5.Variables'!$H51,+IF(K$18='5.Variables'!$B$62,+'5.Variables'!$H65,+IF(K$18='5.Variables'!$B$76,+'5.Variables'!$H79,+IF(K$18='5.Variables'!$B$90,+'5.Variables'!$H93,+IF(K$18='5.Variables'!$B$104,+'5.Variables'!$H107,0))))))</f>
        <v>27.6</v>
      </c>
      <c r="L37" s="725">
        <f>IF(L$18='5.Variables'!$B$16,+'5.Variables'!$H27,+IF(L$18='5.Variables'!$B$39,+'5.Variables'!$H51,+IF(L$18='5.Variables'!$B$62,+'5.Variables'!$H65,+IF(L$18='5.Variables'!$B$76,+'5.Variables'!$H79,+IF(L$18='5.Variables'!$B$90,+'5.Variables'!$H93,+IF(L$18='5.Variables'!$B$104,+'5.Variables'!$H107,0))))))</f>
        <v>48.2</v>
      </c>
      <c r="M37" s="725">
        <f>IF(M$18='5.Variables'!$B$16,+'5.Variables'!$H27,+IF(M$18='5.Variables'!$B$39,+'5.Variables'!$H51,+IF(M$18='5.Variables'!$B$62,+'5.Variables'!$H65,+IF(M$18='5.Variables'!$B$76,+'5.Variables'!$H79,+IF(M$18='5.Variables'!$B$90,+'5.Variables'!$H93,+IF(M$18='5.Variables'!$B$104,+'5.Variables'!$H107,0))))))</f>
        <v>0</v>
      </c>
      <c r="N37" s="725">
        <f>IF(N$18='5.Variables'!$B$16,+'5.Variables'!$H27,+IF(N$18='5.Variables'!$B$39,+'5.Variables'!$H51,+IF(N$18='5.Variables'!$B$62,+'5.Variables'!$H65,+IF(N$18='5.Variables'!$B$76,+'5.Variables'!$H79,+IF(N$18='5.Variables'!$B$90,+'5.Variables'!$H93,+IF(N$18='5.Variables'!$B$104,+'5.Variables'!$H107,0))))))</f>
        <v>0</v>
      </c>
      <c r="O37" s="725">
        <f>IF(O$18='5.Variables'!$B$16,+'5.Variables'!$H27,+IF(O$18='5.Variables'!$B$39,+'5.Variables'!$H51,+IF(O$18='5.Variables'!$B$62,+'5.Variables'!$H65,+IF(O$18='5.Variables'!$B$76,+'5.Variables'!$H79,+IF(O$18='5.Variables'!$B$90,+'5.Variables'!$H93,+IF(O$18='5.Variables'!$B$104,+'5.Variables'!$H107,0))))))</f>
        <v>30</v>
      </c>
      <c r="P37" s="725">
        <f>IF(P$18='5.Variables'!$B$16,+'5.Variables'!$H27,+IF(P$18='5.Variables'!$B$39,+'5.Variables'!$H51,+IF(P$18='5.Variables'!$B$62,+'5.Variables'!$H65,+IF(P$18='5.Variables'!$B$76,+'5.Variables'!$H79,+IF(P$18='5.Variables'!$B$90,+'5.Variables'!$H93,+IF(P$18='5.Variables'!$B$104,+'5.Variables'!$H107,0))))))</f>
        <v>0</v>
      </c>
      <c r="Q37" s="245"/>
      <c r="R37" s="558">
        <f t="shared" si="1"/>
        <v>14599794.839555396</v>
      </c>
      <c r="S37" s="265"/>
      <c r="T37" s="519"/>
      <c r="U37" s="803" t="s">
        <v>271</v>
      </c>
      <c r="V37" s="546">
        <v>1474948.222213953</v>
      </c>
      <c r="W37" s="546">
        <v>325481.97833838523</v>
      </c>
      <c r="X37" s="546">
        <v>4.5315818397801815</v>
      </c>
      <c r="Y37" s="546">
        <v>1.4313271871628365E-5</v>
      </c>
      <c r="Z37" s="546">
        <v>830290.15258512099</v>
      </c>
      <c r="AA37" s="546">
        <v>2119606.2918427852</v>
      </c>
      <c r="AB37" s="546">
        <v>830290.15258512099</v>
      </c>
      <c r="AC37" s="546">
        <v>2119606.2918427852</v>
      </c>
      <c r="AD37" s="261"/>
      <c r="AE37" s="245"/>
      <c r="AF37" s="245"/>
      <c r="AG37" s="245"/>
      <c r="AH37" s="245"/>
      <c r="AI37" s="245"/>
      <c r="AJ37" s="245"/>
      <c r="AK37" s="245"/>
      <c r="AL37" s="245"/>
      <c r="AM37" s="245"/>
    </row>
    <row r="38" spans="1:39" ht="15" x14ac:dyDescent="0.25">
      <c r="A38" s="503">
        <f t="shared" si="2"/>
        <v>19</v>
      </c>
      <c r="B38" s="262" t="str">
        <f>CONCATENATE('3. Consumption by Rate Class'!B43,"-",'3. Consumption by Rate Class'!C43)</f>
        <v>2006-July</v>
      </c>
      <c r="C38" s="697">
        <v>17288814.59</v>
      </c>
      <c r="D38" s="703">
        <v>-24000</v>
      </c>
      <c r="E38" s="707"/>
      <c r="F38" s="703"/>
      <c r="G38" s="703"/>
      <c r="H38" s="704"/>
      <c r="I38" s="704"/>
      <c r="J38" s="263">
        <f t="shared" si="0"/>
        <v>17264814.59</v>
      </c>
      <c r="K38" s="725">
        <f>IF(K$18='5.Variables'!$B$16,+'5.Variables'!$I28,+IF(K$18='5.Variables'!$B$39,+'5.Variables'!$I51,+IF(K$18='5.Variables'!$B$62,+'5.Variables'!$I65,+IF(K$18='5.Variables'!$B$76,+'5.Variables'!$I79,+IF(K$18='5.Variables'!$B$90,+'5.Variables'!$I93,+IF(K$18='5.Variables'!$B$104,+'5.Variables'!$I107,0))))))</f>
        <v>0.3</v>
      </c>
      <c r="L38" s="725">
        <f>IF(L$18='5.Variables'!$B$16,+'5.Variables'!$I27,+IF(L$18='5.Variables'!$B$39,+'5.Variables'!$I51,+IF(L$18='5.Variables'!$B$62,+'5.Variables'!$I65,+IF(L$18='5.Variables'!$B$76,+'5.Variables'!$I79,+IF(L$18='5.Variables'!$B$90,+'5.Variables'!$I93,+IF(L$18='5.Variables'!$B$104,+'5.Variables'!$I107,0))))))</f>
        <v>130.6</v>
      </c>
      <c r="M38" s="725">
        <f>IF(M$18='5.Variables'!$B$16,+'5.Variables'!$I27,+IF(M$18='5.Variables'!$B$39,+'5.Variables'!$I51,+IF(M$18='5.Variables'!$B$62,+'5.Variables'!$I65,+IF(M$18='5.Variables'!$B$76,+'5.Variables'!$I79,+IF(M$18='5.Variables'!$B$90,+'5.Variables'!$I93,+IF(M$18='5.Variables'!$B$104,+'5.Variables'!$I107,0))))))</f>
        <v>0</v>
      </c>
      <c r="N38" s="725">
        <f>IF(N$18='5.Variables'!$B$16,+'5.Variables'!$I27,+IF(N$18='5.Variables'!$B$39,+'5.Variables'!$I51,+IF(N$18='5.Variables'!$B$62,+'5.Variables'!$I65,+IF(N$18='5.Variables'!$B$76,+'5.Variables'!$I79,+IF(N$18='5.Variables'!$B$90,+'5.Variables'!$I93,+IF(N$18='5.Variables'!$B$104,+'5.Variables'!$I107,0))))))</f>
        <v>1</v>
      </c>
      <c r="O38" s="725">
        <f>IF(O$18='5.Variables'!$B$16,+'5.Variables'!$I27,+IF(O$18='5.Variables'!$B$39,+'5.Variables'!$I51,+IF(O$18='5.Variables'!$B$62,+'5.Variables'!$I65,+IF(O$18='5.Variables'!$B$76,+'5.Variables'!$I79,+IF(O$18='5.Variables'!$B$90,+'5.Variables'!$I93,+IF(O$18='5.Variables'!$B$104,+'5.Variables'!$I107,0))))))</f>
        <v>31</v>
      </c>
      <c r="P38" s="725">
        <f>IF(P$18='5.Variables'!$B$16,+'5.Variables'!$I27,+IF(P$18='5.Variables'!$B$39,+'5.Variables'!$I51,+IF(P$18='5.Variables'!$B$62,+'5.Variables'!$I65,+IF(P$18='5.Variables'!$B$76,+'5.Variables'!$I79,+IF(P$18='5.Variables'!$B$90,+'5.Variables'!$I93,+IF(P$18='5.Variables'!$B$104,+'5.Variables'!$I107,0))))))</f>
        <v>0</v>
      </c>
      <c r="Q38" s="245"/>
      <c r="R38" s="558">
        <f t="shared" si="1"/>
        <v>16672284.813758353</v>
      </c>
      <c r="S38" s="265"/>
      <c r="T38" s="519"/>
      <c r="U38" s="803"/>
      <c r="V38" s="546"/>
      <c r="W38" s="546"/>
      <c r="X38" s="546"/>
      <c r="Y38" s="546"/>
      <c r="Z38" s="546"/>
      <c r="AA38" s="546"/>
      <c r="AB38" s="546"/>
      <c r="AC38" s="546"/>
      <c r="AD38" s="261"/>
      <c r="AE38" s="245"/>
      <c r="AF38" s="245"/>
      <c r="AG38" s="245"/>
      <c r="AH38" s="245"/>
      <c r="AI38" s="245"/>
      <c r="AJ38" s="245"/>
      <c r="AK38" s="245"/>
      <c r="AL38" s="245"/>
      <c r="AM38" s="245"/>
    </row>
    <row r="39" spans="1:39" ht="15.75" thickBot="1" x14ac:dyDescent="0.3">
      <c r="A39" s="503">
        <f t="shared" si="2"/>
        <v>20</v>
      </c>
      <c r="B39" s="262" t="str">
        <f>CONCATENATE('3. Consumption by Rate Class'!B44,"-",'3. Consumption by Rate Class'!C44)</f>
        <v>2006-August</v>
      </c>
      <c r="C39" s="697">
        <v>14646590.370000001</v>
      </c>
      <c r="D39" s="703">
        <v>-39000</v>
      </c>
      <c r="E39" s="707"/>
      <c r="F39" s="703"/>
      <c r="G39" s="703"/>
      <c r="H39" s="704"/>
      <c r="I39" s="704"/>
      <c r="J39" s="263">
        <f t="shared" si="0"/>
        <v>14607590.370000001</v>
      </c>
      <c r="K39" s="725">
        <f>IF(K$18='5.Variables'!$B$16,+'5.Variables'!$J28,+IF(K$18='5.Variables'!$B$39,+'5.Variables'!$J51,+IF(K$18='5.Variables'!$B$62,+'5.Variables'!$J65,+IF(K$18='5.Variables'!$B$76,+'5.Variables'!$J79,+IF(K$18='5.Variables'!$B$90,+'5.Variables'!$J93,+IF(K$18='5.Variables'!$B$104,+'5.Variables'!$J107,0))))))</f>
        <v>18.2</v>
      </c>
      <c r="L39" s="725">
        <f>IF(L$18='5.Variables'!$B$16,+'5.Variables'!$J27,+IF(L$18='5.Variables'!$B$39,+'5.Variables'!$J51,+IF(L$18='5.Variables'!$B$62,+'5.Variables'!$J65,+IF(L$18='5.Variables'!$B$76,+'5.Variables'!$J79,+IF(L$18='5.Variables'!$B$90,+'5.Variables'!$J93,+IF(L$18='5.Variables'!$B$104,+'5.Variables'!$J107,0))))))</f>
        <v>68.099999999999994</v>
      </c>
      <c r="M39" s="725">
        <f>IF(M$18='5.Variables'!$B$16,+'5.Variables'!$J27,+IF(M$18='5.Variables'!$B$39,+'5.Variables'!$J51,+IF(M$18='5.Variables'!$B$62,+'5.Variables'!$J65,+IF(M$18='5.Variables'!$B$76,+'5.Variables'!$J79,+IF(M$18='5.Variables'!$B$90,+'5.Variables'!$J93,+IF(M$18='5.Variables'!$B$104,+'5.Variables'!$J107,0))))))</f>
        <v>0</v>
      </c>
      <c r="N39" s="725">
        <f>IF(N$18='5.Variables'!$B$16,+'5.Variables'!$J27,+IF(N$18='5.Variables'!$B$39,+'5.Variables'!$J51,+IF(N$18='5.Variables'!$B$62,+'5.Variables'!$J65,+IF(N$18='5.Variables'!$B$76,+'5.Variables'!$J79,+IF(N$18='5.Variables'!$B$90,+'5.Variables'!$J93,+IF(N$18='5.Variables'!$B$104,+'5.Variables'!$J107,0))))))</f>
        <v>0</v>
      </c>
      <c r="O39" s="725">
        <f>IF(O$18='5.Variables'!$B$16,+'5.Variables'!$J27,+IF(O$18='5.Variables'!$B$39,+'5.Variables'!$J51,+IF(O$18='5.Variables'!$B$62,+'5.Variables'!$J65,+IF(O$18='5.Variables'!$B$76,+'5.Variables'!$J79,+IF(O$18='5.Variables'!$B$90,+'5.Variables'!$J93,+IF(O$18='5.Variables'!$B$104,+'5.Variables'!$J107,0))))))</f>
        <v>31</v>
      </c>
      <c r="P39" s="725">
        <f>IF(P$18='5.Variables'!$B$16,+'5.Variables'!$J27,+IF(P$18='5.Variables'!$B$39,+'5.Variables'!$J51,+IF(P$18='5.Variables'!$B$62,+'5.Variables'!$J65,+IF(P$18='5.Variables'!$B$76,+'5.Variables'!$J79,+IF(P$18='5.Variables'!$B$90,+'5.Variables'!$J93,+IF(P$18='5.Variables'!$B$104,+'5.Variables'!$J107,0))))))</f>
        <v>0</v>
      </c>
      <c r="Q39" s="245"/>
      <c r="R39" s="558">
        <f t="shared" si="1"/>
        <v>15080268.194364289</v>
      </c>
      <c r="S39" s="265"/>
      <c r="T39" s="519"/>
      <c r="U39" s="804"/>
      <c r="V39" s="547"/>
      <c r="W39" s="547"/>
      <c r="X39" s="547"/>
      <c r="Y39" s="547"/>
      <c r="Z39" s="547"/>
      <c r="AA39" s="547"/>
      <c r="AB39" s="547"/>
      <c r="AC39" s="547"/>
      <c r="AD39" s="261"/>
      <c r="AE39" s="245"/>
      <c r="AF39" s="245"/>
      <c r="AG39" s="245"/>
      <c r="AH39" s="245"/>
      <c r="AI39" s="245"/>
      <c r="AJ39" s="245"/>
      <c r="AK39" s="245"/>
      <c r="AL39" s="245"/>
      <c r="AM39" s="245"/>
    </row>
    <row r="40" spans="1:39" ht="15.75" thickBot="1" x14ac:dyDescent="0.3">
      <c r="A40" s="503">
        <f t="shared" si="2"/>
        <v>21</v>
      </c>
      <c r="B40" s="262" t="str">
        <f>CONCATENATE('3. Consumption by Rate Class'!B45,"-",'3. Consumption by Rate Class'!C45)</f>
        <v>2006-September</v>
      </c>
      <c r="C40" s="697">
        <v>14317893.41</v>
      </c>
      <c r="D40" s="703">
        <v>-42600</v>
      </c>
      <c r="E40" s="707"/>
      <c r="F40" s="703"/>
      <c r="G40" s="703"/>
      <c r="H40" s="704"/>
      <c r="I40" s="704"/>
      <c r="J40" s="263">
        <f t="shared" si="0"/>
        <v>14275293.41</v>
      </c>
      <c r="K40" s="725">
        <f>IF(K$18='5.Variables'!$B$16,+'5.Variables'!$K28,+IF(K$18='5.Variables'!$B$39,+'5.Variables'!$K51,+IF(K$18='5.Variables'!$B$62,+'5.Variables'!$K65,+IF(K$18='5.Variables'!$B$76,+'5.Variables'!$K79,+IF(K$18='5.Variables'!$B$90,+'5.Variables'!$K93,+IF(K$18='5.Variables'!$B$104,+'5.Variables'!$K107,0))))))</f>
        <v>121</v>
      </c>
      <c r="L40" s="725">
        <f>IF(L$18='5.Variables'!$B$16,+'5.Variables'!$K27,+IF(L$18='5.Variables'!$B$39,+'5.Variables'!$K51,+IF(L$18='5.Variables'!$B$62,+'5.Variables'!$K65,+IF(L$18='5.Variables'!$B$76,+'5.Variables'!$K79,+IF(L$18='5.Variables'!$B$90,+'5.Variables'!$K93,+IF(L$18='5.Variables'!$B$104,+'5.Variables'!$K107,0))))))</f>
        <v>5.3</v>
      </c>
      <c r="M40" s="725">
        <f>IF(M$18='5.Variables'!$B$16,+'5.Variables'!$K27,+IF(M$18='5.Variables'!$B$39,+'5.Variables'!$K51,+IF(M$18='5.Variables'!$B$62,+'5.Variables'!$K65,+IF(M$18='5.Variables'!$B$76,+'5.Variables'!$K79,+IF(M$18='5.Variables'!$B$90,+'5.Variables'!$K93,+IF(M$18='5.Variables'!$B$104,+'5.Variables'!$K107,0))))))</f>
        <v>0</v>
      </c>
      <c r="N40" s="725">
        <f>IF(N$18='5.Variables'!$B$16,+'5.Variables'!$K27,+IF(N$18='5.Variables'!$B$39,+'5.Variables'!$K51,+IF(N$18='5.Variables'!$B$62,+'5.Variables'!$K65,+IF(N$18='5.Variables'!$B$76,+'5.Variables'!$K79,+IF(N$18='5.Variables'!$B$90,+'5.Variables'!$K93,+IF(N$18='5.Variables'!$B$104,+'5.Variables'!$K107,0))))))</f>
        <v>0</v>
      </c>
      <c r="O40" s="725">
        <f>IF(O$18='5.Variables'!$B$16,+'5.Variables'!$K27,+IF(O$18='5.Variables'!$B$39,+'5.Variables'!$K51,+IF(O$18='5.Variables'!$B$62,+'5.Variables'!$K65,+IF(O$18='5.Variables'!$B$76,+'5.Variables'!$K79,+IF(O$18='5.Variables'!$B$90,+'5.Variables'!$K93,+IF(O$18='5.Variables'!$B$104,+'5.Variables'!$K107,0))))))</f>
        <v>30</v>
      </c>
      <c r="P40" s="725">
        <f>IF(P$18='5.Variables'!$B$16,+'5.Variables'!$K27,+IF(P$18='5.Variables'!$B$39,+'5.Variables'!$K51,+IF(P$18='5.Variables'!$B$62,+'5.Variables'!$K65,+IF(P$18='5.Variables'!$B$76,+'5.Variables'!$K79,+IF(P$18='5.Variables'!$B$90,+'5.Variables'!$K93,+IF(P$18='5.Variables'!$B$104,+'5.Variables'!$K107,0))))))</f>
        <v>0</v>
      </c>
      <c r="Q40" s="245"/>
      <c r="R40" s="558">
        <f t="shared" si="1"/>
        <v>14086232.09607538</v>
      </c>
      <c r="S40" s="265"/>
      <c r="T40" s="519"/>
      <c r="U40" s="547"/>
      <c r="V40" s="547"/>
      <c r="W40" s="547"/>
      <c r="X40" s="547"/>
      <c r="Y40" s="547"/>
      <c r="Z40" s="547"/>
      <c r="AA40" s="547"/>
      <c r="AB40" s="547"/>
      <c r="AC40" s="547"/>
      <c r="AD40" s="261"/>
      <c r="AE40" s="245"/>
      <c r="AF40" s="245"/>
      <c r="AG40" s="245"/>
      <c r="AH40" s="245"/>
      <c r="AI40" s="245"/>
      <c r="AJ40" s="245"/>
      <c r="AK40" s="245"/>
      <c r="AL40" s="245"/>
      <c r="AM40" s="245"/>
    </row>
    <row r="41" spans="1:39" x14ac:dyDescent="0.2">
      <c r="A41" s="503">
        <f t="shared" si="2"/>
        <v>22</v>
      </c>
      <c r="B41" s="262" t="str">
        <f>CONCATENATE('3. Consumption by Rate Class'!B46,"-",'3. Consumption by Rate Class'!C46)</f>
        <v>2006-October</v>
      </c>
      <c r="C41" s="697">
        <v>16184185.029999999</v>
      </c>
      <c r="D41" s="703">
        <v>-39000</v>
      </c>
      <c r="E41" s="707"/>
      <c r="F41" s="703"/>
      <c r="G41" s="703"/>
      <c r="H41" s="704"/>
      <c r="I41" s="704"/>
      <c r="J41" s="263">
        <f t="shared" si="0"/>
        <v>16145185.029999999</v>
      </c>
      <c r="K41" s="725">
        <f>IF(K$18='5.Variables'!$B$16,+'5.Variables'!$L28,+IF(K$18='5.Variables'!$B$39,+'5.Variables'!$L51,+IF(K$18='5.Variables'!$B$62,+'5.Variables'!$L65,+IF(K$18='5.Variables'!$B$76,+'5.Variables'!$L79,+IF(K$18='5.Variables'!$B$90,+'5.Variables'!$L93,+IF(K$18='5.Variables'!$B$104,+'5.Variables'!$L107,0))))))</f>
        <v>335.7</v>
      </c>
      <c r="L41" s="725">
        <f>IF(L$18='5.Variables'!$B$16,+'5.Variables'!$L27,+IF(L$18='5.Variables'!$B$39,+'5.Variables'!$L51,+IF(L$18='5.Variables'!$B$62,+'5.Variables'!$L65,+IF(L$18='5.Variables'!$B$76,+'5.Variables'!$L79,+IF(L$18='5.Variables'!$B$90,+'5.Variables'!$L93,+IF(L$18='5.Variables'!$B$104,+'5.Variables'!$L107,0))))))</f>
        <v>0</v>
      </c>
      <c r="M41" s="725">
        <f>IF(M$18='5.Variables'!$B$16,+'5.Variables'!$L27,+IF(M$18='5.Variables'!$B$39,+'5.Variables'!$L51,+IF(M$18='5.Variables'!$B$62,+'5.Variables'!$L65,+IF(M$18='5.Variables'!$B$76,+'5.Variables'!$L79,+IF(M$18='5.Variables'!$B$90,+'5.Variables'!$L93,+IF(M$18='5.Variables'!$B$104,+'5.Variables'!$L107,0))))))</f>
        <v>0</v>
      </c>
      <c r="N41" s="725">
        <f>IF(N$18='5.Variables'!$B$16,+'5.Variables'!$L27,+IF(N$18='5.Variables'!$B$39,+'5.Variables'!$L51,+IF(N$18='5.Variables'!$B$62,+'5.Variables'!$L65,+IF(N$18='5.Variables'!$B$76,+'5.Variables'!$L79,+IF(N$18='5.Variables'!$B$90,+'5.Variables'!$L93,+IF(N$18='5.Variables'!$B$104,+'5.Variables'!$L107,0))))))</f>
        <v>0</v>
      </c>
      <c r="O41" s="725">
        <f>IF(O$18='5.Variables'!$B$16,+'5.Variables'!$L27,+IF(O$18='5.Variables'!$B$39,+'5.Variables'!$L51,+IF(O$18='5.Variables'!$B$62,+'5.Variables'!$L65,+IF(O$18='5.Variables'!$B$76,+'5.Variables'!$L79,+IF(O$18='5.Variables'!$B$90,+'5.Variables'!$L93,+IF(O$18='5.Variables'!$B$104,+'5.Variables'!$L107,0))))))</f>
        <v>31</v>
      </c>
      <c r="P41" s="725">
        <f>IF(P$18='5.Variables'!$B$16,+'5.Variables'!$L27,+IF(P$18='5.Variables'!$B$39,+'5.Variables'!$L51,+IF(P$18='5.Variables'!$B$62,+'5.Variables'!$L65,+IF(P$18='5.Variables'!$B$76,+'5.Variables'!$L79,+IF(P$18='5.Variables'!$B$90,+'5.Variables'!$L93,+IF(P$18='5.Variables'!$B$104,+'5.Variables'!$L107,0))))))</f>
        <v>0</v>
      </c>
      <c r="Q41" s="245"/>
      <c r="R41" s="558">
        <f t="shared" si="1"/>
        <v>15473473.983793832</v>
      </c>
      <c r="S41" s="265"/>
      <c r="T41" s="245"/>
      <c r="U41"/>
      <c r="V41"/>
      <c r="W41"/>
      <c r="X41"/>
      <c r="Y41"/>
      <c r="Z41"/>
      <c r="AA41"/>
      <c r="AB41"/>
      <c r="AC41"/>
      <c r="AD41" s="261"/>
      <c r="AE41" s="245"/>
      <c r="AF41" s="245"/>
      <c r="AG41" s="245"/>
      <c r="AH41" s="245"/>
      <c r="AI41" s="245"/>
      <c r="AJ41" s="245"/>
      <c r="AK41" s="245"/>
      <c r="AL41" s="245"/>
      <c r="AM41" s="245"/>
    </row>
    <row r="42" spans="1:39" x14ac:dyDescent="0.2">
      <c r="A42" s="503">
        <f t="shared" si="2"/>
        <v>23</v>
      </c>
      <c r="B42" s="262" t="str">
        <f>CONCATENATE('3. Consumption by Rate Class'!B47,"-",'3. Consumption by Rate Class'!C47)</f>
        <v>2006-November</v>
      </c>
      <c r="C42" s="697">
        <v>16855953.34</v>
      </c>
      <c r="D42" s="703">
        <v>-51000</v>
      </c>
      <c r="E42" s="707"/>
      <c r="F42" s="703"/>
      <c r="G42" s="703"/>
      <c r="H42" s="704"/>
      <c r="I42" s="704"/>
      <c r="J42" s="263">
        <f t="shared" si="0"/>
        <v>16804953.34</v>
      </c>
      <c r="K42" s="725">
        <f>IF(K$18='5.Variables'!$B$16,+'5.Variables'!$M28,+IF(K$18='5.Variables'!$B$39,+'5.Variables'!$M51,+IF(K$18='5.Variables'!$B$62,+'5.Variables'!$M65,+IF(K$18='5.Variables'!$B$76,+'5.Variables'!$M79,+IF(K$18='5.Variables'!$B$90,+'5.Variables'!$M93,+IF(K$18='5.Variables'!$B$104,+'5.Variables'!$M107,0))))))</f>
        <v>417.3</v>
      </c>
      <c r="L42" s="725">
        <f>IF(L$18='5.Variables'!$B$16,+'5.Variables'!$M27,+IF(L$18='5.Variables'!$B$39,+'5.Variables'!$M51,+IF(L$18='5.Variables'!$B$62,+'5.Variables'!$M65,+IF(L$18='5.Variables'!$B$76,+'5.Variables'!$M79,+IF(L$18='5.Variables'!$B$90,+'5.Variables'!$M93,+IF(L$18='5.Variables'!$B$104,+'5.Variables'!$M107,0))))))</f>
        <v>0</v>
      </c>
      <c r="M42" s="725">
        <f>IF(M$18='5.Variables'!$B$16,+'5.Variables'!$M27,+IF(M$18='5.Variables'!$B$39,+'5.Variables'!$M51,+IF(M$18='5.Variables'!$B$62,+'5.Variables'!$M65,+IF(M$18='5.Variables'!$B$76,+'5.Variables'!$M79,+IF(M$18='5.Variables'!$B$90,+'5.Variables'!$M93,+IF(M$18='5.Variables'!$B$104,+'5.Variables'!$M107,0))))))</f>
        <v>0</v>
      </c>
      <c r="N42" s="725">
        <f>IF(N$18='5.Variables'!$B$16,+'5.Variables'!$M27,+IF(N$18='5.Variables'!$B$39,+'5.Variables'!$M51,+IF(N$18='5.Variables'!$B$62,+'5.Variables'!$M65,+IF(N$18='5.Variables'!$B$76,+'5.Variables'!$M79,+IF(N$18='5.Variables'!$B$90,+'5.Variables'!$M93,+IF(N$18='5.Variables'!$B$104,+'5.Variables'!$M107,0))))))</f>
        <v>0</v>
      </c>
      <c r="O42" s="725">
        <f>IF(O$18='5.Variables'!$B$16,+'5.Variables'!$M27,+IF(O$18='5.Variables'!$B$39,+'5.Variables'!$M51,+IF(O$18='5.Variables'!$B$62,+'5.Variables'!$M65,+IF(O$18='5.Variables'!$B$76,+'5.Variables'!$M79,+IF(O$18='5.Variables'!$B$90,+'5.Variables'!$M93,+IF(O$18='5.Variables'!$B$104,+'5.Variables'!$M107,0))))))</f>
        <v>30</v>
      </c>
      <c r="P42" s="725">
        <f>IF(P$18='5.Variables'!$B$16,+'5.Variables'!$M27,+IF(P$18='5.Variables'!$B$39,+'5.Variables'!$M51,+IF(P$18='5.Variables'!$B$62,+'5.Variables'!$M65,+IF(P$18='5.Variables'!$B$76,+'5.Variables'!$M79,+IF(P$18='5.Variables'!$B$90,+'5.Variables'!$M93,+IF(P$18='5.Variables'!$B$104,+'5.Variables'!$M107,0))))))</f>
        <v>0</v>
      </c>
      <c r="Q42" s="245"/>
      <c r="R42" s="558">
        <f t="shared" si="1"/>
        <v>16056145.771210086</v>
      </c>
      <c r="S42" s="265"/>
      <c r="T42" s="245"/>
      <c r="U42"/>
      <c r="V42"/>
      <c r="W42"/>
      <c r="X42"/>
      <c r="Y42"/>
      <c r="Z42"/>
      <c r="AA42"/>
      <c r="AB42"/>
      <c r="AC42"/>
      <c r="AD42" s="261"/>
      <c r="AE42" s="245"/>
      <c r="AF42" s="245"/>
      <c r="AG42" s="245"/>
      <c r="AH42" s="245"/>
      <c r="AI42" s="245"/>
      <c r="AJ42" s="245"/>
      <c r="AK42" s="245"/>
      <c r="AL42" s="245"/>
      <c r="AM42" s="245"/>
    </row>
    <row r="43" spans="1:39" ht="13.5" customHeight="1" x14ac:dyDescent="0.2">
      <c r="A43" s="503">
        <f t="shared" si="2"/>
        <v>24</v>
      </c>
      <c r="B43" s="522" t="str">
        <f>CONCATENATE('3. Consumption by Rate Class'!B48,"-",'3. Consumption by Rate Class'!C48)</f>
        <v>2006-December</v>
      </c>
      <c r="C43" s="698">
        <v>19706058.609999999</v>
      </c>
      <c r="D43" s="705">
        <v>-42000</v>
      </c>
      <c r="E43" s="705"/>
      <c r="F43" s="705"/>
      <c r="G43" s="705"/>
      <c r="H43" s="706"/>
      <c r="I43" s="706"/>
      <c r="J43" s="263">
        <f t="shared" si="0"/>
        <v>19664058.609999999</v>
      </c>
      <c r="K43" s="725">
        <f>IF(K$18='5.Variables'!$B$16,+'5.Variables'!$N28,+IF(K$18='5.Variables'!$B$39,+'5.Variables'!$N51,+IF(K$18='5.Variables'!$B$62,+'5.Variables'!$N65,+IF(K$18='5.Variables'!$B$76,+'5.Variables'!$N79,+IF(K$18='5.Variables'!$B$90,+'5.Variables'!$N93,+IF(K$18='5.Variables'!$B$104,+'5.Variables'!$N107,0))))))</f>
        <v>610</v>
      </c>
      <c r="L43" s="725">
        <f>IF(L$18='5.Variables'!$B$16,+'5.Variables'!$N27,+IF(L$18='5.Variables'!$B$39,+'5.Variables'!$N51,+IF(L$18='5.Variables'!$B$62,+'5.Variables'!$N65,+IF(L$18='5.Variables'!$B$76,+'5.Variables'!$N79,+IF(L$18='5.Variables'!$B$90,+'5.Variables'!$N93,+IF(L$18='5.Variables'!$B$104,+'5.Variables'!$N107,0))))))</f>
        <v>0</v>
      </c>
      <c r="M43" s="725">
        <f>IF(M$18='5.Variables'!$B$16,+'5.Variables'!$N27,+IF(M$18='5.Variables'!$B$39,+'5.Variables'!$N51,+IF(M$18='5.Variables'!$B$62,+'5.Variables'!$N65,+IF(M$18='5.Variables'!$B$76,+'5.Variables'!$N79,+IF(M$18='5.Variables'!$B$90,+'5.Variables'!$N93,+IF(M$18='5.Variables'!$B$104,+'5.Variables'!$N107,0))))))</f>
        <v>1</v>
      </c>
      <c r="N43" s="725">
        <f>IF(N$18='5.Variables'!$B$16,+'5.Variables'!$N27,+IF(N$18='5.Variables'!$B$39,+'5.Variables'!$N51,+IF(N$18='5.Variables'!$B$62,+'5.Variables'!$N65,+IF(N$18='5.Variables'!$B$76,+'5.Variables'!$N79,+IF(N$18='5.Variables'!$B$90,+'5.Variables'!$N93,+IF(N$18='5.Variables'!$B$104,+'5.Variables'!$N107,0))))))</f>
        <v>1</v>
      </c>
      <c r="O43" s="725">
        <f>IF(O$18='5.Variables'!$B$16,+'5.Variables'!$N27,+IF(O$18='5.Variables'!$B$39,+'5.Variables'!$N51,+IF(O$18='5.Variables'!$B$62,+'5.Variables'!$N65,+IF(O$18='5.Variables'!$B$76,+'5.Variables'!$N79,+IF(O$18='5.Variables'!$B$90,+'5.Variables'!$N93,+IF(O$18='5.Variables'!$B$104,+'5.Variables'!$N107,0))))))</f>
        <v>31</v>
      </c>
      <c r="P43" s="725">
        <f>IF(P$18='5.Variables'!$B$16,+'5.Variables'!$N27,+IF(P$18='5.Variables'!$B$39,+'5.Variables'!$N51,+IF(P$18='5.Variables'!$B$62,+'5.Variables'!$N65,+IF(P$18='5.Variables'!$B$76,+'5.Variables'!$N79,+IF(P$18='5.Variables'!$B$90,+'5.Variables'!$N93,+IF(P$18='5.Variables'!$B$104,+'5.Variables'!$N107,0))))))</f>
        <v>0</v>
      </c>
      <c r="Q43" s="245"/>
      <c r="R43" s="558">
        <f t="shared" si="1"/>
        <v>18907084.844344527</v>
      </c>
      <c r="S43" s="265">
        <f>SUM(R32:R43)</f>
        <v>197556431.56635299</v>
      </c>
      <c r="T43" s="245"/>
      <c r="U43"/>
      <c r="V43"/>
      <c r="W43"/>
      <c r="X43"/>
      <c r="Y43"/>
      <c r="Z43"/>
      <c r="AA43"/>
      <c r="AB43"/>
      <c r="AC43"/>
      <c r="AD43" s="261"/>
      <c r="AE43" s="245"/>
      <c r="AF43" s="245"/>
      <c r="AG43" s="245"/>
      <c r="AH43" s="245"/>
      <c r="AI43" s="245"/>
      <c r="AJ43" s="245"/>
      <c r="AK43" s="245"/>
      <c r="AL43" s="245"/>
      <c r="AM43" s="245"/>
    </row>
    <row r="44" spans="1:39" x14ac:dyDescent="0.2">
      <c r="A44" s="503">
        <f t="shared" si="2"/>
        <v>25</v>
      </c>
      <c r="B44" s="262" t="str">
        <f>CONCATENATE('3. Consumption by Rate Class'!B49,"-",'3. Consumption by Rate Class'!C49)</f>
        <v>2007-January</v>
      </c>
      <c r="C44" s="697">
        <v>19930521.599999998</v>
      </c>
      <c r="D44" s="703">
        <v>-51600</v>
      </c>
      <c r="E44" s="707"/>
      <c r="F44" s="703"/>
      <c r="G44" s="703"/>
      <c r="H44" s="704"/>
      <c r="I44" s="704"/>
      <c r="J44" s="263">
        <f t="shared" si="0"/>
        <v>19878921.599999998</v>
      </c>
      <c r="K44" s="725">
        <f>IF(K$18='5.Variables'!$B$16,+'5.Variables'!$C29,+IF(K$18='5.Variables'!$B$39,+'5.Variables'!$C52,+IF(K$18='5.Variables'!$B$62,+'5.Variables'!$C66,+IF(K$18='5.Variables'!$B$76,+'5.Variables'!$C80,+IF(K$18='5.Variables'!$B$90,+'5.Variables'!$C94,+IF(K$18='5.Variables'!$B$104,+'5.Variables'!$C108,0))))))</f>
        <v>797.1</v>
      </c>
      <c r="L44" s="725">
        <f>IF(L$18='5.Variables'!$B$16,+'5.Variables'!$C28,+IF(L$18='5.Variables'!$B$39,+'5.Variables'!$C52,+IF(L$18='5.Variables'!$B$62,+'5.Variables'!$C66,+IF(L$18='5.Variables'!$B$76,+'5.Variables'!$C80,+IF(L$18='5.Variables'!$B$90,+'5.Variables'!$C94,+IF(L$18='5.Variables'!$B$104,+'5.Variables'!$C108,0))))))</f>
        <v>0</v>
      </c>
      <c r="M44" s="725">
        <f>IF(M$18='5.Variables'!$B$16,+'5.Variables'!$C28,+IF(M$18='5.Variables'!$B$39,+'5.Variables'!$C52,+IF(M$18='5.Variables'!$B$62,+'5.Variables'!$C66,+IF(M$18='5.Variables'!$B$76,+'5.Variables'!$C80,+IF(M$18='5.Variables'!$B$90,+'5.Variables'!$C94,+IF(M$18='5.Variables'!$B$104,+'5.Variables'!$C108,0))))))</f>
        <v>1</v>
      </c>
      <c r="N44" s="725">
        <f>IF(N$18='5.Variables'!$B$16,+'5.Variables'!$C28,+IF(N$18='5.Variables'!$B$39,+'5.Variables'!$C52,+IF(N$18='5.Variables'!$B$62,+'5.Variables'!$C66,+IF(N$18='5.Variables'!$B$76,+'5.Variables'!$C80,+IF(N$18='5.Variables'!$B$90,+'5.Variables'!$C94,+IF(N$18='5.Variables'!$B$104,+'5.Variables'!$C108,0))))))</f>
        <v>1</v>
      </c>
      <c r="O44" s="725">
        <f>IF(O$18='5.Variables'!$B$16,+'5.Variables'!$C28,+IF(O$18='5.Variables'!$B$39,+'5.Variables'!$C52,+IF(O$18='5.Variables'!$B$62,+'5.Variables'!$C66,+IF(O$18='5.Variables'!$B$76,+'5.Variables'!$C80,+IF(O$18='5.Variables'!$B$90,+'5.Variables'!$C94,+IF(O$18='5.Variables'!$B$104,+'5.Variables'!$C108,0))))))</f>
        <v>31</v>
      </c>
      <c r="P44" s="725">
        <f>IF(P$18='5.Variables'!$B$16,+'5.Variables'!$C28,+IF(P$18='5.Variables'!$B$39,+'5.Variables'!$C52,+IF(P$18='5.Variables'!$B$62,+'5.Variables'!$C66,+IF(P$18='5.Variables'!$B$76,+'5.Variables'!$C80,+IF(P$18='5.Variables'!$B$90,+'5.Variables'!$C94,+IF(P$18='5.Variables'!$B$104,+'5.Variables'!$C108,0))))))</f>
        <v>0</v>
      </c>
      <c r="Q44" s="245"/>
      <c r="R44" s="558">
        <f t="shared" si="1"/>
        <v>20243088.415736448</v>
      </c>
      <c r="S44" s="265"/>
      <c r="T44" s="245"/>
      <c r="U44" s="266" t="s">
        <v>166</v>
      </c>
      <c r="V44" s="259"/>
      <c r="W44" s="259"/>
      <c r="X44" s="259"/>
      <c r="Y44" s="259"/>
      <c r="Z44" s="259"/>
      <c r="AA44" s="259"/>
      <c r="AB44" s="259"/>
      <c r="AC44" s="259"/>
      <c r="AD44" s="261"/>
      <c r="AE44" s="245"/>
      <c r="AF44" s="245"/>
      <c r="AG44" s="245"/>
      <c r="AH44" s="245"/>
      <c r="AI44" s="245"/>
      <c r="AJ44" s="245"/>
      <c r="AK44" s="245"/>
      <c r="AL44" s="245"/>
      <c r="AM44" s="245"/>
    </row>
    <row r="45" spans="1:39" x14ac:dyDescent="0.2">
      <c r="A45" s="503">
        <f t="shared" si="2"/>
        <v>26</v>
      </c>
      <c r="B45" s="262" t="str">
        <f>CONCATENATE('3. Consumption by Rate Class'!B50,"-",'3. Consumption by Rate Class'!C50)</f>
        <v>2007-February</v>
      </c>
      <c r="C45" s="697">
        <v>20103742.48</v>
      </c>
      <c r="D45" s="703">
        <v>-53400</v>
      </c>
      <c r="E45" s="707"/>
      <c r="F45" s="703"/>
      <c r="G45" s="703"/>
      <c r="H45" s="704"/>
      <c r="I45" s="704"/>
      <c r="J45" s="263">
        <f t="shared" si="0"/>
        <v>20050342.48</v>
      </c>
      <c r="K45" s="725">
        <f>IF(K$18='5.Variables'!$B$16,+'5.Variables'!$D29,+IF(K$18='5.Variables'!$B$39,+'5.Variables'!$D52,+IF(K$18='5.Variables'!$B$62,+'5.Variables'!$D66,+IF(K$18='5.Variables'!$B$76,+'5.Variables'!$D80,+IF(K$18='5.Variables'!$B$90,+'5.Variables'!$D94,+IF(K$18='5.Variables'!$B$104,+'5.Variables'!$D108,0))))))</f>
        <v>820</v>
      </c>
      <c r="L45" s="725">
        <f>IF(L$18='5.Variables'!$B$16,+'5.Variables'!$D28,+IF(L$18='5.Variables'!$B$39,+'5.Variables'!$D52,+IF(L$18='5.Variables'!$B$62,+'5.Variables'!$D66,+IF(L$18='5.Variables'!$B$76,+'5.Variables'!$D80,+IF(L$18='5.Variables'!$B$90,+'5.Variables'!$D94,+IF(L$18='5.Variables'!$B$104,+'5.Variables'!$D108,0))))))</f>
        <v>0</v>
      </c>
      <c r="M45" s="725">
        <f>IF(M$18='5.Variables'!$B$16,+'5.Variables'!$D28,+IF(M$18='5.Variables'!$B$39,+'5.Variables'!$D52,+IF(M$18='5.Variables'!$B$62,+'5.Variables'!$D66,+IF(M$18='5.Variables'!$B$76,+'5.Variables'!$D80,+IF(M$18='5.Variables'!$B$90,+'5.Variables'!$D94,+IF(M$18='5.Variables'!$B$104,+'5.Variables'!$D108,0))))))</f>
        <v>1</v>
      </c>
      <c r="N45" s="725">
        <f>IF(N$18='5.Variables'!$B$16,+'5.Variables'!$D28,+IF(N$18='5.Variables'!$B$39,+'5.Variables'!$D52,+IF(N$18='5.Variables'!$B$62,+'5.Variables'!$D66,+IF(N$18='5.Variables'!$B$76,+'5.Variables'!$D80,+IF(N$18='5.Variables'!$B$90,+'5.Variables'!$D94,+IF(N$18='5.Variables'!$B$104,+'5.Variables'!$D108,0))))))</f>
        <v>0</v>
      </c>
      <c r="O45" s="725">
        <f>IF(O$18='5.Variables'!$B$16,+'5.Variables'!$D28,+IF(O$18='5.Variables'!$B$39,+'5.Variables'!$D52,+IF(O$18='5.Variables'!$B$62,+'5.Variables'!$D66,+IF(O$18='5.Variables'!$B$76,+'5.Variables'!$D80,+IF(O$18='5.Variables'!$B$90,+'5.Variables'!$D94,+IF(O$18='5.Variables'!$B$104,+'5.Variables'!$D108,0))))))</f>
        <v>28</v>
      </c>
      <c r="P45" s="725">
        <f>IF(P$18='5.Variables'!$B$16,+'5.Variables'!$D28,+IF(P$18='5.Variables'!$B$39,+'5.Variables'!$D52,+IF(P$18='5.Variables'!$B$62,+'5.Variables'!$D66,+IF(P$18='5.Variables'!$B$76,+'5.Variables'!$D80,+IF(P$18='5.Variables'!$B$90,+'5.Variables'!$D94,+IF(P$18='5.Variables'!$B$104,+'5.Variables'!$D108,0))))))</f>
        <v>0</v>
      </c>
      <c r="Q45" s="245"/>
      <c r="R45" s="558">
        <f t="shared" si="1"/>
        <v>20406607.826665767</v>
      </c>
      <c r="S45" s="265"/>
      <c r="T45" s="245"/>
      <c r="U45" s="249" t="s">
        <v>33</v>
      </c>
      <c r="V45" s="249" t="s">
        <v>43</v>
      </c>
      <c r="W45" s="249" t="s">
        <v>45</v>
      </c>
      <c r="X45" s="249" t="s">
        <v>31</v>
      </c>
      <c r="Y45" s="249" t="s">
        <v>45</v>
      </c>
      <c r="Z45" s="249" t="s">
        <v>46</v>
      </c>
      <c r="AA45" s="245"/>
      <c r="AB45" s="245"/>
      <c r="AC45" s="245"/>
      <c r="AD45" s="261"/>
      <c r="AE45" s="245"/>
      <c r="AF45" s="245"/>
      <c r="AG45" s="245"/>
      <c r="AH45" s="245"/>
      <c r="AI45" s="245"/>
      <c r="AJ45" s="245"/>
      <c r="AK45" s="245"/>
      <c r="AL45" s="245"/>
      <c r="AM45" s="245"/>
    </row>
    <row r="46" spans="1:39" x14ac:dyDescent="0.2">
      <c r="A46" s="503">
        <f t="shared" si="2"/>
        <v>27</v>
      </c>
      <c r="B46" s="262" t="str">
        <f>CONCATENATE('3. Consumption by Rate Class'!B51,"-",'3. Consumption by Rate Class'!C51)</f>
        <v>2007-March</v>
      </c>
      <c r="C46" s="697">
        <v>18408483.109999999</v>
      </c>
      <c r="D46" s="703">
        <v>-55200</v>
      </c>
      <c r="E46" s="707"/>
      <c r="F46" s="703"/>
      <c r="G46" s="703"/>
      <c r="H46" s="704"/>
      <c r="I46" s="704"/>
      <c r="J46" s="263">
        <f t="shared" si="0"/>
        <v>18353283.109999999</v>
      </c>
      <c r="K46" s="725">
        <f>IF(K$18='5.Variables'!$B$16,+'5.Variables'!$E29,+IF(K$18='5.Variables'!$B$39,+'5.Variables'!$E52,+IF(K$18='5.Variables'!$B$62,+'5.Variables'!$E66,+IF(K$18='5.Variables'!$B$76,+'5.Variables'!$E80,+IF(K$18='5.Variables'!$B$90,+'5.Variables'!$E94,+IF(K$18='5.Variables'!$B$104,+'5.Variables'!$E108,0))))))</f>
        <v>643</v>
      </c>
      <c r="L46" s="725">
        <f>IF(L$18='5.Variables'!$B$16,+'5.Variables'!$E28,+IF(L$18='5.Variables'!$B$39,+'5.Variables'!$E52,+IF(L$18='5.Variables'!$B$62,+'5.Variables'!$E66,+IF(L$18='5.Variables'!$B$76,+'5.Variables'!$E80,+IF(L$18='5.Variables'!$B$90,+'5.Variables'!$E94,+IF(L$18='5.Variables'!$B$104,+'5.Variables'!$E108,0))))))</f>
        <v>0</v>
      </c>
      <c r="M46" s="725">
        <f>IF(M$18='5.Variables'!$B$16,+'5.Variables'!$E28,+IF(M$18='5.Variables'!$B$39,+'5.Variables'!$E52,+IF(M$18='5.Variables'!$B$62,+'5.Variables'!$E66,+IF(M$18='5.Variables'!$B$76,+'5.Variables'!$E80,+IF(M$18='5.Variables'!$B$90,+'5.Variables'!$E94,+IF(M$18='5.Variables'!$B$104,+'5.Variables'!$E108,0))))))</f>
        <v>0</v>
      </c>
      <c r="N46" s="725">
        <f>IF(N$18='5.Variables'!$B$16,+'5.Variables'!$E28,+IF(N$18='5.Variables'!$B$39,+'5.Variables'!$E52,+IF(N$18='5.Variables'!$B$62,+'5.Variables'!$E66,+IF(N$18='5.Variables'!$B$76,+'5.Variables'!$E80,+IF(N$18='5.Variables'!$B$90,+'5.Variables'!$E94,+IF(N$18='5.Variables'!$B$104,+'5.Variables'!$E108,0))))))</f>
        <v>1</v>
      </c>
      <c r="O46" s="725">
        <f>IF(O$18='5.Variables'!$B$16,+'5.Variables'!$E28,+IF(O$18='5.Variables'!$B$39,+'5.Variables'!$E52,+IF(O$18='5.Variables'!$B$62,+'5.Variables'!$E66,+IF(O$18='5.Variables'!$B$76,+'5.Variables'!$E80,+IF(O$18='5.Variables'!$B$90,+'5.Variables'!$E94,+IF(O$18='5.Variables'!$B$104,+'5.Variables'!$E108,0))))))</f>
        <v>31</v>
      </c>
      <c r="P46" s="725">
        <f>IF(P$18='5.Variables'!$B$16,+'5.Variables'!$E28,+IF(P$18='5.Variables'!$B$39,+'5.Variables'!$E52,+IF(P$18='5.Variables'!$B$62,+'5.Variables'!$E66,+IF(P$18='5.Variables'!$B$76,+'5.Variables'!$E80,+IF(P$18='5.Variables'!$B$90,+'5.Variables'!$E94,+IF(P$18='5.Variables'!$B$104,+'5.Variables'!$E108,0))))))</f>
        <v>0</v>
      </c>
      <c r="Q46" s="245"/>
      <c r="R46" s="558">
        <f t="shared" si="1"/>
        <v>17667775.94792391</v>
      </c>
      <c r="S46" s="265"/>
      <c r="T46" s="245"/>
      <c r="U46" s="250">
        <f>'4. Customer Growth'!B17</f>
        <v>2005</v>
      </c>
      <c r="V46" s="267">
        <f>SUM(J20:J31)</f>
        <v>209871328.75141218</v>
      </c>
      <c r="W46" s="267"/>
      <c r="X46" s="267">
        <f>S31</f>
        <v>203844303.0754298</v>
      </c>
      <c r="Y46" s="267"/>
      <c r="Z46" s="268">
        <f t="shared" ref="Z46:Z55" si="3">(X46-V46)/V46</f>
        <v>-2.8717718193518756E-2</v>
      </c>
      <c r="AA46" s="245"/>
      <c r="AB46" s="245"/>
      <c r="AC46" s="245"/>
      <c r="AD46" s="261"/>
      <c r="AE46" s="245"/>
      <c r="AF46" s="245"/>
      <c r="AG46" s="245"/>
      <c r="AH46" s="245"/>
      <c r="AI46" s="245"/>
      <c r="AJ46" s="245"/>
      <c r="AK46" s="245"/>
      <c r="AL46" s="245"/>
      <c r="AM46" s="245"/>
    </row>
    <row r="47" spans="1:39" x14ac:dyDescent="0.2">
      <c r="A47" s="503">
        <f t="shared" si="2"/>
        <v>28</v>
      </c>
      <c r="B47" s="262" t="str">
        <f>CONCATENATE('3. Consumption by Rate Class'!B52,"-",'3. Consumption by Rate Class'!C52)</f>
        <v>2007-April</v>
      </c>
      <c r="C47" s="697">
        <v>16371659.470000001</v>
      </c>
      <c r="D47" s="703">
        <v>-51600</v>
      </c>
      <c r="E47" s="707"/>
      <c r="F47" s="703"/>
      <c r="G47" s="703"/>
      <c r="H47" s="704"/>
      <c r="I47" s="704"/>
      <c r="J47" s="263">
        <f t="shared" si="0"/>
        <v>16320059.470000001</v>
      </c>
      <c r="K47" s="725">
        <f>IF(K$18='5.Variables'!$B$16,+'5.Variables'!$F29,+IF(K$18='5.Variables'!$B$39,+'5.Variables'!$F52,+IF(K$18='5.Variables'!$B$62,+'5.Variables'!$F66,+IF(K$18='5.Variables'!$B$76,+'5.Variables'!$F80,+IF(K$18='5.Variables'!$B$90,+'5.Variables'!$F94,+IF(K$18='5.Variables'!$B$104,+'5.Variables'!$F108,0))))))</f>
        <v>361.1</v>
      </c>
      <c r="L47" s="725">
        <f>IF(L$18='5.Variables'!$B$16,+'5.Variables'!$F28,+IF(L$18='5.Variables'!$B$39,+'5.Variables'!$F52,+IF(L$18='5.Variables'!$B$62,+'5.Variables'!$F66,+IF(L$18='5.Variables'!$B$76,+'5.Variables'!$F80,+IF(L$18='5.Variables'!$B$90,+'5.Variables'!$F94,+IF(L$18='5.Variables'!$B$104,+'5.Variables'!$F108,0))))))</f>
        <v>0</v>
      </c>
      <c r="M47" s="725">
        <f>IF(M$18='5.Variables'!$B$16,+'5.Variables'!$F28,+IF(M$18='5.Variables'!$B$39,+'5.Variables'!$F52,+IF(M$18='5.Variables'!$B$62,+'5.Variables'!$F66,+IF(M$18='5.Variables'!$B$76,+'5.Variables'!$F80,+IF(M$18='5.Variables'!$B$90,+'5.Variables'!$F94,+IF(M$18='5.Variables'!$B$104,+'5.Variables'!$F108,0))))))</f>
        <v>0</v>
      </c>
      <c r="N47" s="725">
        <f>IF(N$18='5.Variables'!$B$16,+'5.Variables'!$F28,+IF(N$18='5.Variables'!$B$39,+'5.Variables'!$F52,+IF(N$18='5.Variables'!$B$62,+'5.Variables'!$F66,+IF(N$18='5.Variables'!$B$76,+'5.Variables'!$F80,+IF(N$18='5.Variables'!$B$90,+'5.Variables'!$F94,+IF(N$18='5.Variables'!$B$104,+'5.Variables'!$F108,0))))))</f>
        <v>0</v>
      </c>
      <c r="O47" s="725">
        <f>IF(O$18='5.Variables'!$B$16,+'5.Variables'!$F28,+IF(O$18='5.Variables'!$B$39,+'5.Variables'!$F52,+IF(O$18='5.Variables'!$B$62,+'5.Variables'!$F66,+IF(O$18='5.Variables'!$B$76,+'5.Variables'!$F80,+IF(O$18='5.Variables'!$B$90,+'5.Variables'!$F94,+IF(O$18='5.Variables'!$B$104,+'5.Variables'!$F108,0))))))</f>
        <v>30</v>
      </c>
      <c r="P47" s="725">
        <f>IF(P$18='5.Variables'!$B$16,+'5.Variables'!$F28,+IF(P$18='5.Variables'!$B$39,+'5.Variables'!$F52,+IF(P$18='5.Variables'!$B$62,+'5.Variables'!$F66,+IF(P$18='5.Variables'!$B$76,+'5.Variables'!$F80,+IF(P$18='5.Variables'!$B$90,+'5.Variables'!$F94,+IF(P$18='5.Variables'!$B$104,+'5.Variables'!$F108,0))))))</f>
        <v>0</v>
      </c>
      <c r="Q47" s="245"/>
      <c r="R47" s="558">
        <f t="shared" si="1"/>
        <v>15654844.858798401</v>
      </c>
      <c r="S47" s="265"/>
      <c r="T47" s="245"/>
      <c r="U47" s="250">
        <f>'4. Customer Growth'!B18</f>
        <v>2006</v>
      </c>
      <c r="V47" s="267">
        <f>SUM(J32:J43)</f>
        <v>203367791.46020103</v>
      </c>
      <c r="W47" s="268">
        <f>(V47-V46)/V46</f>
        <v>-3.0988212300854349E-2</v>
      </c>
      <c r="X47" s="267">
        <f>S43</f>
        <v>197556431.56635299</v>
      </c>
      <c r="Y47" s="268">
        <f>(X47-X46)/X46</f>
        <v>-3.0846442182640068E-2</v>
      </c>
      <c r="Z47" s="268">
        <f t="shared" si="3"/>
        <v>-2.8575615893361914E-2</v>
      </c>
      <c r="AA47" s="245"/>
      <c r="AB47" s="245"/>
      <c r="AC47" s="245"/>
      <c r="AD47" s="245"/>
      <c r="AE47" s="245"/>
      <c r="AF47" s="245"/>
      <c r="AG47" s="245"/>
      <c r="AH47" s="245"/>
      <c r="AI47" s="245"/>
      <c r="AJ47" s="245"/>
      <c r="AK47" s="245"/>
      <c r="AL47" s="245"/>
      <c r="AM47" s="245"/>
    </row>
    <row r="48" spans="1:39" x14ac:dyDescent="0.2">
      <c r="A48" s="503">
        <f t="shared" si="2"/>
        <v>29</v>
      </c>
      <c r="B48" s="262" t="str">
        <f>CONCATENATE('3. Consumption by Rate Class'!B53,"-",'3. Consumption by Rate Class'!C53)</f>
        <v>2007-May</v>
      </c>
      <c r="C48" s="697">
        <v>14545862.369999999</v>
      </c>
      <c r="D48" s="703">
        <v>-48600</v>
      </c>
      <c r="E48" s="707"/>
      <c r="F48" s="703"/>
      <c r="G48" s="703"/>
      <c r="H48" s="704"/>
      <c r="I48" s="704"/>
      <c r="J48" s="263">
        <f t="shared" si="0"/>
        <v>14497262.369999999</v>
      </c>
      <c r="K48" s="725">
        <f>IF(K$18='5.Variables'!$B$16,+'5.Variables'!$G29,+IF(K$18='5.Variables'!$B$39,+'5.Variables'!$G52,+IF(K$18='5.Variables'!$B$62,+'5.Variables'!$G66,+IF(K$18='5.Variables'!$B$76,+'5.Variables'!$G80,+IF(K$18='5.Variables'!$B$90,+'5.Variables'!$G94,+IF(K$18='5.Variables'!$B$104,+'5.Variables'!$G108,0))))))</f>
        <v>157.30000000000001</v>
      </c>
      <c r="L48" s="725">
        <f>IF(L$18='5.Variables'!$B$16,+'5.Variables'!$G28,+IF(L$18='5.Variables'!$B$39,+'5.Variables'!$G52,+IF(L$18='5.Variables'!$B$62,+'5.Variables'!$G66,+IF(L$18='5.Variables'!$B$76,+'5.Variables'!$G80,+IF(L$18='5.Variables'!$B$90,+'5.Variables'!$G94,+IF(L$18='5.Variables'!$B$104,+'5.Variables'!$G108,0))))))</f>
        <v>17.3</v>
      </c>
      <c r="M48" s="725">
        <f>IF(M$18='5.Variables'!$B$16,+'5.Variables'!$G28,+IF(M$18='5.Variables'!$B$39,+'5.Variables'!$G52,+IF(M$18='5.Variables'!$B$62,+'5.Variables'!$G66,+IF(M$18='5.Variables'!$B$76,+'5.Variables'!$G80,+IF(M$18='5.Variables'!$B$90,+'5.Variables'!$G94,+IF(M$18='5.Variables'!$B$104,+'5.Variables'!$G108,0))))))</f>
        <v>0</v>
      </c>
      <c r="N48" s="725">
        <f>IF(N$18='5.Variables'!$B$16,+'5.Variables'!$G28,+IF(N$18='5.Variables'!$B$39,+'5.Variables'!$G52,+IF(N$18='5.Variables'!$B$62,+'5.Variables'!$G66,+IF(N$18='5.Variables'!$B$76,+'5.Variables'!$G80,+IF(N$18='5.Variables'!$B$90,+'5.Variables'!$G94,+IF(N$18='5.Variables'!$B$104,+'5.Variables'!$G108,0))))))</f>
        <v>0</v>
      </c>
      <c r="O48" s="725">
        <f>IF(O$18='5.Variables'!$B$16,+'5.Variables'!$G28,+IF(O$18='5.Variables'!$B$39,+'5.Variables'!$G52,+IF(O$18='5.Variables'!$B$62,+'5.Variables'!$G66,+IF(O$18='5.Variables'!$B$76,+'5.Variables'!$G80,+IF(O$18='5.Variables'!$B$90,+'5.Variables'!$G94,+IF(O$18='5.Variables'!$B$104,+'5.Variables'!$G108,0))))))</f>
        <v>31</v>
      </c>
      <c r="P48" s="725">
        <f>IF(P$18='5.Variables'!$B$16,+'5.Variables'!$G28,+IF(P$18='5.Variables'!$B$39,+'5.Variables'!$G52,+IF(P$18='5.Variables'!$B$62,+'5.Variables'!$G66,+IF(P$18='5.Variables'!$B$76,+'5.Variables'!$G80,+IF(P$18='5.Variables'!$B$90,+'5.Variables'!$G94,+IF(P$18='5.Variables'!$B$104,+'5.Variables'!$G108,0))))))</f>
        <v>0</v>
      </c>
      <c r="Q48" s="245"/>
      <c r="R48" s="558">
        <f t="shared" si="1"/>
        <v>14675643.310065243</v>
      </c>
      <c r="S48" s="265"/>
      <c r="T48" s="245"/>
      <c r="U48" s="250">
        <f>'4. Customer Growth'!B19</f>
        <v>2007</v>
      </c>
      <c r="V48" s="267">
        <f>SUM(J44:J55)</f>
        <v>205302856.46000004</v>
      </c>
      <c r="W48" s="268">
        <f t="shared" ref="W48:Y55" si="4">(V48-V47)/V47</f>
        <v>9.5151006258417485E-3</v>
      </c>
      <c r="X48" s="267">
        <f>S55</f>
        <v>200186936.8660098</v>
      </c>
      <c r="Y48" s="268">
        <f t="shared" si="4"/>
        <v>1.3315209627955365E-2</v>
      </c>
      <c r="Z48" s="268">
        <f t="shared" si="3"/>
        <v>-2.4918891447508872E-2</v>
      </c>
      <c r="AA48" s="245"/>
      <c r="AB48" s="245"/>
      <c r="AC48" s="245"/>
      <c r="AD48" s="245"/>
      <c r="AE48" s="245"/>
      <c r="AF48" s="245"/>
      <c r="AG48" s="245"/>
      <c r="AH48" s="245"/>
      <c r="AI48" s="245"/>
      <c r="AJ48" s="245"/>
      <c r="AK48" s="245"/>
      <c r="AL48" s="245"/>
      <c r="AM48" s="245"/>
    </row>
    <row r="49" spans="1:39" x14ac:dyDescent="0.2">
      <c r="A49" s="503">
        <f t="shared" si="2"/>
        <v>30</v>
      </c>
      <c r="B49" s="262" t="str">
        <f>CONCATENATE('3. Consumption by Rate Class'!B54,"-",'3. Consumption by Rate Class'!C54)</f>
        <v>2007-June</v>
      </c>
      <c r="C49" s="697">
        <v>15445020.369999999</v>
      </c>
      <c r="D49" s="703">
        <v>-43200</v>
      </c>
      <c r="E49" s="707"/>
      <c r="F49" s="703"/>
      <c r="G49" s="703"/>
      <c r="H49" s="704"/>
      <c r="I49" s="704"/>
      <c r="J49" s="263">
        <f t="shared" si="0"/>
        <v>15401820.369999999</v>
      </c>
      <c r="K49" s="725">
        <f>IF(K$18='5.Variables'!$B$16,+'5.Variables'!$H29,+IF(K$18='5.Variables'!$B$39,+'5.Variables'!$H52,+IF(K$18='5.Variables'!$B$62,+'5.Variables'!$H66,+IF(K$18='5.Variables'!$B$76,+'5.Variables'!$H80,+IF(K$18='5.Variables'!$B$90,+'5.Variables'!$H94,+IF(K$18='5.Variables'!$B$104,+'5.Variables'!$H108,0))))))</f>
        <v>34.200000000000003</v>
      </c>
      <c r="L49" s="725">
        <f>IF(L$18='5.Variables'!$B$16,+'5.Variables'!$H28,+IF(L$18='5.Variables'!$B$39,+'5.Variables'!$H52,+IF(L$18='5.Variables'!$B$62,+'5.Variables'!$H66,+IF(L$18='5.Variables'!$B$76,+'5.Variables'!$H80,+IF(L$18='5.Variables'!$B$90,+'5.Variables'!$H94,+IF(L$18='5.Variables'!$B$104,+'5.Variables'!$H108,0))))))</f>
        <v>66.900000000000006</v>
      </c>
      <c r="M49" s="725">
        <f>IF(M$18='5.Variables'!$B$16,+'5.Variables'!$H28,+IF(M$18='5.Variables'!$B$39,+'5.Variables'!$H52,+IF(M$18='5.Variables'!$B$62,+'5.Variables'!$H66,+IF(M$18='5.Variables'!$B$76,+'5.Variables'!$H80,+IF(M$18='5.Variables'!$B$90,+'5.Variables'!$H94,+IF(M$18='5.Variables'!$B$104,+'5.Variables'!$H108,0))))))</f>
        <v>0</v>
      </c>
      <c r="N49" s="725">
        <f>IF(N$18='5.Variables'!$B$16,+'5.Variables'!$H28,+IF(N$18='5.Variables'!$B$39,+'5.Variables'!$H52,+IF(N$18='5.Variables'!$B$62,+'5.Variables'!$H66,+IF(N$18='5.Variables'!$B$76,+'5.Variables'!$H80,+IF(N$18='5.Variables'!$B$90,+'5.Variables'!$H94,+IF(N$18='5.Variables'!$B$104,+'5.Variables'!$H108,0))))))</f>
        <v>0</v>
      </c>
      <c r="O49" s="725">
        <f>IF(O$18='5.Variables'!$B$16,+'5.Variables'!$H28,+IF(O$18='5.Variables'!$B$39,+'5.Variables'!$H52,+IF(O$18='5.Variables'!$B$62,+'5.Variables'!$H66,+IF(O$18='5.Variables'!$B$76,+'5.Variables'!$H80,+IF(O$18='5.Variables'!$B$90,+'5.Variables'!$H94,+IF(O$18='5.Variables'!$B$104,+'5.Variables'!$H108,0))))))</f>
        <v>30</v>
      </c>
      <c r="P49" s="725">
        <f>IF(P$18='5.Variables'!$B$16,+'5.Variables'!$H28,+IF(P$18='5.Variables'!$B$39,+'5.Variables'!$H52,+IF(P$18='5.Variables'!$B$62,+'5.Variables'!$H66,+IF(P$18='5.Variables'!$B$76,+'5.Variables'!$H80,+IF(P$18='5.Variables'!$B$90,+'5.Variables'!$H94,+IF(P$18='5.Variables'!$B$104,+'5.Variables'!$H108,0))))))</f>
        <v>0</v>
      </c>
      <c r="Q49" s="245"/>
      <c r="R49" s="558">
        <f t="shared" si="1"/>
        <v>15161496.768884188</v>
      </c>
      <c r="S49" s="265"/>
      <c r="T49" s="245"/>
      <c r="U49" s="250">
        <f>'4. Customer Growth'!B20</f>
        <v>2008</v>
      </c>
      <c r="V49" s="267">
        <f>SUM(J56:J67)</f>
        <v>194146899.85907778</v>
      </c>
      <c r="W49" s="268">
        <f t="shared" si="4"/>
        <v>-5.4339022813819519E-2</v>
      </c>
      <c r="X49" s="267">
        <f>S67</f>
        <v>199277158.67089084</v>
      </c>
      <c r="Y49" s="268">
        <f t="shared" si="4"/>
        <v>-4.5446431688392405E-3</v>
      </c>
      <c r="Z49" s="268">
        <f t="shared" si="3"/>
        <v>2.6424623908683956E-2</v>
      </c>
      <c r="AA49" s="245"/>
      <c r="AB49" s="245"/>
      <c r="AC49" s="245"/>
      <c r="AD49" s="245"/>
      <c r="AE49" s="245"/>
      <c r="AF49" s="245"/>
      <c r="AG49" s="245"/>
      <c r="AH49" s="245"/>
      <c r="AI49" s="245"/>
      <c r="AJ49" s="245"/>
      <c r="AK49" s="245"/>
      <c r="AL49" s="245"/>
      <c r="AM49" s="245"/>
    </row>
    <row r="50" spans="1:39" x14ac:dyDescent="0.2">
      <c r="A50" s="503">
        <f t="shared" si="2"/>
        <v>31</v>
      </c>
      <c r="B50" s="262" t="str">
        <f>CONCATENATE('3. Consumption by Rate Class'!B55,"-",'3. Consumption by Rate Class'!C55)</f>
        <v>2007-July</v>
      </c>
      <c r="C50" s="697">
        <v>15701638.34</v>
      </c>
      <c r="D50" s="703">
        <v>-18600</v>
      </c>
      <c r="E50" s="707"/>
      <c r="F50" s="703"/>
      <c r="G50" s="703"/>
      <c r="H50" s="704"/>
      <c r="I50" s="704"/>
      <c r="J50" s="263">
        <f t="shared" si="0"/>
        <v>15683038.34</v>
      </c>
      <c r="K50" s="725">
        <f>IF(K$18='5.Variables'!$B$16,+'5.Variables'!$I29,+IF(K$18='5.Variables'!$B$39,+'5.Variables'!$I52,+IF(K$18='5.Variables'!$B$62,+'5.Variables'!$I66,+IF(K$18='5.Variables'!$B$76,+'5.Variables'!$I80,+IF(K$18='5.Variables'!$B$90,+'5.Variables'!$I94,+IF(K$18='5.Variables'!$B$104,+'5.Variables'!$I108,0))))))</f>
        <v>11.8</v>
      </c>
      <c r="L50" s="725">
        <f>IF(L$18='5.Variables'!$B$16,+'5.Variables'!$I28,+IF(L$18='5.Variables'!$B$39,+'5.Variables'!$I52,+IF(L$18='5.Variables'!$B$62,+'5.Variables'!$I66,+IF(L$18='5.Variables'!$B$76,+'5.Variables'!$I80,+IF(L$18='5.Variables'!$B$90,+'5.Variables'!$I94,+IF(L$18='5.Variables'!$B$104,+'5.Variables'!$I108,0))))))</f>
        <v>65.099999999999994</v>
      </c>
      <c r="M50" s="725">
        <f>IF(M$18='5.Variables'!$B$16,+'5.Variables'!$I28,+IF(M$18='5.Variables'!$B$39,+'5.Variables'!$I52,+IF(M$18='5.Variables'!$B$62,+'5.Variables'!$I66,+IF(M$18='5.Variables'!$B$76,+'5.Variables'!$I80,+IF(M$18='5.Variables'!$B$90,+'5.Variables'!$I94,+IF(M$18='5.Variables'!$B$104,+'5.Variables'!$I108,0))))))</f>
        <v>0</v>
      </c>
      <c r="N50" s="725">
        <f>IF(N$18='5.Variables'!$B$16,+'5.Variables'!$I28,+IF(N$18='5.Variables'!$B$39,+'5.Variables'!$I52,+IF(N$18='5.Variables'!$B$62,+'5.Variables'!$I66,+IF(N$18='5.Variables'!$B$76,+'5.Variables'!$I80,+IF(N$18='5.Variables'!$B$90,+'5.Variables'!$I94,+IF(N$18='5.Variables'!$B$104,+'5.Variables'!$I108,0))))))</f>
        <v>1</v>
      </c>
      <c r="O50" s="725">
        <f>IF(O$18='5.Variables'!$B$16,+'5.Variables'!$I28,+IF(O$18='5.Variables'!$B$39,+'5.Variables'!$I52,+IF(O$18='5.Variables'!$B$62,+'5.Variables'!$I66,+IF(O$18='5.Variables'!$B$76,+'5.Variables'!$I80,+IF(O$18='5.Variables'!$B$90,+'5.Variables'!$I94,+IF(O$18='5.Variables'!$B$104,+'5.Variables'!$I108,0))))))</f>
        <v>31</v>
      </c>
      <c r="P50" s="725">
        <f>IF(P$18='5.Variables'!$B$16,+'5.Variables'!$I28,+IF(P$18='5.Variables'!$B$39,+'5.Variables'!$I52,+IF(P$18='5.Variables'!$B$62,+'5.Variables'!$I66,+IF(P$18='5.Variables'!$B$76,+'5.Variables'!$I80,+IF(P$18='5.Variables'!$B$90,+'5.Variables'!$I94,+IF(P$18='5.Variables'!$B$104,+'5.Variables'!$I108,0))))))</f>
        <v>0</v>
      </c>
      <c r="Q50" s="245"/>
      <c r="R50" s="558">
        <f t="shared" si="1"/>
        <v>14952016.457427343</v>
      </c>
      <c r="S50" s="265"/>
      <c r="T50" s="245"/>
      <c r="U50" s="250">
        <f>'4. Customer Growth'!B21</f>
        <v>2009</v>
      </c>
      <c r="V50" s="267">
        <f>SUM(J68:J79)</f>
        <v>201115656.45999998</v>
      </c>
      <c r="W50" s="268">
        <f t="shared" si="4"/>
        <v>3.5894246088814676E-2</v>
      </c>
      <c r="X50" s="267">
        <f>S79</f>
        <v>198683586.06453371</v>
      </c>
      <c r="Y50" s="268">
        <f t="shared" si="4"/>
        <v>-2.9786284103810478E-3</v>
      </c>
      <c r="Z50" s="268">
        <f t="shared" si="3"/>
        <v>-1.2092894398552129E-2</v>
      </c>
      <c r="AA50" s="245"/>
      <c r="AB50" s="245"/>
      <c r="AC50" s="245"/>
      <c r="AD50" s="245"/>
      <c r="AE50" s="245"/>
      <c r="AF50" s="245"/>
      <c r="AG50" s="245"/>
      <c r="AH50" s="245"/>
      <c r="AI50" s="245"/>
      <c r="AJ50" s="245"/>
      <c r="AK50" s="245"/>
      <c r="AL50" s="245"/>
      <c r="AM50" s="245"/>
    </row>
    <row r="51" spans="1:39" x14ac:dyDescent="0.2">
      <c r="A51" s="503">
        <f t="shared" si="2"/>
        <v>32</v>
      </c>
      <c r="B51" s="262" t="str">
        <f>CONCATENATE('3. Consumption by Rate Class'!B56,"-",'3. Consumption by Rate Class'!C56)</f>
        <v>2007-August</v>
      </c>
      <c r="C51" s="697">
        <v>15347848.23</v>
      </c>
      <c r="D51" s="703">
        <v>-46800</v>
      </c>
      <c r="E51" s="707"/>
      <c r="F51" s="703"/>
      <c r="G51" s="703"/>
      <c r="H51" s="704"/>
      <c r="I51" s="704"/>
      <c r="J51" s="263">
        <f t="shared" si="0"/>
        <v>15301048.23</v>
      </c>
      <c r="K51" s="725">
        <f>IF(K$18='5.Variables'!$B$16,+'5.Variables'!$J29,+IF(K$18='5.Variables'!$B$39,+'5.Variables'!$J52,+IF(K$18='5.Variables'!$B$62,+'5.Variables'!$J66,+IF(K$18='5.Variables'!$B$76,+'5.Variables'!$J80,+IF(K$18='5.Variables'!$B$90,+'5.Variables'!$J94,+IF(K$18='5.Variables'!$B$104,+'5.Variables'!$J108,0))))))</f>
        <v>20.100000000000001</v>
      </c>
      <c r="L51" s="725">
        <f>IF(L$18='5.Variables'!$B$16,+'5.Variables'!$J28,+IF(L$18='5.Variables'!$B$39,+'5.Variables'!$J52,+IF(L$18='5.Variables'!$B$62,+'5.Variables'!$J66,+IF(L$18='5.Variables'!$B$76,+'5.Variables'!$J80,+IF(L$18='5.Variables'!$B$90,+'5.Variables'!$J94,+IF(L$18='5.Variables'!$B$104,+'5.Variables'!$J108,0))))))</f>
        <v>79.3</v>
      </c>
      <c r="M51" s="725">
        <f>IF(M$18='5.Variables'!$B$16,+'5.Variables'!$J28,+IF(M$18='5.Variables'!$B$39,+'5.Variables'!$J52,+IF(M$18='5.Variables'!$B$62,+'5.Variables'!$J66,+IF(M$18='5.Variables'!$B$76,+'5.Variables'!$J80,+IF(M$18='5.Variables'!$B$90,+'5.Variables'!$J94,+IF(M$18='5.Variables'!$B$104,+'5.Variables'!$J108,0))))))</f>
        <v>0</v>
      </c>
      <c r="N51" s="725">
        <f>IF(N$18='5.Variables'!$B$16,+'5.Variables'!$J28,+IF(N$18='5.Variables'!$B$39,+'5.Variables'!$J52,+IF(N$18='5.Variables'!$B$62,+'5.Variables'!$J66,+IF(N$18='5.Variables'!$B$76,+'5.Variables'!$J80,+IF(N$18='5.Variables'!$B$90,+'5.Variables'!$J94,+IF(N$18='5.Variables'!$B$104,+'5.Variables'!$J108,0))))))</f>
        <v>0</v>
      </c>
      <c r="O51" s="725">
        <f>IF(O$18='5.Variables'!$B$16,+'5.Variables'!$J28,+IF(O$18='5.Variables'!$B$39,+'5.Variables'!$J52,+IF(O$18='5.Variables'!$B$62,+'5.Variables'!$J66,+IF(O$18='5.Variables'!$B$76,+'5.Variables'!$J80,+IF(O$18='5.Variables'!$B$90,+'5.Variables'!$J94,+IF(O$18='5.Variables'!$B$104,+'5.Variables'!$J108,0))))))</f>
        <v>31</v>
      </c>
      <c r="P51" s="725">
        <f>IF(P$18='5.Variables'!$B$16,+'5.Variables'!$J28,+IF(P$18='5.Variables'!$B$39,+'5.Variables'!$J52,+IF(P$18='5.Variables'!$B$62,+'5.Variables'!$J66,+IF(P$18='5.Variables'!$B$76,+'5.Variables'!$J80,+IF(P$18='5.Variables'!$B$90,+'5.Variables'!$J94,+IF(P$18='5.Variables'!$B$104,+'5.Variables'!$J108,0))))))</f>
        <v>0</v>
      </c>
      <c r="Q51" s="245"/>
      <c r="R51" s="558">
        <f t="shared" si="1"/>
        <v>15402029.398970859</v>
      </c>
      <c r="S51" s="265"/>
      <c r="T51" s="245"/>
      <c r="U51" s="250">
        <f>'4. Customer Growth'!B22</f>
        <v>2010</v>
      </c>
      <c r="V51" s="267">
        <f>SUM(J80:J91)</f>
        <v>197081317.46300003</v>
      </c>
      <c r="W51" s="268">
        <f t="shared" si="4"/>
        <v>-2.0059795781251579E-2</v>
      </c>
      <c r="X51" s="267">
        <f>S91</f>
        <v>199197021.01412955</v>
      </c>
      <c r="Y51" s="268">
        <f t="shared" si="4"/>
        <v>2.5841840273059689E-3</v>
      </c>
      <c r="Z51" s="268">
        <f t="shared" si="3"/>
        <v>1.0735180677522726E-2</v>
      </c>
      <c r="AA51" s="245"/>
      <c r="AB51" s="245"/>
      <c r="AC51" s="245"/>
      <c r="AD51" s="245"/>
      <c r="AE51" s="245"/>
      <c r="AF51" s="245"/>
      <c r="AG51" s="245"/>
      <c r="AH51" s="245"/>
      <c r="AI51" s="245"/>
      <c r="AJ51" s="245"/>
      <c r="AK51" s="245"/>
      <c r="AL51" s="245"/>
      <c r="AM51" s="245"/>
    </row>
    <row r="52" spans="1:39" x14ac:dyDescent="0.2">
      <c r="A52" s="503">
        <f t="shared" si="2"/>
        <v>33</v>
      </c>
      <c r="B52" s="262" t="str">
        <f>CONCATENATE('3. Consumption by Rate Class'!B57,"-",'3. Consumption by Rate Class'!C57)</f>
        <v>2007-September</v>
      </c>
      <c r="C52" s="697">
        <v>15532450.050000001</v>
      </c>
      <c r="D52" s="703">
        <v>-37200</v>
      </c>
      <c r="E52" s="707"/>
      <c r="F52" s="703"/>
      <c r="G52" s="703"/>
      <c r="H52" s="704"/>
      <c r="I52" s="704"/>
      <c r="J52" s="263">
        <f t="shared" si="0"/>
        <v>15495250.050000001</v>
      </c>
      <c r="K52" s="725">
        <f>IF(K$18='5.Variables'!$B$16,+'5.Variables'!$K29,+IF(K$18='5.Variables'!$B$39,+'5.Variables'!$K52,+IF(K$18='5.Variables'!$B$62,+'5.Variables'!$K66,+IF(K$18='5.Variables'!$B$76,+'5.Variables'!$K80,+IF(K$18='5.Variables'!$B$90,+'5.Variables'!$K94,+IF(K$18='5.Variables'!$B$104,+'5.Variables'!$K108,0))))))</f>
        <v>76</v>
      </c>
      <c r="L52" s="725">
        <f>IF(L$18='5.Variables'!$B$16,+'5.Variables'!$K28,+IF(L$18='5.Variables'!$B$39,+'5.Variables'!$K52,+IF(L$18='5.Variables'!$B$62,+'5.Variables'!$K66,+IF(L$18='5.Variables'!$B$76,+'5.Variables'!$K80,+IF(L$18='5.Variables'!$B$90,+'5.Variables'!$K94,+IF(L$18='5.Variables'!$B$104,+'5.Variables'!$K108,0))))))</f>
        <v>25.7</v>
      </c>
      <c r="M52" s="725">
        <f>IF(M$18='5.Variables'!$B$16,+'5.Variables'!$K28,+IF(M$18='5.Variables'!$B$39,+'5.Variables'!$K52,+IF(M$18='5.Variables'!$B$62,+'5.Variables'!$K66,+IF(M$18='5.Variables'!$B$76,+'5.Variables'!$K80,+IF(M$18='5.Variables'!$B$90,+'5.Variables'!$K94,+IF(M$18='5.Variables'!$B$104,+'5.Variables'!$K108,0))))))</f>
        <v>0</v>
      </c>
      <c r="N52" s="725">
        <f>IF(N$18='5.Variables'!$B$16,+'5.Variables'!$K28,+IF(N$18='5.Variables'!$B$39,+'5.Variables'!$K52,+IF(N$18='5.Variables'!$B$62,+'5.Variables'!$K66,+IF(N$18='5.Variables'!$B$76,+'5.Variables'!$K80,+IF(N$18='5.Variables'!$B$90,+'5.Variables'!$K94,+IF(N$18='5.Variables'!$B$104,+'5.Variables'!$K108,0))))))</f>
        <v>0</v>
      </c>
      <c r="O52" s="725">
        <f>IF(O$18='5.Variables'!$B$16,+'5.Variables'!$K28,+IF(O$18='5.Variables'!$B$39,+'5.Variables'!$K52,+IF(O$18='5.Variables'!$B$62,+'5.Variables'!$K66,+IF(O$18='5.Variables'!$B$76,+'5.Variables'!$K80,+IF(O$18='5.Variables'!$B$90,+'5.Variables'!$K94,+IF(O$18='5.Variables'!$B$104,+'5.Variables'!$K108,0))))))</f>
        <v>30</v>
      </c>
      <c r="P52" s="725">
        <f>IF(P$18='5.Variables'!$B$16,+'5.Variables'!$K28,+IF(P$18='5.Variables'!$B$39,+'5.Variables'!$K52,+IF(P$18='5.Variables'!$B$62,+'5.Variables'!$K66,+IF(P$18='5.Variables'!$B$76,+'5.Variables'!$K80,+IF(P$18='5.Variables'!$B$90,+'5.Variables'!$K94,+IF(P$18='5.Variables'!$B$104,+'5.Variables'!$K108,0))))))</f>
        <v>0</v>
      </c>
      <c r="Q52" s="245"/>
      <c r="R52" s="558">
        <f t="shared" si="1"/>
        <v>14326259.267270055</v>
      </c>
      <c r="S52" s="265"/>
      <c r="T52" s="245"/>
      <c r="U52" s="250">
        <f>'4. Customer Growth'!B23</f>
        <v>2011</v>
      </c>
      <c r="V52" s="267">
        <f>SUM(J92:J103)</f>
        <v>199623009.43799999</v>
      </c>
      <c r="W52" s="268">
        <f t="shared" si="4"/>
        <v>1.2896666247814893E-2</v>
      </c>
      <c r="X52" s="267">
        <f>S103:S103</f>
        <v>197051606.59096599</v>
      </c>
      <c r="Y52" s="268">
        <f t="shared" si="4"/>
        <v>-1.0770313794057108E-2</v>
      </c>
      <c r="Z52" s="268">
        <f t="shared" si="3"/>
        <v>-1.2881294868128154E-2</v>
      </c>
      <c r="AA52" s="245"/>
      <c r="AB52" s="245"/>
      <c r="AC52" s="245"/>
      <c r="AD52" s="245"/>
      <c r="AE52" s="245"/>
      <c r="AF52" s="245"/>
      <c r="AG52" s="245"/>
      <c r="AH52" s="245"/>
      <c r="AI52" s="245"/>
      <c r="AJ52" s="245"/>
      <c r="AK52" s="245"/>
      <c r="AL52" s="245"/>
      <c r="AM52" s="245"/>
    </row>
    <row r="53" spans="1:39" x14ac:dyDescent="0.2">
      <c r="A53" s="503">
        <f t="shared" si="2"/>
        <v>34</v>
      </c>
      <c r="B53" s="262" t="str">
        <f>CONCATENATE('3. Consumption by Rate Class'!B58,"-",'3. Consumption by Rate Class'!C58)</f>
        <v>2007-October</v>
      </c>
      <c r="C53" s="697">
        <v>14439653.280000001</v>
      </c>
      <c r="D53" s="703">
        <v>-38400</v>
      </c>
      <c r="E53" s="707"/>
      <c r="F53" s="703"/>
      <c r="G53" s="703"/>
      <c r="H53" s="704"/>
      <c r="I53" s="704"/>
      <c r="J53" s="263">
        <f t="shared" si="0"/>
        <v>14401253.280000001</v>
      </c>
      <c r="K53" s="725">
        <f>IF(K$18='5.Variables'!$B$16,+'5.Variables'!$L29,+IF(K$18='5.Variables'!$B$39,+'5.Variables'!$L52,+IF(K$18='5.Variables'!$B$62,+'5.Variables'!$L66,+IF(K$18='5.Variables'!$B$76,+'5.Variables'!$L80,+IF(K$18='5.Variables'!$B$90,+'5.Variables'!$L94,+IF(K$18='5.Variables'!$B$104,+'5.Variables'!$L108,0))))))</f>
        <v>227.5</v>
      </c>
      <c r="L53" s="725">
        <f>IF(L$18='5.Variables'!$B$16,+'5.Variables'!$L28,+IF(L$18='5.Variables'!$B$39,+'5.Variables'!$L52,+IF(L$18='5.Variables'!$B$62,+'5.Variables'!$L66,+IF(L$18='5.Variables'!$B$76,+'5.Variables'!$L80,+IF(L$18='5.Variables'!$B$90,+'5.Variables'!$L94,+IF(L$18='5.Variables'!$B$104,+'5.Variables'!$L108,0))))))</f>
        <v>1.9</v>
      </c>
      <c r="M53" s="725">
        <f>IF(M$18='5.Variables'!$B$16,+'5.Variables'!$L28,+IF(M$18='5.Variables'!$B$39,+'5.Variables'!$L52,+IF(M$18='5.Variables'!$B$62,+'5.Variables'!$L66,+IF(M$18='5.Variables'!$B$76,+'5.Variables'!$L80,+IF(M$18='5.Variables'!$B$90,+'5.Variables'!$L94,+IF(M$18='5.Variables'!$B$104,+'5.Variables'!$L108,0))))))</f>
        <v>0</v>
      </c>
      <c r="N53" s="725">
        <f>IF(N$18='5.Variables'!$B$16,+'5.Variables'!$L28,+IF(N$18='5.Variables'!$B$39,+'5.Variables'!$L52,+IF(N$18='5.Variables'!$B$62,+'5.Variables'!$L66,+IF(N$18='5.Variables'!$B$76,+'5.Variables'!$L80,+IF(N$18='5.Variables'!$B$90,+'5.Variables'!$L94,+IF(N$18='5.Variables'!$B$104,+'5.Variables'!$L108,0))))))</f>
        <v>0</v>
      </c>
      <c r="O53" s="725">
        <f>IF(O$18='5.Variables'!$B$16,+'5.Variables'!$L28,+IF(O$18='5.Variables'!$B$39,+'5.Variables'!$L52,+IF(O$18='5.Variables'!$B$62,+'5.Variables'!$L66,+IF(O$18='5.Variables'!$B$76,+'5.Variables'!$L80,+IF(O$18='5.Variables'!$B$90,+'5.Variables'!$L94,+IF(O$18='5.Variables'!$B$104,+'5.Variables'!$L108,0))))))</f>
        <v>31</v>
      </c>
      <c r="P53" s="725">
        <f>IF(P$18='5.Variables'!$B$16,+'5.Variables'!$L28,+IF(P$18='5.Variables'!$B$39,+'5.Variables'!$L52,+IF(P$18='5.Variables'!$B$62,+'5.Variables'!$L66,+IF(P$18='5.Variables'!$B$76,+'5.Variables'!$L80,+IF(P$18='5.Variables'!$B$90,+'5.Variables'!$L94,+IF(P$18='5.Variables'!$B$104,+'5.Variables'!$L108,0))))))</f>
        <v>0</v>
      </c>
      <c r="Q53" s="245"/>
      <c r="R53" s="558">
        <f t="shared" si="1"/>
        <v>14753145.544922946</v>
      </c>
      <c r="S53" s="265"/>
      <c r="T53" s="245"/>
      <c r="U53" s="250">
        <f>'4. Customer Growth'!B24</f>
        <v>2012</v>
      </c>
      <c r="V53" s="267">
        <f>SUM(J104:J115)</f>
        <v>194771161.25000003</v>
      </c>
      <c r="W53" s="268">
        <f t="shared" si="4"/>
        <v>-2.430505482138259E-2</v>
      </c>
      <c r="X53" s="267">
        <f>S115</f>
        <v>200061553.77745542</v>
      </c>
      <c r="Y53" s="268">
        <f t="shared" si="4"/>
        <v>1.5274918274264032E-2</v>
      </c>
      <c r="Z53" s="268">
        <f t="shared" si="3"/>
        <v>2.7162093677024726E-2</v>
      </c>
      <c r="AA53" s="245"/>
      <c r="AB53" s="245"/>
      <c r="AC53" s="245"/>
      <c r="AD53" s="245"/>
      <c r="AE53" s="245"/>
      <c r="AF53" s="245"/>
      <c r="AG53" s="245"/>
      <c r="AH53" s="245"/>
      <c r="AI53" s="245"/>
      <c r="AJ53" s="245"/>
      <c r="AK53" s="245"/>
      <c r="AL53" s="245"/>
      <c r="AM53" s="245"/>
    </row>
    <row r="54" spans="1:39" x14ac:dyDescent="0.2">
      <c r="A54" s="503">
        <f t="shared" si="2"/>
        <v>35</v>
      </c>
      <c r="B54" s="262" t="str">
        <f>CONCATENATE('3. Consumption by Rate Class'!B59,"-",'3. Consumption by Rate Class'!C59)</f>
        <v>2007-November</v>
      </c>
      <c r="C54" s="697">
        <v>18194599.109999999</v>
      </c>
      <c r="D54" s="703">
        <v>-39000</v>
      </c>
      <c r="E54" s="707"/>
      <c r="F54" s="703"/>
      <c r="G54" s="703"/>
      <c r="H54" s="704"/>
      <c r="I54" s="704"/>
      <c r="J54" s="263">
        <f t="shared" si="0"/>
        <v>18155599.109999999</v>
      </c>
      <c r="K54" s="725">
        <f>IF(K$18='5.Variables'!$B$16,+'5.Variables'!$M29,+IF(K$18='5.Variables'!$B$39,+'5.Variables'!$M52,+IF(K$18='5.Variables'!$B$62,+'5.Variables'!$M66,+IF(K$18='5.Variables'!$B$76,+'5.Variables'!$M80,+IF(K$18='5.Variables'!$B$90,+'5.Variables'!$M94,+IF(K$18='5.Variables'!$B$104,+'5.Variables'!$M108,0))))))</f>
        <v>517</v>
      </c>
      <c r="L54" s="725">
        <f>IF(L$18='5.Variables'!$B$16,+'5.Variables'!$M28,+IF(L$18='5.Variables'!$B$39,+'5.Variables'!$M52,+IF(L$18='5.Variables'!$B$62,+'5.Variables'!$M66,+IF(L$18='5.Variables'!$B$76,+'5.Variables'!$M80,+IF(L$18='5.Variables'!$B$90,+'5.Variables'!$M94,+IF(L$18='5.Variables'!$B$104,+'5.Variables'!$M108,0))))))</f>
        <v>0</v>
      </c>
      <c r="M54" s="725">
        <f>IF(M$18='5.Variables'!$B$16,+'5.Variables'!$M28,+IF(M$18='5.Variables'!$B$39,+'5.Variables'!$M52,+IF(M$18='5.Variables'!$B$62,+'5.Variables'!$M66,+IF(M$18='5.Variables'!$B$76,+'5.Variables'!$M80,+IF(M$18='5.Variables'!$B$90,+'5.Variables'!$M94,+IF(M$18='5.Variables'!$B$104,+'5.Variables'!$M108,0))))))</f>
        <v>0</v>
      </c>
      <c r="N54" s="725">
        <f>IF(N$18='5.Variables'!$B$16,+'5.Variables'!$M28,+IF(N$18='5.Variables'!$B$39,+'5.Variables'!$M52,+IF(N$18='5.Variables'!$B$62,+'5.Variables'!$M66,+IF(N$18='5.Variables'!$B$76,+'5.Variables'!$M80,+IF(N$18='5.Variables'!$B$90,+'5.Variables'!$M94,+IF(N$18='5.Variables'!$B$104,+'5.Variables'!$M108,0))))))</f>
        <v>0</v>
      </c>
      <c r="O54" s="725">
        <f>IF(O$18='5.Variables'!$B$16,+'5.Variables'!$M28,+IF(O$18='5.Variables'!$B$39,+'5.Variables'!$M52,+IF(O$18='5.Variables'!$B$62,+'5.Variables'!$M66,+IF(O$18='5.Variables'!$B$76,+'5.Variables'!$M80,+IF(O$18='5.Variables'!$B$90,+'5.Variables'!$M94,+IF(O$18='5.Variables'!$B$104,+'5.Variables'!$M108,0))))))</f>
        <v>30</v>
      </c>
      <c r="P54" s="725">
        <f>IF(P$18='5.Variables'!$B$16,+'5.Variables'!$M28,+IF(P$18='5.Variables'!$B$39,+'5.Variables'!$M52,+IF(P$18='5.Variables'!$B$62,+'5.Variables'!$M66,+IF(P$18='5.Variables'!$B$76,+'5.Variables'!$M80,+IF(P$18='5.Variables'!$B$90,+'5.Variables'!$M94,+IF(P$18='5.Variables'!$B$104,+'5.Variables'!$M108,0))))))</f>
        <v>0</v>
      </c>
      <c r="Q54" s="245"/>
      <c r="R54" s="558">
        <f t="shared" si="1"/>
        <v>16768062.158531168</v>
      </c>
      <c r="S54" s="265"/>
      <c r="T54" s="245"/>
      <c r="U54" s="250">
        <f>'4. Customer Growth'!B25</f>
        <v>2013</v>
      </c>
      <c r="V54" s="267">
        <f>SUM(J116:J127)</f>
        <v>198259056.0149</v>
      </c>
      <c r="W54" s="268">
        <f t="shared" si="4"/>
        <v>1.7907655027137488E-2</v>
      </c>
      <c r="X54" s="267">
        <f>S127</f>
        <v>199210663.16643396</v>
      </c>
      <c r="Y54" s="268">
        <f t="shared" si="4"/>
        <v>-4.2531440696895384E-3</v>
      </c>
      <c r="Z54" s="268">
        <f t="shared" si="3"/>
        <v>4.7998168187709115E-3</v>
      </c>
      <c r="AA54" s="245"/>
      <c r="AB54" s="245"/>
      <c r="AC54" s="245"/>
      <c r="AD54" s="245"/>
      <c r="AE54" s="245"/>
      <c r="AF54" s="245"/>
      <c r="AG54" s="245"/>
      <c r="AH54" s="245"/>
      <c r="AI54" s="245"/>
      <c r="AJ54" s="245"/>
      <c r="AK54" s="245"/>
      <c r="AL54" s="245"/>
      <c r="AM54" s="245"/>
    </row>
    <row r="55" spans="1:39" x14ac:dyDescent="0.2">
      <c r="A55" s="503">
        <f t="shared" si="2"/>
        <v>36</v>
      </c>
      <c r="B55" s="522" t="str">
        <f>CONCATENATE('3. Consumption by Rate Class'!B60,"-",'3. Consumption by Rate Class'!C60)</f>
        <v>2007-December</v>
      </c>
      <c r="C55" s="698">
        <v>21797378.050000001</v>
      </c>
      <c r="D55" s="705">
        <v>-32400</v>
      </c>
      <c r="E55" s="705"/>
      <c r="F55" s="705"/>
      <c r="G55" s="705"/>
      <c r="H55" s="706"/>
      <c r="I55" s="706"/>
      <c r="J55" s="263">
        <f t="shared" si="0"/>
        <v>21764978.050000001</v>
      </c>
      <c r="K55" s="725">
        <f>IF(K$18='5.Variables'!$B$16,+'5.Variables'!$N29,+IF(K$18='5.Variables'!$B$39,+'5.Variables'!$N52,+IF(K$18='5.Variables'!$B$62,+'5.Variables'!$N66,+IF(K$18='5.Variables'!$B$76,+'5.Variables'!$N80,+IF(K$18='5.Variables'!$B$90,+'5.Variables'!$N94,+IF(K$18='5.Variables'!$B$104,+'5.Variables'!$N108,0))))))</f>
        <v>787.7</v>
      </c>
      <c r="L55" s="725">
        <f>IF(L$18='5.Variables'!$B$16,+'5.Variables'!$N28,+IF(L$18='5.Variables'!$B$39,+'5.Variables'!$N52,+IF(L$18='5.Variables'!$B$62,+'5.Variables'!$N66,+IF(L$18='5.Variables'!$B$76,+'5.Variables'!$N80,+IF(L$18='5.Variables'!$B$90,+'5.Variables'!$N94,+IF(L$18='5.Variables'!$B$104,+'5.Variables'!$N108,0))))))</f>
        <v>0</v>
      </c>
      <c r="M55" s="725">
        <f>IF(M$18='5.Variables'!$B$16,+'5.Variables'!$N28,+IF(M$18='5.Variables'!$B$39,+'5.Variables'!$N52,+IF(M$18='5.Variables'!$B$62,+'5.Variables'!$N66,+IF(M$18='5.Variables'!$B$76,+'5.Variables'!$N80,+IF(M$18='5.Variables'!$B$90,+'5.Variables'!$N94,+IF(M$18='5.Variables'!$B$104,+'5.Variables'!$N108,0))))))</f>
        <v>1</v>
      </c>
      <c r="N55" s="725">
        <f>IF(N$18='5.Variables'!$B$16,+'5.Variables'!$N28,+IF(N$18='5.Variables'!$B$39,+'5.Variables'!$N52,+IF(N$18='5.Variables'!$B$62,+'5.Variables'!$N66,+IF(N$18='5.Variables'!$B$76,+'5.Variables'!$N80,+IF(N$18='5.Variables'!$B$90,+'5.Variables'!$N94,+IF(N$18='5.Variables'!$B$104,+'5.Variables'!$N108,0))))))</f>
        <v>1</v>
      </c>
      <c r="O55" s="725">
        <f>IF(O$18='5.Variables'!$B$16,+'5.Variables'!$N28,+IF(O$18='5.Variables'!$B$39,+'5.Variables'!$N52,+IF(O$18='5.Variables'!$B$62,+'5.Variables'!$N66,+IF(O$18='5.Variables'!$B$76,+'5.Variables'!$N80,+IF(O$18='5.Variables'!$B$90,+'5.Variables'!$N94,+IF(O$18='5.Variables'!$B$104,+'5.Variables'!$N108,0))))))</f>
        <v>31</v>
      </c>
      <c r="P55" s="725">
        <f>IF(P$18='5.Variables'!$B$16,+'5.Variables'!$N28,+IF(P$18='5.Variables'!$B$39,+'5.Variables'!$N52,+IF(P$18='5.Variables'!$B$62,+'5.Variables'!$N66,+IF(P$18='5.Variables'!$B$76,+'5.Variables'!$N80,+IF(P$18='5.Variables'!$B$90,+'5.Variables'!$N94,+IF(P$18='5.Variables'!$B$104,+'5.Variables'!$N108,0))))))</f>
        <v>0</v>
      </c>
      <c r="Q55" s="245"/>
      <c r="R55" s="558">
        <f t="shared" si="1"/>
        <v>20175966.910813499</v>
      </c>
      <c r="S55" s="265">
        <f>SUM(R44:R55)</f>
        <v>200186936.8660098</v>
      </c>
      <c r="T55" s="245"/>
      <c r="U55" s="250">
        <f>'4. Customer Growth'!B26</f>
        <v>2014</v>
      </c>
      <c r="V55" s="267">
        <f>SUM(J128:J139)</f>
        <v>191637148.35999998</v>
      </c>
      <c r="W55" s="268">
        <f t="shared" si="4"/>
        <v>-3.3400278342908839E-2</v>
      </c>
      <c r="X55" s="267">
        <f>S139</f>
        <v>200106964.7243894</v>
      </c>
      <c r="Y55" s="268">
        <f t="shared" si="4"/>
        <v>4.4992649675916867E-3</v>
      </c>
      <c r="Z55" s="268">
        <f t="shared" si="3"/>
        <v>4.4197152988722441E-2</v>
      </c>
      <c r="AA55" s="245"/>
      <c r="AB55" s="245"/>
      <c r="AC55" s="245"/>
      <c r="AD55" s="245"/>
      <c r="AE55" s="245"/>
      <c r="AF55" s="245"/>
      <c r="AG55" s="245"/>
      <c r="AH55" s="245"/>
      <c r="AI55" s="245"/>
      <c r="AJ55" s="245"/>
      <c r="AK55" s="245"/>
      <c r="AL55" s="245"/>
      <c r="AM55" s="245"/>
    </row>
    <row r="56" spans="1:39" x14ac:dyDescent="0.2">
      <c r="A56" s="503">
        <f t="shared" si="2"/>
        <v>37</v>
      </c>
      <c r="B56" s="262" t="str">
        <f>CONCATENATE('3. Consumption by Rate Class'!B61,"-",'3. Consumption by Rate Class'!C61)</f>
        <v>2008-January</v>
      </c>
      <c r="C56" s="697">
        <v>18319619</v>
      </c>
      <c r="D56" s="703">
        <v>-33600</v>
      </c>
      <c r="E56" s="707"/>
      <c r="F56" s="703"/>
      <c r="G56" s="703"/>
      <c r="H56" s="704"/>
      <c r="I56" s="704"/>
      <c r="J56" s="263">
        <f t="shared" si="0"/>
        <v>18286019</v>
      </c>
      <c r="K56" s="725">
        <f>IF(K$18='5.Variables'!$B$16,+'5.Variables'!$C30,+IF(K$18='5.Variables'!$B$39,+'5.Variables'!$C53,+IF(K$18='5.Variables'!$B$62,+'5.Variables'!$C67,+IF(K$18='5.Variables'!$B$76,+'5.Variables'!$C81,+IF(K$18='5.Variables'!$B$90,+'5.Variables'!$C95,+IF(K$18='5.Variables'!$B$104,+'5.Variables'!$C109,0))))))</f>
        <v>754.2</v>
      </c>
      <c r="L56" s="725">
        <f>IF(L$18='5.Variables'!$B$16,+'5.Variables'!$C29,+IF(L$18='5.Variables'!$B$39,+'5.Variables'!$C53,+IF(L$18='5.Variables'!$B$62,+'5.Variables'!$C67,+IF(L$18='5.Variables'!$B$76,+'5.Variables'!$C81,+IF(L$18='5.Variables'!$B$90,+'5.Variables'!$C95,+IF(L$18='5.Variables'!$B$104,+'5.Variables'!$C109,0))))))</f>
        <v>0</v>
      </c>
      <c r="M56" s="725">
        <f>IF(M$18='5.Variables'!$B$16,+'5.Variables'!$C29,+IF(M$18='5.Variables'!$B$39,+'5.Variables'!$C53,+IF(M$18='5.Variables'!$B$62,+'5.Variables'!$C67,+IF(M$18='5.Variables'!$B$76,+'5.Variables'!$C81,+IF(M$18='5.Variables'!$B$90,+'5.Variables'!$C95,+IF(M$18='5.Variables'!$B$104,+'5.Variables'!$C109,0))))))</f>
        <v>1</v>
      </c>
      <c r="N56" s="725">
        <f>IF(N$18='5.Variables'!$B$16,+'5.Variables'!$C29,+IF(N$18='5.Variables'!$B$39,+'5.Variables'!$C53,+IF(N$18='5.Variables'!$B$62,+'5.Variables'!$C67,+IF(N$18='5.Variables'!$B$76,+'5.Variables'!$C81,+IF(N$18='5.Variables'!$B$90,+'5.Variables'!$C95,+IF(N$18='5.Variables'!$B$104,+'5.Variables'!$C109,0))))))</f>
        <v>1</v>
      </c>
      <c r="O56" s="725">
        <f>IF(O$18='5.Variables'!$B$16,+'5.Variables'!$C29,+IF(O$18='5.Variables'!$B$39,+'5.Variables'!$C53,+IF(O$18='5.Variables'!$B$62,+'5.Variables'!$C67,+IF(O$18='5.Variables'!$B$76,+'5.Variables'!$C81,+IF(O$18='5.Variables'!$B$90,+'5.Variables'!$C95,+IF(O$18='5.Variables'!$B$104,+'5.Variables'!$C109,0))))))</f>
        <v>31</v>
      </c>
      <c r="P56" s="725">
        <f>IF(P$18='5.Variables'!$B$16,+'5.Variables'!$C29,+IF(P$18='5.Variables'!$B$39,+'5.Variables'!$C53,+IF(P$18='5.Variables'!$B$62,+'5.Variables'!$C67,+IF(P$18='5.Variables'!$B$76,+'5.Variables'!$C81,+IF(P$18='5.Variables'!$B$90,+'5.Variables'!$C95,+IF(P$18='5.Variables'!$B$104,+'5.Variables'!$C109,0))))))</f>
        <v>0</v>
      </c>
      <c r="Q56" s="245"/>
      <c r="R56" s="558">
        <f t="shared" si="1"/>
        <v>19936757.29220511</v>
      </c>
      <c r="S56" s="265"/>
      <c r="T56" s="245"/>
      <c r="U56" s="731"/>
      <c r="V56" s="732"/>
      <c r="W56" s="733"/>
      <c r="X56" s="732"/>
      <c r="Y56" s="733"/>
      <c r="Z56" s="733"/>
      <c r="AA56" s="245"/>
      <c r="AB56" s="245"/>
      <c r="AC56" s="245"/>
      <c r="AD56" s="245"/>
      <c r="AE56" s="245"/>
      <c r="AF56" s="245"/>
      <c r="AG56" s="245"/>
      <c r="AH56" s="245"/>
      <c r="AI56" s="245"/>
      <c r="AJ56" s="245"/>
      <c r="AK56" s="245"/>
      <c r="AL56" s="245"/>
      <c r="AM56" s="245"/>
    </row>
    <row r="57" spans="1:39" ht="13.5" customHeight="1" x14ac:dyDescent="0.2">
      <c r="A57" s="503">
        <f t="shared" si="2"/>
        <v>38</v>
      </c>
      <c r="B57" s="262" t="str">
        <f>CONCATENATE('3. Consumption by Rate Class'!B62,"-",'3. Consumption by Rate Class'!C62)</f>
        <v>2008-February</v>
      </c>
      <c r="C57" s="697">
        <v>18192995.420000002</v>
      </c>
      <c r="D57" s="703">
        <v>-35400</v>
      </c>
      <c r="E57" s="707"/>
      <c r="F57" s="703"/>
      <c r="G57" s="703"/>
      <c r="H57" s="704"/>
      <c r="I57" s="704"/>
      <c r="J57" s="263">
        <f t="shared" si="0"/>
        <v>18157595.420000002</v>
      </c>
      <c r="K57" s="725">
        <f>IF(K$18='5.Variables'!$B$16,+'5.Variables'!$D30,+IF(K$18='5.Variables'!$B$39,+'5.Variables'!$D53,+IF(K$18='5.Variables'!$B$62,+'5.Variables'!$D67,+IF(K$18='5.Variables'!$B$76,+'5.Variables'!$D81,+IF(K$18='5.Variables'!$B$90,+'5.Variables'!$D95,+IF(K$18='5.Variables'!$B$104,+'5.Variables'!$D109,0))))))</f>
        <v>774.3</v>
      </c>
      <c r="L57" s="725">
        <f>IF(L$18='5.Variables'!$B$16,+'5.Variables'!$D29,+IF(L$18='5.Variables'!$B$39,+'5.Variables'!$D53,+IF(L$18='5.Variables'!$B$62,+'5.Variables'!$D67,+IF(L$18='5.Variables'!$B$76,+'5.Variables'!$D81,+IF(L$18='5.Variables'!$B$90,+'5.Variables'!$D95,+IF(L$18='5.Variables'!$B$104,+'5.Variables'!$D109,0))))))</f>
        <v>0</v>
      </c>
      <c r="M57" s="725">
        <f>IF(M$18='5.Variables'!$B$16,+'5.Variables'!$D29,+IF(M$18='5.Variables'!$B$39,+'5.Variables'!$D53,+IF(M$18='5.Variables'!$B$62,+'5.Variables'!$D67,+IF(M$18='5.Variables'!$B$76,+'5.Variables'!$D81,+IF(M$18='5.Variables'!$B$90,+'5.Variables'!$D95,+IF(M$18='5.Variables'!$B$104,+'5.Variables'!$D109,0))))))</f>
        <v>1</v>
      </c>
      <c r="N57" s="725">
        <f>IF(N$18='5.Variables'!$B$16,+'5.Variables'!$D29,+IF(N$18='5.Variables'!$B$39,+'5.Variables'!$D53,+IF(N$18='5.Variables'!$B$62,+'5.Variables'!$D67,+IF(N$18='5.Variables'!$B$76,+'5.Variables'!$D81,+IF(N$18='5.Variables'!$B$90,+'5.Variables'!$D95,+IF(N$18='5.Variables'!$B$104,+'5.Variables'!$D109,0))))))</f>
        <v>0</v>
      </c>
      <c r="O57" s="725">
        <f>IF(O$18='5.Variables'!$B$16,+'5.Variables'!$D29,+IF(O$18='5.Variables'!$B$39,+'5.Variables'!$D53,+IF(O$18='5.Variables'!$B$62,+'5.Variables'!$D67,+IF(O$18='5.Variables'!$B$76,+'5.Variables'!$D81,+IF(O$18='5.Variables'!$B$90,+'5.Variables'!$D95,+IF(O$18='5.Variables'!$B$104,+'5.Variables'!$D109,0))))))</f>
        <v>29</v>
      </c>
      <c r="P57" s="725">
        <f>IF(P$18='5.Variables'!$B$16,+'5.Variables'!$D29,+IF(P$18='5.Variables'!$B$39,+'5.Variables'!$D53,+IF(P$18='5.Variables'!$B$62,+'5.Variables'!$D67,+IF(P$18='5.Variables'!$B$76,+'5.Variables'!$D81,+IF(P$18='5.Variables'!$B$90,+'5.Variables'!$D95,+IF(P$18='5.Variables'!$B$104,+'5.Variables'!$D109,0))))))</f>
        <v>0</v>
      </c>
      <c r="Q57" s="245"/>
      <c r="R57" s="558">
        <f t="shared" si="1"/>
        <v>20080283.063370142</v>
      </c>
      <c r="S57" s="265"/>
      <c r="T57" s="245"/>
      <c r="U57" s="245"/>
      <c r="V57" s="269"/>
      <c r="W57" s="269"/>
      <c r="X57" s="270"/>
      <c r="Y57" s="245"/>
      <c r="Z57" s="245"/>
      <c r="AA57" s="245"/>
      <c r="AB57" s="245"/>
      <c r="AC57" s="245"/>
      <c r="AD57" s="245"/>
      <c r="AE57" s="245"/>
      <c r="AF57" s="245"/>
      <c r="AG57" s="245"/>
      <c r="AH57" s="245"/>
      <c r="AI57" s="245"/>
      <c r="AJ57" s="245"/>
      <c r="AK57" s="245"/>
      <c r="AL57" s="245"/>
      <c r="AM57" s="245"/>
    </row>
    <row r="58" spans="1:39" x14ac:dyDescent="0.2">
      <c r="A58" s="503">
        <f t="shared" si="2"/>
        <v>39</v>
      </c>
      <c r="B58" s="262" t="str">
        <f>CONCATENATE('3. Consumption by Rate Class'!B63,"-",'3. Consumption by Rate Class'!C63)</f>
        <v>2008-March</v>
      </c>
      <c r="C58" s="697">
        <v>18595476.210000001</v>
      </c>
      <c r="D58" s="703">
        <v>-25800</v>
      </c>
      <c r="E58" s="707"/>
      <c r="F58" s="703"/>
      <c r="G58" s="703"/>
      <c r="H58" s="704"/>
      <c r="I58" s="704"/>
      <c r="J58" s="263">
        <f t="shared" si="0"/>
        <v>18569676.210000001</v>
      </c>
      <c r="K58" s="725">
        <f>IF(K$18='5.Variables'!$B$16,+'5.Variables'!$E30,+IF(K$18='5.Variables'!$B$39,+'5.Variables'!$E53,+IF(K$18='5.Variables'!$B$62,+'5.Variables'!$E67,+IF(K$18='5.Variables'!$B$76,+'5.Variables'!$E81,+IF(K$18='5.Variables'!$B$90,+'5.Variables'!$E95,+IF(K$18='5.Variables'!$B$104,+'5.Variables'!$E109,0))))))</f>
        <v>721.1</v>
      </c>
      <c r="L58" s="725">
        <f>IF(L$18='5.Variables'!$B$16,+'5.Variables'!$E29,+IF(L$18='5.Variables'!$B$39,+'5.Variables'!$E53,+IF(L$18='5.Variables'!$B$62,+'5.Variables'!$E67,+IF(L$18='5.Variables'!$B$76,+'5.Variables'!$E81,+IF(L$18='5.Variables'!$B$90,+'5.Variables'!$E95,+IF(L$18='5.Variables'!$B$104,+'5.Variables'!$E109,0))))))</f>
        <v>0</v>
      </c>
      <c r="M58" s="725">
        <f>IF(M$18='5.Variables'!$B$16,+'5.Variables'!$E29,+IF(M$18='5.Variables'!$B$39,+'5.Variables'!$E53,+IF(M$18='5.Variables'!$B$62,+'5.Variables'!$E67,+IF(M$18='5.Variables'!$B$76,+'5.Variables'!$E81,+IF(M$18='5.Variables'!$B$90,+'5.Variables'!$E95,+IF(M$18='5.Variables'!$B$104,+'5.Variables'!$E109,0))))))</f>
        <v>0</v>
      </c>
      <c r="N58" s="725">
        <f>IF(N$18='5.Variables'!$B$16,+'5.Variables'!$E29,+IF(N$18='5.Variables'!$B$39,+'5.Variables'!$E53,+IF(N$18='5.Variables'!$B$62,+'5.Variables'!$E67,+IF(N$18='5.Variables'!$B$76,+'5.Variables'!$E81,+IF(N$18='5.Variables'!$B$90,+'5.Variables'!$E95,+IF(N$18='5.Variables'!$B$104,+'5.Variables'!$E109,0))))))</f>
        <v>1</v>
      </c>
      <c r="O58" s="725">
        <f>IF(O$18='5.Variables'!$B$16,+'5.Variables'!$E29,+IF(O$18='5.Variables'!$B$39,+'5.Variables'!$E53,+IF(O$18='5.Variables'!$B$62,+'5.Variables'!$E67,+IF(O$18='5.Variables'!$B$76,+'5.Variables'!$E81,+IF(O$18='5.Variables'!$B$90,+'5.Variables'!$E95,+IF(O$18='5.Variables'!$B$104,+'5.Variables'!$E109,0))))))</f>
        <v>31</v>
      </c>
      <c r="P58" s="725">
        <f>IF(P$18='5.Variables'!$B$16,+'5.Variables'!$E29,+IF(P$18='5.Variables'!$B$39,+'5.Variables'!$E53,+IF(P$18='5.Variables'!$B$62,+'5.Variables'!$E67,+IF(P$18='5.Variables'!$B$76,+'5.Variables'!$E81,+IF(P$18='5.Variables'!$B$90,+'5.Variables'!$E95,+IF(P$18='5.Variables'!$B$104,+'5.Variables'!$E109,0))))))</f>
        <v>0</v>
      </c>
      <c r="Q58" s="245"/>
      <c r="R58" s="558">
        <f t="shared" si="1"/>
        <v>18225455.68563481</v>
      </c>
      <c r="S58" s="265"/>
      <c r="T58" s="245"/>
      <c r="U58" s="249" t="s">
        <v>33</v>
      </c>
      <c r="V58" s="249" t="s">
        <v>43</v>
      </c>
      <c r="W58" s="249" t="s">
        <v>31</v>
      </c>
      <c r="X58" s="249" t="s">
        <v>30</v>
      </c>
      <c r="Y58" s="245"/>
      <c r="Z58" s="245"/>
      <c r="AA58" s="245"/>
      <c r="AB58" s="245"/>
      <c r="AC58" s="245"/>
      <c r="AD58" s="245"/>
      <c r="AE58" s="245"/>
      <c r="AF58" s="245"/>
      <c r="AG58" s="245"/>
      <c r="AH58" s="245"/>
      <c r="AI58" s="245"/>
      <c r="AJ58" s="245"/>
      <c r="AK58" s="245"/>
      <c r="AL58" s="245"/>
      <c r="AM58" s="245"/>
    </row>
    <row r="59" spans="1:39" x14ac:dyDescent="0.2">
      <c r="A59" s="503">
        <f t="shared" si="2"/>
        <v>40</v>
      </c>
      <c r="B59" s="262" t="str">
        <f>CONCATENATE('3. Consumption by Rate Class'!B64,"-",'3. Consumption by Rate Class'!C64)</f>
        <v>2008-April</v>
      </c>
      <c r="C59" s="697">
        <v>13653101.949999999</v>
      </c>
      <c r="D59" s="703">
        <v>-31800</v>
      </c>
      <c r="E59" s="707"/>
      <c r="F59" s="703"/>
      <c r="G59" s="703"/>
      <c r="H59" s="704"/>
      <c r="I59" s="704"/>
      <c r="J59" s="263">
        <f t="shared" si="0"/>
        <v>13621301.949999999</v>
      </c>
      <c r="K59" s="725">
        <f>IF(K$18='5.Variables'!$B$16,+'5.Variables'!$F30,+IF(K$18='5.Variables'!$B$39,+'5.Variables'!$F53,+IF(K$18='5.Variables'!$B$62,+'5.Variables'!$F67,+IF(K$18='5.Variables'!$B$76,+'5.Variables'!$F81,+IF(K$18='5.Variables'!$B$90,+'5.Variables'!$F95,+IF(K$18='5.Variables'!$B$104,+'5.Variables'!$F109,0))))))</f>
        <v>299.60000000000002</v>
      </c>
      <c r="L59" s="725">
        <f>IF(L$18='5.Variables'!$B$16,+'5.Variables'!$F29,+IF(L$18='5.Variables'!$B$39,+'5.Variables'!$F53,+IF(L$18='5.Variables'!$B$62,+'5.Variables'!$F67,+IF(L$18='5.Variables'!$B$76,+'5.Variables'!$F81,+IF(L$18='5.Variables'!$B$90,+'5.Variables'!$F95,+IF(L$18='5.Variables'!$B$104,+'5.Variables'!$F109,0))))))</f>
        <v>0</v>
      </c>
      <c r="M59" s="725">
        <f>IF(M$18='5.Variables'!$B$16,+'5.Variables'!$F29,+IF(M$18='5.Variables'!$B$39,+'5.Variables'!$F53,+IF(M$18='5.Variables'!$B$62,+'5.Variables'!$F67,+IF(M$18='5.Variables'!$B$76,+'5.Variables'!$F81,+IF(M$18='5.Variables'!$B$90,+'5.Variables'!$F95,+IF(M$18='5.Variables'!$B$104,+'5.Variables'!$F109,0))))))</f>
        <v>0</v>
      </c>
      <c r="N59" s="725">
        <f>IF(N$18='5.Variables'!$B$16,+'5.Variables'!$F29,+IF(N$18='5.Variables'!$B$39,+'5.Variables'!$F53,+IF(N$18='5.Variables'!$B$62,+'5.Variables'!$F67,+IF(N$18='5.Variables'!$B$76,+'5.Variables'!$F81,+IF(N$18='5.Variables'!$B$90,+'5.Variables'!$F95,+IF(N$18='5.Variables'!$B$104,+'5.Variables'!$F109,0))))))</f>
        <v>0</v>
      </c>
      <c r="O59" s="725">
        <f>IF(O$18='5.Variables'!$B$16,+'5.Variables'!$F29,+IF(O$18='5.Variables'!$B$39,+'5.Variables'!$F53,+IF(O$18='5.Variables'!$B$62,+'5.Variables'!$F67,+IF(O$18='5.Variables'!$B$76,+'5.Variables'!$F81,+IF(O$18='5.Variables'!$B$90,+'5.Variables'!$F95,+IF(O$18='5.Variables'!$B$104,+'5.Variables'!$F109,0))))))</f>
        <v>30</v>
      </c>
      <c r="P59" s="725">
        <f>IF(P$18='5.Variables'!$B$16,+'5.Variables'!$F29,+IF(P$18='5.Variables'!$B$39,+'5.Variables'!$F53,+IF(P$18='5.Variables'!$B$62,+'5.Variables'!$F67,+IF(P$18='5.Variables'!$B$76,+'5.Variables'!$F81,+IF(P$18='5.Variables'!$B$90,+'5.Variables'!$F95,+IF(P$18='5.Variables'!$B$104,+'5.Variables'!$F109,0))))))</f>
        <v>0</v>
      </c>
      <c r="Q59" s="245"/>
      <c r="R59" s="558">
        <f t="shared" si="1"/>
        <v>15215698.842547182</v>
      </c>
      <c r="S59" s="265"/>
      <c r="T59" s="245"/>
      <c r="U59" s="250">
        <f>'4. Customer Growth'!B17</f>
        <v>2005</v>
      </c>
      <c r="V59" s="267">
        <f t="shared" ref="V59:V68" si="5">V46</f>
        <v>209871328.75141218</v>
      </c>
      <c r="W59" s="267">
        <f t="shared" ref="W59:W68" si="6">X46</f>
        <v>203844303.0754298</v>
      </c>
      <c r="X59" s="268">
        <f>IF(ABS(V59-W59)=0,0,ABS(V59-W59)/V59)</f>
        <v>2.8717718193518756E-2</v>
      </c>
      <c r="Y59" s="245"/>
      <c r="Z59" s="245"/>
      <c r="AA59" s="245"/>
      <c r="AB59" s="245"/>
      <c r="AC59" s="245"/>
      <c r="AD59" s="245"/>
      <c r="AE59" s="245"/>
      <c r="AF59" s="245"/>
      <c r="AG59" s="245"/>
      <c r="AH59" s="245"/>
      <c r="AI59" s="245"/>
      <c r="AJ59" s="245"/>
      <c r="AK59" s="245"/>
      <c r="AL59" s="245"/>
      <c r="AM59" s="245"/>
    </row>
    <row r="60" spans="1:39" x14ac:dyDescent="0.2">
      <c r="A60" s="503">
        <f t="shared" si="2"/>
        <v>41</v>
      </c>
      <c r="B60" s="262" t="str">
        <f>CONCATENATE('3. Consumption by Rate Class'!B65,"-",'3. Consumption by Rate Class'!C65)</f>
        <v>2008-May</v>
      </c>
      <c r="C60" s="697">
        <v>13261223.890000001</v>
      </c>
      <c r="D60" s="703">
        <v>-30000</v>
      </c>
      <c r="E60" s="707"/>
      <c r="F60" s="703"/>
      <c r="G60" s="703"/>
      <c r="H60" s="704"/>
      <c r="I60" s="704"/>
      <c r="J60" s="263">
        <f t="shared" si="0"/>
        <v>13231223.890000001</v>
      </c>
      <c r="K60" s="725">
        <f>IF(K$18='5.Variables'!$B$16,+'5.Variables'!$G30,+IF(K$18='5.Variables'!$B$39,+'5.Variables'!$G53,+IF(K$18='5.Variables'!$B$62,+'5.Variables'!$G67,+IF(K$18='5.Variables'!$B$76,+'5.Variables'!$G81,+IF(K$18='5.Variables'!$B$90,+'5.Variables'!$G95,+IF(K$18='5.Variables'!$B$104,+'5.Variables'!$G109,0))))))</f>
        <v>185.4</v>
      </c>
      <c r="L60" s="725">
        <f>IF(L$18='5.Variables'!$B$16,+'5.Variables'!$G29,+IF(L$18='5.Variables'!$B$39,+'5.Variables'!$G53,+IF(L$18='5.Variables'!$B$62,+'5.Variables'!$G67,+IF(L$18='5.Variables'!$B$76,+'5.Variables'!$G81,+IF(L$18='5.Variables'!$B$90,+'5.Variables'!$G95,+IF(L$18='5.Variables'!$B$104,+'5.Variables'!$G109,0))))))</f>
        <v>0</v>
      </c>
      <c r="M60" s="725">
        <f>IF(M$18='5.Variables'!$B$16,+'5.Variables'!$G29,+IF(M$18='5.Variables'!$B$39,+'5.Variables'!$G53,+IF(M$18='5.Variables'!$B$62,+'5.Variables'!$G67,+IF(M$18='5.Variables'!$B$76,+'5.Variables'!$G81,+IF(M$18='5.Variables'!$B$90,+'5.Variables'!$G95,+IF(M$18='5.Variables'!$B$104,+'5.Variables'!$G109,0))))))</f>
        <v>0</v>
      </c>
      <c r="N60" s="725">
        <f>IF(N$18='5.Variables'!$B$16,+'5.Variables'!$G29,+IF(N$18='5.Variables'!$B$39,+'5.Variables'!$G53,+IF(N$18='5.Variables'!$B$62,+'5.Variables'!$G67,+IF(N$18='5.Variables'!$B$76,+'5.Variables'!$G81,+IF(N$18='5.Variables'!$B$90,+'5.Variables'!$G95,+IF(N$18='5.Variables'!$B$104,+'5.Variables'!$G109,0))))))</f>
        <v>0</v>
      </c>
      <c r="O60" s="725">
        <f>IF(O$18='5.Variables'!$B$16,+'5.Variables'!$G29,+IF(O$18='5.Variables'!$B$39,+'5.Variables'!$G53,+IF(O$18='5.Variables'!$B$62,+'5.Variables'!$G67,+IF(O$18='5.Variables'!$B$76,+'5.Variables'!$G81,+IF(O$18='5.Variables'!$B$90,+'5.Variables'!$G95,+IF(O$18='5.Variables'!$B$104,+'5.Variables'!$G109,0))))))</f>
        <v>31</v>
      </c>
      <c r="P60" s="725">
        <f>IF(P$18='5.Variables'!$B$16,+'5.Variables'!$G29,+IF(P$18='5.Variables'!$B$39,+'5.Variables'!$G53,+IF(P$18='5.Variables'!$B$62,+'5.Variables'!$G67,+IF(P$18='5.Variables'!$B$76,+'5.Variables'!$G81,+IF(P$18='5.Variables'!$B$90,+'5.Variables'!$G95,+IF(P$18='5.Variables'!$B$104,+'5.Variables'!$G109,0))))))</f>
        <v>0</v>
      </c>
      <c r="Q60" s="245"/>
      <c r="R60" s="558">
        <f t="shared" si="1"/>
        <v>14400243.963589633</v>
      </c>
      <c r="S60" s="265"/>
      <c r="T60" s="245"/>
      <c r="U60" s="250">
        <f>'4. Customer Growth'!B18</f>
        <v>2006</v>
      </c>
      <c r="V60" s="267">
        <f t="shared" si="5"/>
        <v>203367791.46020103</v>
      </c>
      <c r="W60" s="267">
        <f t="shared" si="6"/>
        <v>197556431.56635299</v>
      </c>
      <c r="X60" s="268">
        <f t="shared" ref="X60:X68" si="7">IF(ABS(V60-W60)=0,0,ABS(V60-W60)/V60)</f>
        <v>2.8575615893361914E-2</v>
      </c>
      <c r="Y60" s="271"/>
      <c r="Z60" s="245"/>
      <c r="AA60" s="245"/>
      <c r="AB60" s="245"/>
      <c r="AC60" s="245"/>
      <c r="AD60" s="245"/>
      <c r="AE60" s="245"/>
      <c r="AF60" s="245"/>
      <c r="AG60" s="245"/>
      <c r="AH60" s="245"/>
      <c r="AI60" s="245"/>
      <c r="AJ60" s="245"/>
      <c r="AK60" s="245"/>
      <c r="AL60" s="245"/>
      <c r="AM60" s="245"/>
    </row>
    <row r="61" spans="1:39" x14ac:dyDescent="0.2">
      <c r="A61" s="503">
        <f t="shared" si="2"/>
        <v>42</v>
      </c>
      <c r="B61" s="262" t="str">
        <f>CONCATENATE('3. Consumption by Rate Class'!B66,"-",'3. Consumption by Rate Class'!C66)</f>
        <v>2008-June</v>
      </c>
      <c r="C61" s="697">
        <v>14214619.83</v>
      </c>
      <c r="D61" s="703">
        <v>-25200</v>
      </c>
      <c r="E61" s="707"/>
      <c r="F61" s="703"/>
      <c r="G61" s="703"/>
      <c r="H61" s="704"/>
      <c r="I61" s="704"/>
      <c r="J61" s="263">
        <f t="shared" si="0"/>
        <v>14189419.83</v>
      </c>
      <c r="K61" s="725">
        <f>IF(K$18='5.Variables'!$B$16,+'5.Variables'!$H30,+IF(K$18='5.Variables'!$B$39,+'5.Variables'!$H53,+IF(K$18='5.Variables'!$B$62,+'5.Variables'!$H67,+IF(K$18='5.Variables'!$B$76,+'5.Variables'!$H81,+IF(K$18='5.Variables'!$B$90,+'5.Variables'!$H95,+IF(K$18='5.Variables'!$B$104,+'5.Variables'!$H109,0))))))</f>
        <v>22.4</v>
      </c>
      <c r="L61" s="725">
        <f>IF(L$18='5.Variables'!$B$16,+'5.Variables'!$H29,+IF(L$18='5.Variables'!$B$39,+'5.Variables'!$H53,+IF(L$18='5.Variables'!$B$62,+'5.Variables'!$H67,+IF(L$18='5.Variables'!$B$76,+'5.Variables'!$H81,+IF(L$18='5.Variables'!$B$90,+'5.Variables'!$H95,+IF(L$18='5.Variables'!$B$104,+'5.Variables'!$H109,0))))))</f>
        <v>60.5</v>
      </c>
      <c r="M61" s="725">
        <f>IF(M$18='5.Variables'!$B$16,+'5.Variables'!$H29,+IF(M$18='5.Variables'!$B$39,+'5.Variables'!$H53,+IF(M$18='5.Variables'!$B$62,+'5.Variables'!$H67,+IF(M$18='5.Variables'!$B$76,+'5.Variables'!$H81,+IF(M$18='5.Variables'!$B$90,+'5.Variables'!$H95,+IF(M$18='5.Variables'!$B$104,+'5.Variables'!$H109,0))))))</f>
        <v>0</v>
      </c>
      <c r="N61" s="725">
        <f>IF(N$18='5.Variables'!$B$16,+'5.Variables'!$H29,+IF(N$18='5.Variables'!$B$39,+'5.Variables'!$H53,+IF(N$18='5.Variables'!$B$62,+'5.Variables'!$H67,+IF(N$18='5.Variables'!$B$76,+'5.Variables'!$H81,+IF(N$18='5.Variables'!$B$90,+'5.Variables'!$H95,+IF(N$18='5.Variables'!$B$104,+'5.Variables'!$H109,0))))))</f>
        <v>0</v>
      </c>
      <c r="O61" s="725">
        <f>IF(O$18='5.Variables'!$B$16,+'5.Variables'!$H29,+IF(O$18='5.Variables'!$B$39,+'5.Variables'!$H53,+IF(O$18='5.Variables'!$B$62,+'5.Variables'!$H67,+IF(O$18='5.Variables'!$B$76,+'5.Variables'!$H81,+IF(O$18='5.Variables'!$B$90,+'5.Variables'!$H95,+IF(O$18='5.Variables'!$B$104,+'5.Variables'!$H109,0))))))</f>
        <v>30</v>
      </c>
      <c r="P61" s="725">
        <f>IF(P$18='5.Variables'!$B$16,+'5.Variables'!$H29,+IF(P$18='5.Variables'!$B$39,+'5.Variables'!$H53,+IF(P$18='5.Variables'!$B$62,+'5.Variables'!$H67,+IF(P$18='5.Variables'!$B$76,+'5.Variables'!$H81,+IF(P$18='5.Variables'!$B$90,+'5.Variables'!$H95,+IF(P$18='5.Variables'!$B$104,+'5.Variables'!$H109,0))))))</f>
        <v>0</v>
      </c>
      <c r="Q61" s="245"/>
      <c r="R61" s="558">
        <f t="shared" si="1"/>
        <v>14901126.948786492</v>
      </c>
      <c r="S61" s="265"/>
      <c r="T61" s="245"/>
      <c r="U61" s="250">
        <f>'4. Customer Growth'!B19</f>
        <v>2007</v>
      </c>
      <c r="V61" s="267">
        <f t="shared" si="5"/>
        <v>205302856.46000004</v>
      </c>
      <c r="W61" s="267">
        <f t="shared" si="6"/>
        <v>200186936.8660098</v>
      </c>
      <c r="X61" s="268">
        <f t="shared" si="7"/>
        <v>2.4918891447508872E-2</v>
      </c>
      <c r="Y61" s="271"/>
      <c r="Z61" s="245"/>
      <c r="AA61" s="245"/>
      <c r="AB61" s="245"/>
      <c r="AC61" s="245"/>
      <c r="AD61" s="245"/>
      <c r="AE61" s="245"/>
      <c r="AF61" s="245"/>
      <c r="AG61" s="245"/>
      <c r="AH61" s="245"/>
      <c r="AI61" s="245"/>
      <c r="AJ61" s="245"/>
      <c r="AK61" s="245"/>
      <c r="AL61" s="245"/>
      <c r="AM61" s="245"/>
    </row>
    <row r="62" spans="1:39" x14ac:dyDescent="0.2">
      <c r="A62" s="503">
        <f t="shared" si="2"/>
        <v>43</v>
      </c>
      <c r="B62" s="262" t="str">
        <f>CONCATENATE('3. Consumption by Rate Class'!B67,"-",'3. Consumption by Rate Class'!C67)</f>
        <v>2008-July</v>
      </c>
      <c r="C62" s="697">
        <v>14468868.02</v>
      </c>
      <c r="D62" s="703">
        <v>-16200</v>
      </c>
      <c r="E62" s="707"/>
      <c r="F62" s="703"/>
      <c r="G62" s="703"/>
      <c r="H62" s="704"/>
      <c r="I62" s="704"/>
      <c r="J62" s="263">
        <f t="shared" si="0"/>
        <v>14452668.02</v>
      </c>
      <c r="K62" s="725">
        <f>IF(K$18='5.Variables'!$B$16,+'5.Variables'!$I30,+IF(K$18='5.Variables'!$B$39,+'5.Variables'!$I53,+IF(K$18='5.Variables'!$B$62,+'5.Variables'!$I67,+IF(K$18='5.Variables'!$B$76,+'5.Variables'!$I81,+IF(K$18='5.Variables'!$B$90,+'5.Variables'!$I95,+IF(K$18='5.Variables'!$B$104,+'5.Variables'!$I109,0))))))</f>
        <v>0.3</v>
      </c>
      <c r="L62" s="725">
        <f>IF(L$18='5.Variables'!$B$16,+'5.Variables'!$I29,+IF(L$18='5.Variables'!$B$39,+'5.Variables'!$I53,+IF(L$18='5.Variables'!$B$62,+'5.Variables'!$I67,+IF(L$18='5.Variables'!$B$76,+'5.Variables'!$I81,+IF(L$18='5.Variables'!$B$90,+'5.Variables'!$I95,+IF(L$18='5.Variables'!$B$104,+'5.Variables'!$I109,0))))))</f>
        <v>78.900000000000006</v>
      </c>
      <c r="M62" s="725">
        <f>IF(M$18='5.Variables'!$B$16,+'5.Variables'!$I29,+IF(M$18='5.Variables'!$B$39,+'5.Variables'!$I53,+IF(M$18='5.Variables'!$B$62,+'5.Variables'!$I67,+IF(M$18='5.Variables'!$B$76,+'5.Variables'!$I81,+IF(M$18='5.Variables'!$B$90,+'5.Variables'!$I95,+IF(M$18='5.Variables'!$B$104,+'5.Variables'!$I109,0))))))</f>
        <v>0</v>
      </c>
      <c r="N62" s="725">
        <f>IF(N$18='5.Variables'!$B$16,+'5.Variables'!$I29,+IF(N$18='5.Variables'!$B$39,+'5.Variables'!$I53,+IF(N$18='5.Variables'!$B$62,+'5.Variables'!$I67,+IF(N$18='5.Variables'!$B$76,+'5.Variables'!$I81,+IF(N$18='5.Variables'!$B$90,+'5.Variables'!$I95,+IF(N$18='5.Variables'!$B$104,+'5.Variables'!$I109,0))))))</f>
        <v>1</v>
      </c>
      <c r="O62" s="725">
        <f>IF(O$18='5.Variables'!$B$16,+'5.Variables'!$I29,+IF(O$18='5.Variables'!$B$39,+'5.Variables'!$I53,+IF(O$18='5.Variables'!$B$62,+'5.Variables'!$I67,+IF(O$18='5.Variables'!$B$76,+'5.Variables'!$I81,+IF(O$18='5.Variables'!$B$90,+'5.Variables'!$I95,+IF(O$18='5.Variables'!$B$104,+'5.Variables'!$I109,0))))))</f>
        <v>31</v>
      </c>
      <c r="P62" s="725">
        <f>IF(P$18='5.Variables'!$B$16,+'5.Variables'!$I29,+IF(P$18='5.Variables'!$B$39,+'5.Variables'!$I53,+IF(P$18='5.Variables'!$B$62,+'5.Variables'!$I67,+IF(P$18='5.Variables'!$B$76,+'5.Variables'!$I81,+IF(P$18='5.Variables'!$B$90,+'5.Variables'!$I95,+IF(P$18='5.Variables'!$B$104,+'5.Variables'!$I109,0))))))</f>
        <v>0</v>
      </c>
      <c r="Q62" s="245"/>
      <c r="R62" s="558">
        <f t="shared" si="1"/>
        <v>15249638.87164095</v>
      </c>
      <c r="S62" s="265"/>
      <c r="T62" s="245"/>
      <c r="U62" s="250">
        <f>'4. Customer Growth'!B20</f>
        <v>2008</v>
      </c>
      <c r="V62" s="267">
        <f t="shared" si="5"/>
        <v>194146899.85907778</v>
      </c>
      <c r="W62" s="267">
        <f t="shared" si="6"/>
        <v>199277158.67089084</v>
      </c>
      <c r="X62" s="268">
        <f t="shared" si="7"/>
        <v>2.6424623908683956E-2</v>
      </c>
      <c r="Y62" s="271"/>
      <c r="Z62" s="245"/>
      <c r="AA62" s="245"/>
      <c r="AB62" s="245"/>
      <c r="AC62" s="245"/>
      <c r="AD62" s="245"/>
      <c r="AE62" s="245"/>
      <c r="AF62" s="245"/>
      <c r="AG62" s="245"/>
      <c r="AH62" s="245"/>
      <c r="AI62" s="245"/>
      <c r="AJ62" s="245"/>
      <c r="AK62" s="245"/>
      <c r="AL62" s="245"/>
      <c r="AM62" s="245"/>
    </row>
    <row r="63" spans="1:39" x14ac:dyDescent="0.2">
      <c r="A63" s="503">
        <f t="shared" si="2"/>
        <v>44</v>
      </c>
      <c r="B63" s="262" t="str">
        <f>CONCATENATE('3. Consumption by Rate Class'!B68,"-",'3. Consumption by Rate Class'!C68)</f>
        <v>2008-August</v>
      </c>
      <c r="C63" s="697">
        <v>16066893.470000001</v>
      </c>
      <c r="D63" s="703">
        <v>-22800</v>
      </c>
      <c r="E63" s="707"/>
      <c r="F63" s="703"/>
      <c r="G63" s="703"/>
      <c r="H63" s="704"/>
      <c r="I63" s="704"/>
      <c r="J63" s="263">
        <f t="shared" si="0"/>
        <v>16044093.470000001</v>
      </c>
      <c r="K63" s="725">
        <f>IF(K$18='5.Variables'!$B$16,+'5.Variables'!$J30,+IF(K$18='5.Variables'!$B$39,+'5.Variables'!$J53,+IF(K$18='5.Variables'!$B$62,+'5.Variables'!$J67,+IF(K$18='5.Variables'!$B$76,+'5.Variables'!$J81,+IF(K$18='5.Variables'!$B$90,+'5.Variables'!$J95,+IF(K$18='5.Variables'!$B$104,+'5.Variables'!$J109,0))))))</f>
        <v>14.4</v>
      </c>
      <c r="L63" s="725">
        <f>IF(L$18='5.Variables'!$B$16,+'5.Variables'!$J29,+IF(L$18='5.Variables'!$B$39,+'5.Variables'!$J53,+IF(L$18='5.Variables'!$B$62,+'5.Variables'!$J67,+IF(L$18='5.Variables'!$B$76,+'5.Variables'!$J81,+IF(L$18='5.Variables'!$B$90,+'5.Variables'!$J95,+IF(L$18='5.Variables'!$B$104,+'5.Variables'!$J109,0))))))</f>
        <v>49.5</v>
      </c>
      <c r="M63" s="725">
        <f>IF(M$18='5.Variables'!$B$16,+'5.Variables'!$J29,+IF(M$18='5.Variables'!$B$39,+'5.Variables'!$J53,+IF(M$18='5.Variables'!$B$62,+'5.Variables'!$J67,+IF(M$18='5.Variables'!$B$76,+'5.Variables'!$J81,+IF(M$18='5.Variables'!$B$90,+'5.Variables'!$J95,+IF(M$18='5.Variables'!$B$104,+'5.Variables'!$J109,0))))))</f>
        <v>0</v>
      </c>
      <c r="N63" s="725">
        <f>IF(N$18='5.Variables'!$B$16,+'5.Variables'!$J29,+IF(N$18='5.Variables'!$B$39,+'5.Variables'!$J53,+IF(N$18='5.Variables'!$B$62,+'5.Variables'!$J67,+IF(N$18='5.Variables'!$B$76,+'5.Variables'!$J81,+IF(N$18='5.Variables'!$B$90,+'5.Variables'!$J95,+IF(N$18='5.Variables'!$B$104,+'5.Variables'!$J109,0))))))</f>
        <v>0</v>
      </c>
      <c r="O63" s="725">
        <f>IF(O$18='5.Variables'!$B$16,+'5.Variables'!$J29,+IF(O$18='5.Variables'!$B$39,+'5.Variables'!$J53,+IF(O$18='5.Variables'!$B$62,+'5.Variables'!$J67,+IF(O$18='5.Variables'!$B$76,+'5.Variables'!$J81,+IF(O$18='5.Variables'!$B$90,+'5.Variables'!$J95,+IF(O$18='5.Variables'!$B$104,+'5.Variables'!$J109,0))))))</f>
        <v>31</v>
      </c>
      <c r="P63" s="725">
        <f>IF(P$18='5.Variables'!$B$16,+'5.Variables'!$J29,+IF(P$18='5.Variables'!$B$39,+'5.Variables'!$J53,+IF(P$18='5.Variables'!$B$62,+'5.Variables'!$J67,+IF(P$18='5.Variables'!$B$76,+'5.Variables'!$J81,+IF(P$18='5.Variables'!$B$90,+'5.Variables'!$J95,+IF(P$18='5.Variables'!$B$104,+'5.Variables'!$J109,0))))))</f>
        <v>0</v>
      </c>
      <c r="Q63" s="245"/>
      <c r="R63" s="558">
        <f t="shared" si="1"/>
        <v>14541311.637763256</v>
      </c>
      <c r="S63" s="265"/>
      <c r="T63" s="245"/>
      <c r="U63" s="250">
        <f>'4. Customer Growth'!B21</f>
        <v>2009</v>
      </c>
      <c r="V63" s="267">
        <f t="shared" si="5"/>
        <v>201115656.45999998</v>
      </c>
      <c r="W63" s="267">
        <f t="shared" si="6"/>
        <v>198683586.06453371</v>
      </c>
      <c r="X63" s="268">
        <f t="shared" si="7"/>
        <v>1.2092894398552129E-2</v>
      </c>
      <c r="Y63" s="271"/>
      <c r="Z63" s="245"/>
      <c r="AA63" s="245"/>
      <c r="AB63" s="245"/>
      <c r="AC63" s="245"/>
      <c r="AD63" s="245"/>
      <c r="AE63" s="245"/>
      <c r="AF63" s="245"/>
      <c r="AG63" s="245"/>
      <c r="AH63" s="245"/>
      <c r="AI63" s="245"/>
      <c r="AJ63" s="245"/>
      <c r="AK63" s="245"/>
      <c r="AL63" s="245"/>
      <c r="AM63" s="245"/>
    </row>
    <row r="64" spans="1:39" x14ac:dyDescent="0.2">
      <c r="A64" s="503">
        <f t="shared" si="2"/>
        <v>45</v>
      </c>
      <c r="B64" s="262" t="str">
        <f>CONCATENATE('3. Consumption by Rate Class'!B69,"-",'3. Consumption by Rate Class'!C69)</f>
        <v>2008-September</v>
      </c>
      <c r="C64" s="697">
        <v>14339118.18</v>
      </c>
      <c r="D64" s="703">
        <v>-24097.32</v>
      </c>
      <c r="E64" s="707"/>
      <c r="F64" s="703"/>
      <c r="G64" s="703"/>
      <c r="H64" s="704"/>
      <c r="I64" s="704"/>
      <c r="J64" s="263">
        <f t="shared" si="0"/>
        <v>14315020.859999999</v>
      </c>
      <c r="K64" s="725">
        <f>IF(K$18='5.Variables'!$B$16,+'5.Variables'!$K30,+IF(K$18='5.Variables'!$B$39,+'5.Variables'!$K53,+IF(K$18='5.Variables'!$B$62,+'5.Variables'!$K67,+IF(K$18='5.Variables'!$B$76,+'5.Variables'!$K81,+IF(K$18='5.Variables'!$B$90,+'5.Variables'!$K95,+IF(K$18='5.Variables'!$B$104,+'5.Variables'!$K109,0))))))</f>
        <v>95.4</v>
      </c>
      <c r="L64" s="725">
        <f>IF(L$18='5.Variables'!$B$16,+'5.Variables'!$K29,+IF(L$18='5.Variables'!$B$39,+'5.Variables'!$K53,+IF(L$18='5.Variables'!$B$62,+'5.Variables'!$K67,+IF(L$18='5.Variables'!$B$76,+'5.Variables'!$K81,+IF(L$18='5.Variables'!$B$90,+'5.Variables'!$K95,+IF(L$18='5.Variables'!$B$104,+'5.Variables'!$K109,0))))))</f>
        <v>25</v>
      </c>
      <c r="M64" s="725">
        <f>IF(M$18='5.Variables'!$B$16,+'5.Variables'!$K29,+IF(M$18='5.Variables'!$B$39,+'5.Variables'!$K53,+IF(M$18='5.Variables'!$B$62,+'5.Variables'!$K67,+IF(M$18='5.Variables'!$B$76,+'5.Variables'!$K81,+IF(M$18='5.Variables'!$B$90,+'5.Variables'!$K95,+IF(M$18='5.Variables'!$B$104,+'5.Variables'!$K109,0))))))</f>
        <v>0</v>
      </c>
      <c r="N64" s="725">
        <f>IF(N$18='5.Variables'!$B$16,+'5.Variables'!$K29,+IF(N$18='5.Variables'!$B$39,+'5.Variables'!$K53,+IF(N$18='5.Variables'!$B$62,+'5.Variables'!$K67,+IF(N$18='5.Variables'!$B$76,+'5.Variables'!$K81,+IF(N$18='5.Variables'!$B$90,+'5.Variables'!$K95,+IF(N$18='5.Variables'!$B$104,+'5.Variables'!$K109,0))))))</f>
        <v>0</v>
      </c>
      <c r="O64" s="725">
        <f>IF(O$18='5.Variables'!$B$16,+'5.Variables'!$K29,+IF(O$18='5.Variables'!$B$39,+'5.Variables'!$K53,+IF(O$18='5.Variables'!$B$62,+'5.Variables'!$K67,+IF(O$18='5.Variables'!$B$76,+'5.Variables'!$K81,+IF(O$18='5.Variables'!$B$90,+'5.Variables'!$K95,+IF(O$18='5.Variables'!$B$104,+'5.Variables'!$K109,0))))))</f>
        <v>30</v>
      </c>
      <c r="P64" s="725">
        <f>IF(P$18='5.Variables'!$B$16,+'5.Variables'!$K29,+IF(P$18='5.Variables'!$B$39,+'5.Variables'!$K53,+IF(P$18='5.Variables'!$B$62,+'5.Variables'!$K67,+IF(P$18='5.Variables'!$B$76,+'5.Variables'!$K81,+IF(P$18='5.Variables'!$B$90,+'5.Variables'!$K95,+IF(P$18='5.Variables'!$B$104,+'5.Variables'!$K109,0))))))</f>
        <v>0</v>
      </c>
      <c r="Q64" s="245"/>
      <c r="R64" s="558">
        <f t="shared" si="1"/>
        <v>14445524.497749681</v>
      </c>
      <c r="S64" s="265"/>
      <c r="T64" s="245"/>
      <c r="U64" s="250">
        <f>'4. Customer Growth'!B22</f>
        <v>2010</v>
      </c>
      <c r="V64" s="267">
        <f t="shared" si="5"/>
        <v>197081317.46300003</v>
      </c>
      <c r="W64" s="267">
        <f t="shared" si="6"/>
        <v>199197021.01412955</v>
      </c>
      <c r="X64" s="268">
        <f t="shared" si="7"/>
        <v>1.0735180677522726E-2</v>
      </c>
      <c r="Y64" s="271"/>
      <c r="Z64" s="245"/>
      <c r="AA64" s="245"/>
      <c r="AB64" s="245"/>
      <c r="AC64" s="245"/>
      <c r="AD64" s="245"/>
      <c r="AE64" s="245"/>
      <c r="AF64" s="245"/>
      <c r="AG64" s="245"/>
      <c r="AH64" s="245"/>
      <c r="AI64" s="245"/>
      <c r="AJ64" s="245"/>
      <c r="AK64" s="245"/>
      <c r="AL64" s="245"/>
      <c r="AM64" s="245"/>
    </row>
    <row r="65" spans="1:39" x14ac:dyDescent="0.2">
      <c r="A65" s="503">
        <f t="shared" si="2"/>
        <v>46</v>
      </c>
      <c r="B65" s="262" t="str">
        <f>CONCATENATE('3. Consumption by Rate Class'!B70,"-",'3. Consumption by Rate Class'!C70)</f>
        <v>2008-October</v>
      </c>
      <c r="C65" s="697">
        <v>15216338.729077807</v>
      </c>
      <c r="D65" s="703">
        <v>-29170.44</v>
      </c>
      <c r="E65" s="707"/>
      <c r="F65" s="703"/>
      <c r="G65" s="703"/>
      <c r="H65" s="703"/>
      <c r="I65" s="704"/>
      <c r="J65" s="263">
        <f t="shared" si="0"/>
        <v>15187168.289077807</v>
      </c>
      <c r="K65" s="725">
        <f>IF(K$18='5.Variables'!$B$16,+'5.Variables'!$L30,+IF(K$18='5.Variables'!$B$39,+'5.Variables'!$L53,+IF(K$18='5.Variables'!$B$62,+'5.Variables'!$L67,+IF(K$18='5.Variables'!$B$76,+'5.Variables'!$L81,+IF(K$18='5.Variables'!$B$90,+'5.Variables'!$L95,+IF(K$18='5.Variables'!$B$104,+'5.Variables'!$L109,0))))))</f>
        <v>321.8</v>
      </c>
      <c r="L65" s="725">
        <f>IF(L$18='5.Variables'!$B$16,+'5.Variables'!$L29,+IF(L$18='5.Variables'!$B$39,+'5.Variables'!$L53,+IF(L$18='5.Variables'!$B$62,+'5.Variables'!$L67,+IF(L$18='5.Variables'!$B$76,+'5.Variables'!$L81,+IF(L$18='5.Variables'!$B$90,+'5.Variables'!$L95,+IF(L$18='5.Variables'!$B$104,+'5.Variables'!$L109,0))))))</f>
        <v>0</v>
      </c>
      <c r="M65" s="725">
        <f>IF(M$18='5.Variables'!$B$16,+'5.Variables'!$L29,+IF(M$18='5.Variables'!$B$39,+'5.Variables'!$L53,+IF(M$18='5.Variables'!$B$62,+'5.Variables'!$L67,+IF(M$18='5.Variables'!$B$76,+'5.Variables'!$L81,+IF(M$18='5.Variables'!$B$90,+'5.Variables'!$L95,+IF(M$18='5.Variables'!$B$104,+'5.Variables'!$L109,0))))))</f>
        <v>0</v>
      </c>
      <c r="N65" s="725">
        <f>IF(N$18='5.Variables'!$B$16,+'5.Variables'!$L29,+IF(N$18='5.Variables'!$B$39,+'5.Variables'!$L53,+IF(N$18='5.Variables'!$B$62,+'5.Variables'!$L67,+IF(N$18='5.Variables'!$B$76,+'5.Variables'!$L81,+IF(N$18='5.Variables'!$B$90,+'5.Variables'!$L95,+IF(N$18='5.Variables'!$B$104,+'5.Variables'!$L109,0))))))</f>
        <v>0</v>
      </c>
      <c r="O65" s="725">
        <f>IF(O$18='5.Variables'!$B$16,+'5.Variables'!$L29,+IF(O$18='5.Variables'!$B$39,+'5.Variables'!$L53,+IF(O$18='5.Variables'!$B$62,+'5.Variables'!$L67,+IF(O$18='5.Variables'!$B$76,+'5.Variables'!$L81,+IF(O$18='5.Variables'!$B$90,+'5.Variables'!$L95,+IF(O$18='5.Variables'!$B$104,+'5.Variables'!$L109,0))))))</f>
        <v>31</v>
      </c>
      <c r="P65" s="725">
        <f>IF(P$18='5.Variables'!$B$16,+'5.Variables'!$L29,+IF(P$18='5.Variables'!$B$39,+'5.Variables'!$L53,+IF(P$18='5.Variables'!$B$62,+'5.Variables'!$L67,+IF(P$18='5.Variables'!$B$76,+'5.Variables'!$L81,+IF(P$18='5.Variables'!$B$90,+'5.Variables'!$L95,+IF(P$18='5.Variables'!$B$104,+'5.Variables'!$L109,0))))))</f>
        <v>0</v>
      </c>
      <c r="Q65" s="245"/>
      <c r="R65" s="558">
        <f t="shared" si="1"/>
        <v>15374219.843535427</v>
      </c>
      <c r="S65" s="265"/>
      <c r="T65" s="245"/>
      <c r="U65" s="250">
        <f>'4. Customer Growth'!B23</f>
        <v>2011</v>
      </c>
      <c r="V65" s="267">
        <f t="shared" si="5"/>
        <v>199623009.43799999</v>
      </c>
      <c r="W65" s="267">
        <f t="shared" si="6"/>
        <v>197051606.59096599</v>
      </c>
      <c r="X65" s="268">
        <f t="shared" si="7"/>
        <v>1.2881294868128154E-2</v>
      </c>
      <c r="Y65" s="271"/>
      <c r="Z65" s="245"/>
      <c r="AA65" s="245"/>
      <c r="AB65" s="245"/>
      <c r="AC65" s="245"/>
      <c r="AD65" s="245"/>
      <c r="AE65" s="245"/>
      <c r="AF65" s="245"/>
      <c r="AG65" s="245"/>
      <c r="AH65" s="245"/>
      <c r="AI65" s="245"/>
      <c r="AJ65" s="245"/>
      <c r="AK65" s="245"/>
      <c r="AL65" s="245"/>
      <c r="AM65" s="245"/>
    </row>
    <row r="66" spans="1:39" x14ac:dyDescent="0.2">
      <c r="A66" s="503">
        <f t="shared" si="2"/>
        <v>47</v>
      </c>
      <c r="B66" s="262" t="str">
        <f>CONCATENATE('3. Consumption by Rate Class'!B71,"-",'3. Consumption by Rate Class'!C71)</f>
        <v>2008-November</v>
      </c>
      <c r="C66" s="697">
        <v>17594469.57</v>
      </c>
      <c r="D66" s="703">
        <v>-26633.88</v>
      </c>
      <c r="E66" s="707"/>
      <c r="F66" s="703"/>
      <c r="G66" s="703"/>
      <c r="H66" s="703"/>
      <c r="I66" s="704"/>
      <c r="J66" s="263">
        <f t="shared" si="0"/>
        <v>17567835.690000001</v>
      </c>
      <c r="K66" s="725">
        <f>IF(K$18='5.Variables'!$B$16,+'5.Variables'!$M30,+IF(K$18='5.Variables'!$B$39,+'5.Variables'!$M53,+IF(K$18='5.Variables'!$B$62,+'5.Variables'!$M67,+IF(K$18='5.Variables'!$B$76,+'5.Variables'!$M81,+IF(K$18='5.Variables'!$B$90,+'5.Variables'!$M95,+IF(K$18='5.Variables'!$B$104,+'5.Variables'!$M109,0))))))</f>
        <v>502.8</v>
      </c>
      <c r="L66" s="725">
        <f>IF(L$18='5.Variables'!$B$16,+'5.Variables'!$M29,+IF(L$18='5.Variables'!$B$39,+'5.Variables'!$M53,+IF(L$18='5.Variables'!$B$62,+'5.Variables'!$M67,+IF(L$18='5.Variables'!$B$76,+'5.Variables'!$M81,+IF(L$18='5.Variables'!$B$90,+'5.Variables'!$M95,+IF(L$18='5.Variables'!$B$104,+'5.Variables'!$M109,0))))))</f>
        <v>0</v>
      </c>
      <c r="M66" s="725">
        <f>IF(M$18='5.Variables'!$B$16,+'5.Variables'!$M29,+IF(M$18='5.Variables'!$B$39,+'5.Variables'!$M53,+IF(M$18='5.Variables'!$B$62,+'5.Variables'!$M67,+IF(M$18='5.Variables'!$B$76,+'5.Variables'!$M81,+IF(M$18='5.Variables'!$B$90,+'5.Variables'!$M95,+IF(M$18='5.Variables'!$B$104,+'5.Variables'!$M109,0))))))</f>
        <v>0</v>
      </c>
      <c r="N66" s="725">
        <f>IF(N$18='5.Variables'!$B$16,+'5.Variables'!$M29,+IF(N$18='5.Variables'!$B$39,+'5.Variables'!$M53,+IF(N$18='5.Variables'!$B$62,+'5.Variables'!$M67,+IF(N$18='5.Variables'!$B$76,+'5.Variables'!$M81,+IF(N$18='5.Variables'!$B$90,+'5.Variables'!$M95,+IF(N$18='5.Variables'!$B$104,+'5.Variables'!$M109,0))))))</f>
        <v>0</v>
      </c>
      <c r="O66" s="725">
        <f>IF(O$18='5.Variables'!$B$16,+'5.Variables'!$M29,+IF(O$18='5.Variables'!$B$39,+'5.Variables'!$M53,+IF(O$18='5.Variables'!$B$62,+'5.Variables'!$M67,+IF(O$18='5.Variables'!$B$76,+'5.Variables'!$M81,+IF(O$18='5.Variables'!$B$90,+'5.Variables'!$M95,+IF(O$18='5.Variables'!$B$104,+'5.Variables'!$M109,0))))))</f>
        <v>30</v>
      </c>
      <c r="P66" s="725">
        <f>IF(P$18='5.Variables'!$B$16,+'5.Variables'!$M29,+IF(P$18='5.Variables'!$B$39,+'5.Variables'!$M53,+IF(P$18='5.Variables'!$B$62,+'5.Variables'!$M67,+IF(P$18='5.Variables'!$B$76,+'5.Variables'!$M81,+IF(P$18='5.Variables'!$B$90,+'5.Variables'!$M95,+IF(P$18='5.Variables'!$B$104,+'5.Variables'!$M109,0))))))</f>
        <v>0</v>
      </c>
      <c r="Q66" s="245"/>
      <c r="R66" s="558">
        <f t="shared" si="1"/>
        <v>16666665.842583733</v>
      </c>
      <c r="S66" s="265"/>
      <c r="T66" s="245"/>
      <c r="U66" s="250">
        <f>'4. Customer Growth'!B24</f>
        <v>2012</v>
      </c>
      <c r="V66" s="267">
        <f t="shared" si="5"/>
        <v>194771161.25000003</v>
      </c>
      <c r="W66" s="267">
        <f t="shared" si="6"/>
        <v>200061553.77745542</v>
      </c>
      <c r="X66" s="268">
        <f t="shared" si="7"/>
        <v>2.7162093677024726E-2</v>
      </c>
      <c r="Y66" s="271"/>
      <c r="Z66" s="245"/>
      <c r="AA66" s="245"/>
      <c r="AB66" s="245"/>
      <c r="AC66" s="245"/>
      <c r="AD66" s="245"/>
      <c r="AE66" s="245"/>
      <c r="AF66" s="245"/>
      <c r="AG66" s="245"/>
      <c r="AH66" s="245"/>
      <c r="AI66" s="245"/>
      <c r="AJ66" s="245"/>
      <c r="AK66" s="245"/>
      <c r="AL66" s="245"/>
      <c r="AM66" s="245"/>
    </row>
    <row r="67" spans="1:39" x14ac:dyDescent="0.2">
      <c r="A67" s="503">
        <f t="shared" si="2"/>
        <v>48</v>
      </c>
      <c r="B67" s="522" t="str">
        <f>CONCATENATE('3. Consumption by Rate Class'!B72,"-",'3. Consumption by Rate Class'!C72)</f>
        <v>2008-December</v>
      </c>
      <c r="C67" s="698">
        <v>20548340.41</v>
      </c>
      <c r="D67" s="705">
        <v>-23463.18</v>
      </c>
      <c r="E67" s="705"/>
      <c r="F67" s="705"/>
      <c r="G67" s="705"/>
      <c r="H67" s="705"/>
      <c r="I67" s="706"/>
      <c r="J67" s="263">
        <f t="shared" si="0"/>
        <v>20524877.23</v>
      </c>
      <c r="K67" s="725">
        <f>IF(K$18='5.Variables'!$B$16,+'5.Variables'!$N30,+IF(K$18='5.Variables'!$B$39,+'5.Variables'!$N53,+IF(K$18='5.Variables'!$B$62,+'5.Variables'!$N67,+IF(K$18='5.Variables'!$B$76,+'5.Variables'!$N81,+IF(K$18='5.Variables'!$B$90,+'5.Variables'!$N95,+IF(K$18='5.Variables'!$B$104,+'5.Variables'!$N109,0))))))</f>
        <v>796.7</v>
      </c>
      <c r="L67" s="725">
        <f>IF(L$18='5.Variables'!$B$16,+'5.Variables'!$N29,+IF(L$18='5.Variables'!$B$39,+'5.Variables'!$N53,+IF(L$18='5.Variables'!$B$62,+'5.Variables'!$N67,+IF(L$18='5.Variables'!$B$76,+'5.Variables'!$N81,+IF(L$18='5.Variables'!$B$90,+'5.Variables'!$N95,+IF(L$18='5.Variables'!$B$104,+'5.Variables'!$N109,0))))))</f>
        <v>0</v>
      </c>
      <c r="M67" s="725">
        <f>IF(M$18='5.Variables'!$B$16,+'5.Variables'!$N29,+IF(M$18='5.Variables'!$B$39,+'5.Variables'!$N53,+IF(M$18='5.Variables'!$B$62,+'5.Variables'!$N67,+IF(M$18='5.Variables'!$B$76,+'5.Variables'!$N81,+IF(M$18='5.Variables'!$B$90,+'5.Variables'!$N95,+IF(M$18='5.Variables'!$B$104,+'5.Variables'!$N109,0))))))</f>
        <v>1</v>
      </c>
      <c r="N67" s="725">
        <f>IF(N$18='5.Variables'!$B$16,+'5.Variables'!$N29,+IF(N$18='5.Variables'!$B$39,+'5.Variables'!$N53,+IF(N$18='5.Variables'!$B$62,+'5.Variables'!$N67,+IF(N$18='5.Variables'!$B$76,+'5.Variables'!$N81,+IF(N$18='5.Variables'!$B$90,+'5.Variables'!$N95,+IF(N$18='5.Variables'!$B$104,+'5.Variables'!$N109,0))))))</f>
        <v>1</v>
      </c>
      <c r="O67" s="725">
        <f>IF(O$18='5.Variables'!$B$16,+'5.Variables'!$N29,+IF(O$18='5.Variables'!$B$39,+'5.Variables'!$N53,+IF(O$18='5.Variables'!$B$62,+'5.Variables'!$N67,+IF(O$18='5.Variables'!$B$76,+'5.Variables'!$N81,+IF(O$18='5.Variables'!$B$90,+'5.Variables'!$N95,+IF(O$18='5.Variables'!$B$104,+'5.Variables'!$N109,0))))))</f>
        <v>31</v>
      </c>
      <c r="P67" s="725">
        <f>IF(P$18='5.Variables'!$B$16,+'5.Variables'!$N29,+IF(P$18='5.Variables'!$B$39,+'5.Variables'!$N53,+IF(P$18='5.Variables'!$B$62,+'5.Variables'!$N67,+IF(P$18='5.Variables'!$B$76,+'5.Variables'!$N81,+IF(P$18='5.Variables'!$B$90,+'5.Variables'!$N95,+IF(P$18='5.Variables'!$B$104,+'5.Variables'!$N109,0))))))</f>
        <v>0</v>
      </c>
      <c r="Q67" s="245"/>
      <c r="R67" s="558">
        <f t="shared" si="1"/>
        <v>20240232.181484409</v>
      </c>
      <c r="S67" s="265">
        <f>SUM(R56:R67)</f>
        <v>199277158.67089084</v>
      </c>
      <c r="T67" s="245"/>
      <c r="U67" s="250">
        <f>'4. Customer Growth'!B25</f>
        <v>2013</v>
      </c>
      <c r="V67" s="267">
        <f t="shared" si="5"/>
        <v>198259056.0149</v>
      </c>
      <c r="W67" s="267">
        <f t="shared" si="6"/>
        <v>199210663.16643396</v>
      </c>
      <c r="X67" s="268">
        <f t="shared" si="7"/>
        <v>4.7998168187709115E-3</v>
      </c>
      <c r="Y67" s="271"/>
      <c r="Z67" s="245"/>
      <c r="AA67" s="245"/>
      <c r="AB67" s="245"/>
      <c r="AC67" s="245"/>
      <c r="AD67" s="245"/>
      <c r="AE67" s="245"/>
      <c r="AF67" s="245"/>
      <c r="AG67" s="245"/>
      <c r="AH67" s="245"/>
      <c r="AI67" s="245"/>
      <c r="AJ67" s="245"/>
      <c r="AK67" s="245"/>
      <c r="AL67" s="245"/>
      <c r="AM67" s="245"/>
    </row>
    <row r="68" spans="1:39" x14ac:dyDescent="0.2">
      <c r="A68" s="503">
        <f t="shared" si="2"/>
        <v>49</v>
      </c>
      <c r="B68" s="262" t="str">
        <f>CONCATENATE('3. Consumption by Rate Class'!B73,"-",'3. Consumption by Rate Class'!C73)</f>
        <v>2009-January</v>
      </c>
      <c r="C68" s="697">
        <v>21876886.25</v>
      </c>
      <c r="D68" s="703">
        <v>-25365.599999999999</v>
      </c>
      <c r="E68" s="707"/>
      <c r="F68" s="703"/>
      <c r="G68" s="703"/>
      <c r="H68" s="703"/>
      <c r="I68" s="704"/>
      <c r="J68" s="263">
        <f t="shared" si="0"/>
        <v>21851520.649999999</v>
      </c>
      <c r="K68" s="725">
        <f>IF(K$18='5.Variables'!$B$16,+'5.Variables'!$C31,+IF(K$18='5.Variables'!$B$39,+'5.Variables'!$C54,+IF(K$18='5.Variables'!$B$62,+'5.Variables'!$C68,+IF(K$18='5.Variables'!$B$76,+'5.Variables'!$C82,+IF(K$18='5.Variables'!$B$90,+'5.Variables'!$C96,+IF(K$18='5.Variables'!$B$104,+'5.Variables'!$C110,0))))))</f>
        <v>979.5</v>
      </c>
      <c r="L68" s="725">
        <f>IF(L$18='5.Variables'!$B$16,+'5.Variables'!$C30,+IF(L$18='5.Variables'!$B$39,+'5.Variables'!$C54,+IF(L$18='5.Variables'!$B$62,+'5.Variables'!$C68,+IF(L$18='5.Variables'!$B$76,+'5.Variables'!$C82,+IF(L$18='5.Variables'!$B$90,+'5.Variables'!$C96,+IF(L$18='5.Variables'!$B$104,+'5.Variables'!$C110,0))))))</f>
        <v>0</v>
      </c>
      <c r="M68" s="725">
        <f>IF(M$18='5.Variables'!$B$16,+'5.Variables'!$C30,+IF(M$18='5.Variables'!$B$39,+'5.Variables'!$C54,+IF(M$18='5.Variables'!$B$62,+'5.Variables'!$C68,+IF(M$18='5.Variables'!$B$76,+'5.Variables'!$C82,+IF(M$18='5.Variables'!$B$90,+'5.Variables'!$C96,+IF(M$18='5.Variables'!$B$104,+'5.Variables'!$C110,0))))))</f>
        <v>1</v>
      </c>
      <c r="N68" s="725">
        <f>IF(N$18='5.Variables'!$B$16,+'5.Variables'!$C30,+IF(N$18='5.Variables'!$B$39,+'5.Variables'!$C54,+IF(N$18='5.Variables'!$B$62,+'5.Variables'!$C68,+IF(N$18='5.Variables'!$B$76,+'5.Variables'!$C82,+IF(N$18='5.Variables'!$B$90,+'5.Variables'!$C96,+IF(N$18='5.Variables'!$B$104,+'5.Variables'!$C110,0))))))</f>
        <v>1</v>
      </c>
      <c r="O68" s="725">
        <f>IF(O$18='5.Variables'!$B$16,+'5.Variables'!$C30,+IF(O$18='5.Variables'!$B$39,+'5.Variables'!$C54,+IF(O$18='5.Variables'!$B$62,+'5.Variables'!$C68,+IF(O$18='5.Variables'!$B$76,+'5.Variables'!$C82,+IF(O$18='5.Variables'!$B$90,+'5.Variables'!$C96,+IF(O$18='5.Variables'!$B$104,+'5.Variables'!$C110,0))))))</f>
        <v>31</v>
      </c>
      <c r="P68" s="725">
        <f>IF(P$18='5.Variables'!$B$16,+'5.Variables'!$C30,+IF(P$18='5.Variables'!$B$39,+'5.Variables'!$C54,+IF(P$18='5.Variables'!$B$62,+'5.Variables'!$C68,+IF(P$18='5.Variables'!$B$76,+'5.Variables'!$C82,+IF(P$18='5.Variables'!$B$90,+'5.Variables'!$C96,+IF(P$18='5.Variables'!$B$104,+'5.Variables'!$C110,0))))))</f>
        <v>0</v>
      </c>
      <c r="Q68" s="245"/>
      <c r="R68" s="558">
        <f t="shared" si="1"/>
        <v>21545531.234666895</v>
      </c>
      <c r="S68" s="265"/>
      <c r="T68" s="245"/>
      <c r="U68" s="250">
        <f>'4. Customer Growth'!B26</f>
        <v>2014</v>
      </c>
      <c r="V68" s="267">
        <f t="shared" si="5"/>
        <v>191637148.35999998</v>
      </c>
      <c r="W68" s="267">
        <f t="shared" si="6"/>
        <v>200106964.7243894</v>
      </c>
      <c r="X68" s="268">
        <f t="shared" si="7"/>
        <v>4.4197152988722441E-2</v>
      </c>
      <c r="Y68" s="271">
        <f>(W68-V68)/V68</f>
        <v>4.4197152988722441E-2</v>
      </c>
      <c r="Z68" s="245"/>
      <c r="AA68" s="245"/>
      <c r="AB68" s="245"/>
      <c r="AC68" s="245"/>
      <c r="AD68" s="245"/>
      <c r="AE68" s="245"/>
      <c r="AF68" s="245"/>
      <c r="AG68" s="245"/>
      <c r="AH68" s="245"/>
      <c r="AI68" s="245"/>
      <c r="AJ68" s="245"/>
      <c r="AK68" s="245"/>
      <c r="AL68" s="245"/>
      <c r="AM68" s="245"/>
    </row>
    <row r="69" spans="1:39" x14ac:dyDescent="0.2">
      <c r="A69" s="503">
        <f t="shared" si="2"/>
        <v>50</v>
      </c>
      <c r="B69" s="262" t="str">
        <f>CONCATENATE('3. Consumption by Rate Class'!B74,"-",'3. Consumption by Rate Class'!C74)</f>
        <v>2009-February</v>
      </c>
      <c r="C69" s="697">
        <v>20243845.07</v>
      </c>
      <c r="D69" s="703">
        <v>-24731.46</v>
      </c>
      <c r="E69" s="707"/>
      <c r="F69" s="703"/>
      <c r="G69" s="703"/>
      <c r="H69" s="703"/>
      <c r="I69" s="704"/>
      <c r="J69" s="263">
        <f t="shared" si="0"/>
        <v>20219113.609999999</v>
      </c>
      <c r="K69" s="725">
        <f>IF(K$18='5.Variables'!$B$16,+'5.Variables'!$D31,+IF(K$18='5.Variables'!$B$39,+'5.Variables'!$D54,+IF(K$18='5.Variables'!$B$62,+'5.Variables'!$D68,+IF(K$18='5.Variables'!$B$76,+'5.Variables'!$D82,+IF(K$18='5.Variables'!$B$90,+'5.Variables'!$D96,+IF(K$18='5.Variables'!$B$104,+'5.Variables'!$D110,0))))))</f>
        <v>711.5</v>
      </c>
      <c r="L69" s="725">
        <f>IF(L$18='5.Variables'!$B$16,+'5.Variables'!$D30,+IF(L$18='5.Variables'!$B$39,+'5.Variables'!$D54,+IF(L$18='5.Variables'!$B$62,+'5.Variables'!$D68,+IF(L$18='5.Variables'!$B$76,+'5.Variables'!$D82,+IF(L$18='5.Variables'!$B$90,+'5.Variables'!$D96,+IF(L$18='5.Variables'!$B$104,+'5.Variables'!$D110,0))))))</f>
        <v>0</v>
      </c>
      <c r="M69" s="725">
        <f>IF(M$18='5.Variables'!$B$16,+'5.Variables'!$D30,+IF(M$18='5.Variables'!$B$39,+'5.Variables'!$D54,+IF(M$18='5.Variables'!$B$62,+'5.Variables'!$D68,+IF(M$18='5.Variables'!$B$76,+'5.Variables'!$D82,+IF(M$18='5.Variables'!$B$90,+'5.Variables'!$D96,+IF(M$18='5.Variables'!$B$104,+'5.Variables'!$D110,0))))))</f>
        <v>1</v>
      </c>
      <c r="N69" s="725">
        <f>IF(N$18='5.Variables'!$B$16,+'5.Variables'!$D30,+IF(N$18='5.Variables'!$B$39,+'5.Variables'!$D54,+IF(N$18='5.Variables'!$B$62,+'5.Variables'!$D68,+IF(N$18='5.Variables'!$B$76,+'5.Variables'!$D82,+IF(N$18='5.Variables'!$B$90,+'5.Variables'!$D96,+IF(N$18='5.Variables'!$B$104,+'5.Variables'!$D110,0))))))</f>
        <v>0</v>
      </c>
      <c r="O69" s="725">
        <f>IF(O$18='5.Variables'!$B$16,+'5.Variables'!$D30,+IF(O$18='5.Variables'!$B$39,+'5.Variables'!$D54,+IF(O$18='5.Variables'!$B$62,+'5.Variables'!$D68,+IF(O$18='5.Variables'!$B$76,+'5.Variables'!$D82,+IF(O$18='5.Variables'!$B$90,+'5.Variables'!$D96,+IF(O$18='5.Variables'!$B$104,+'5.Variables'!$D110,0))))))</f>
        <v>28</v>
      </c>
      <c r="P69" s="725">
        <f>IF(P$18='5.Variables'!$B$16,+'5.Variables'!$D30,+IF(P$18='5.Variables'!$B$39,+'5.Variables'!$D54,+IF(P$18='5.Variables'!$B$62,+'5.Variables'!$D68,+IF(P$18='5.Variables'!$B$76,+'5.Variables'!$D82,+IF(P$18='5.Variables'!$B$90,+'5.Variables'!$D96,+IF(P$18='5.Variables'!$B$104,+'5.Variables'!$D110,0))))))</f>
        <v>0</v>
      </c>
      <c r="Q69" s="245"/>
      <c r="R69" s="558">
        <f t="shared" si="1"/>
        <v>19631854.285799794</v>
      </c>
      <c r="S69" s="265"/>
      <c r="T69" s="245"/>
      <c r="U69" s="272" t="s">
        <v>47</v>
      </c>
      <c r="V69" s="272"/>
      <c r="W69" s="272"/>
      <c r="X69" s="273">
        <f>AVERAGE(X59:X68)</f>
        <v>2.2050528287179454E-2</v>
      </c>
      <c r="Y69" s="245"/>
      <c r="Z69" s="245"/>
      <c r="AA69" s="245"/>
      <c r="AB69" s="245"/>
      <c r="AC69" s="245"/>
      <c r="AD69" s="245"/>
      <c r="AE69" s="245"/>
      <c r="AF69" s="245"/>
      <c r="AG69" s="245"/>
      <c r="AH69" s="245"/>
      <c r="AI69" s="245"/>
      <c r="AJ69" s="245"/>
      <c r="AK69" s="245"/>
      <c r="AL69" s="245"/>
      <c r="AM69" s="245"/>
    </row>
    <row r="70" spans="1:39" x14ac:dyDescent="0.2">
      <c r="A70" s="503">
        <f t="shared" si="2"/>
        <v>51</v>
      </c>
      <c r="B70" s="262" t="str">
        <f>CONCATENATE('3. Consumption by Rate Class'!B75,"-",'3. Consumption by Rate Class'!C75)</f>
        <v>2009-March</v>
      </c>
      <c r="C70" s="697">
        <v>17337916.890000001</v>
      </c>
      <c r="D70" s="703">
        <v>-28536.3</v>
      </c>
      <c r="E70" s="707"/>
      <c r="F70" s="703"/>
      <c r="G70" s="703"/>
      <c r="H70" s="703"/>
      <c r="I70" s="704"/>
      <c r="J70" s="263">
        <f t="shared" si="0"/>
        <v>17309380.59</v>
      </c>
      <c r="K70" s="725">
        <f>IF(K$18='5.Variables'!$B$16,+'5.Variables'!$E31,+IF(K$18='5.Variables'!$B$39,+'5.Variables'!$E54,+IF(K$18='5.Variables'!$B$62,+'5.Variables'!$E68,+IF(K$18='5.Variables'!$B$76,+'5.Variables'!$E82,+IF(K$18='5.Variables'!$B$90,+'5.Variables'!$E96,+IF(K$18='5.Variables'!$B$104,+'5.Variables'!$E110,0))))))</f>
        <v>598.29999999999995</v>
      </c>
      <c r="L70" s="725">
        <f>IF(L$18='5.Variables'!$B$16,+'5.Variables'!$E30,+IF(L$18='5.Variables'!$B$39,+'5.Variables'!$E54,+IF(L$18='5.Variables'!$B$62,+'5.Variables'!$E68,+IF(L$18='5.Variables'!$B$76,+'5.Variables'!$E82,+IF(L$18='5.Variables'!$B$90,+'5.Variables'!$E96,+IF(L$18='5.Variables'!$B$104,+'5.Variables'!$E110,0))))))</f>
        <v>0</v>
      </c>
      <c r="M70" s="725">
        <f>IF(M$18='5.Variables'!$B$16,+'5.Variables'!$E30,+IF(M$18='5.Variables'!$B$39,+'5.Variables'!$E54,+IF(M$18='5.Variables'!$B$62,+'5.Variables'!$E68,+IF(M$18='5.Variables'!$B$76,+'5.Variables'!$E82,+IF(M$18='5.Variables'!$B$90,+'5.Variables'!$E96,+IF(M$18='5.Variables'!$B$104,+'5.Variables'!$E110,0))))))</f>
        <v>0</v>
      </c>
      <c r="N70" s="725">
        <f>IF(N$18='5.Variables'!$B$16,+'5.Variables'!$E30,+IF(N$18='5.Variables'!$B$39,+'5.Variables'!$E54,+IF(N$18='5.Variables'!$B$62,+'5.Variables'!$E68,+IF(N$18='5.Variables'!$B$76,+'5.Variables'!$E82,+IF(N$18='5.Variables'!$B$90,+'5.Variables'!$E96,+IF(N$18='5.Variables'!$B$104,+'5.Variables'!$E110,0))))))</f>
        <v>1</v>
      </c>
      <c r="O70" s="725">
        <f>IF(O$18='5.Variables'!$B$16,+'5.Variables'!$E30,+IF(O$18='5.Variables'!$B$39,+'5.Variables'!$E54,+IF(O$18='5.Variables'!$B$62,+'5.Variables'!$E68,+IF(O$18='5.Variables'!$B$76,+'5.Variables'!$E82,+IF(O$18='5.Variables'!$B$90,+'5.Variables'!$E96,+IF(O$18='5.Variables'!$B$104,+'5.Variables'!$E110,0))))))</f>
        <v>31</v>
      </c>
      <c r="P70" s="725">
        <f>IF(P$18='5.Variables'!$B$16,+'5.Variables'!$E30,+IF(P$18='5.Variables'!$B$39,+'5.Variables'!$E54,+IF(P$18='5.Variables'!$B$62,+'5.Variables'!$E68,+IF(P$18='5.Variables'!$B$76,+'5.Variables'!$E82,+IF(P$18='5.Variables'!$B$90,+'5.Variables'!$E96,+IF(P$18='5.Variables'!$B$104,+'5.Variables'!$E110,0))))))</f>
        <v>0</v>
      </c>
      <c r="Q70" s="245"/>
      <c r="R70" s="558">
        <f t="shared" si="1"/>
        <v>17348591.770258389</v>
      </c>
      <c r="S70" s="265"/>
      <c r="T70" s="245"/>
      <c r="U70" s="272" t="s">
        <v>63</v>
      </c>
      <c r="V70" s="245"/>
      <c r="W70" s="245"/>
      <c r="X70" s="273">
        <f>MEDIAN(X59:X68)</f>
        <v>2.5671757678096416E-2</v>
      </c>
      <c r="Y70" s="245"/>
      <c r="Z70" s="245"/>
      <c r="AA70" s="245"/>
      <c r="AB70" s="245"/>
      <c r="AC70" s="245"/>
      <c r="AD70" s="245"/>
      <c r="AE70" s="245"/>
      <c r="AF70" s="245"/>
      <c r="AG70" s="245"/>
      <c r="AH70" s="245"/>
      <c r="AI70" s="245"/>
      <c r="AJ70" s="245"/>
      <c r="AK70" s="245"/>
      <c r="AL70" s="245"/>
      <c r="AM70" s="245"/>
    </row>
    <row r="71" spans="1:39" x14ac:dyDescent="0.2">
      <c r="A71" s="503">
        <f t="shared" si="2"/>
        <v>52</v>
      </c>
      <c r="B71" s="262" t="str">
        <f>CONCATENATE('3. Consumption by Rate Class'!B76,"-",'3. Consumption by Rate Class'!C76)</f>
        <v>2009-April</v>
      </c>
      <c r="C71" s="697">
        <v>15916362.57</v>
      </c>
      <c r="D71" s="703">
        <v>-25365.599999999999</v>
      </c>
      <c r="E71" s="707"/>
      <c r="F71" s="703"/>
      <c r="G71" s="703"/>
      <c r="H71" s="703"/>
      <c r="I71" s="704"/>
      <c r="J71" s="263">
        <f t="shared" si="0"/>
        <v>15890996.970000001</v>
      </c>
      <c r="K71" s="725">
        <f>IF(K$18='5.Variables'!$B$16,+'5.Variables'!$F31,+IF(K$18='5.Variables'!$B$39,+'5.Variables'!$F54,+IF(K$18='5.Variables'!$B$62,+'5.Variables'!$F68,+IF(K$18='5.Variables'!$B$76,+'5.Variables'!$F82,+IF(K$18='5.Variables'!$B$90,+'5.Variables'!$F96,+IF(K$18='5.Variables'!$B$104,+'5.Variables'!$F110,0))))))</f>
        <v>334.3</v>
      </c>
      <c r="L71" s="725">
        <f>IF(L$18='5.Variables'!$B$16,+'5.Variables'!$F30,+IF(L$18='5.Variables'!$B$39,+'5.Variables'!$F54,+IF(L$18='5.Variables'!$B$62,+'5.Variables'!$F68,+IF(L$18='5.Variables'!$B$76,+'5.Variables'!$F82,+IF(L$18='5.Variables'!$B$90,+'5.Variables'!$F96,+IF(L$18='5.Variables'!$B$104,+'5.Variables'!$F110,0))))))</f>
        <v>2.5</v>
      </c>
      <c r="M71" s="725">
        <f>IF(M$18='5.Variables'!$B$16,+'5.Variables'!$F30,+IF(M$18='5.Variables'!$B$39,+'5.Variables'!$F54,+IF(M$18='5.Variables'!$B$62,+'5.Variables'!$F68,+IF(M$18='5.Variables'!$B$76,+'5.Variables'!$F82,+IF(M$18='5.Variables'!$B$90,+'5.Variables'!$F96,+IF(M$18='5.Variables'!$B$104,+'5.Variables'!$F110,0))))))</f>
        <v>0</v>
      </c>
      <c r="N71" s="725">
        <f>IF(N$18='5.Variables'!$B$16,+'5.Variables'!$F30,+IF(N$18='5.Variables'!$B$39,+'5.Variables'!$F54,+IF(N$18='5.Variables'!$B$62,+'5.Variables'!$F68,+IF(N$18='5.Variables'!$B$76,+'5.Variables'!$F82,+IF(N$18='5.Variables'!$B$90,+'5.Variables'!$F96,+IF(N$18='5.Variables'!$B$104,+'5.Variables'!$F110,0))))))</f>
        <v>0</v>
      </c>
      <c r="O71" s="725">
        <f>IF(O$18='5.Variables'!$B$16,+'5.Variables'!$F30,+IF(O$18='5.Variables'!$B$39,+'5.Variables'!$F54,+IF(O$18='5.Variables'!$B$62,+'5.Variables'!$F68,+IF(O$18='5.Variables'!$B$76,+'5.Variables'!$F82,+IF(O$18='5.Variables'!$B$90,+'5.Variables'!$F96,+IF(O$18='5.Variables'!$B$104,+'5.Variables'!$F110,0))))))</f>
        <v>30</v>
      </c>
      <c r="P71" s="725">
        <f>IF(P$18='5.Variables'!$B$16,+'5.Variables'!$F30,+IF(P$18='5.Variables'!$B$39,+'5.Variables'!$F54,+IF(P$18='5.Variables'!$B$62,+'5.Variables'!$F68,+IF(P$18='5.Variables'!$B$76,+'5.Variables'!$F82,+IF(P$18='5.Variables'!$B$90,+'5.Variables'!$F96,+IF(P$18='5.Variables'!$B$104,+'5.Variables'!$F110,0))))))</f>
        <v>0</v>
      </c>
      <c r="Q71" s="245"/>
      <c r="R71" s="558">
        <f t="shared" si="1"/>
        <v>15532270.487998608</v>
      </c>
      <c r="S71" s="265"/>
      <c r="T71" s="245"/>
      <c r="U71" s="245"/>
      <c r="V71" s="245"/>
      <c r="W71" s="245"/>
      <c r="X71" s="245"/>
      <c r="Y71" s="245"/>
      <c r="Z71" s="245"/>
      <c r="AA71" s="245"/>
      <c r="AB71" s="245"/>
      <c r="AC71" s="245"/>
      <c r="AD71" s="245"/>
      <c r="AE71" s="245"/>
      <c r="AF71" s="245"/>
      <c r="AG71" s="245"/>
      <c r="AH71" s="245"/>
      <c r="AI71" s="245"/>
      <c r="AJ71" s="245"/>
      <c r="AK71" s="245"/>
      <c r="AL71" s="245"/>
      <c r="AM71" s="245"/>
    </row>
    <row r="72" spans="1:39" x14ac:dyDescent="0.2">
      <c r="A72" s="503">
        <f t="shared" si="2"/>
        <v>53</v>
      </c>
      <c r="B72" s="262" t="str">
        <f>CONCATENATE('3. Consumption by Rate Class'!B77,"-",'3. Consumption by Rate Class'!C77)</f>
        <v>2009-May</v>
      </c>
      <c r="C72" s="697">
        <v>14633883.960000001</v>
      </c>
      <c r="D72" s="703">
        <v>-25365.599999999999</v>
      </c>
      <c r="E72" s="707"/>
      <c r="F72" s="703"/>
      <c r="G72" s="703"/>
      <c r="H72" s="703"/>
      <c r="I72" s="704"/>
      <c r="J72" s="263">
        <f t="shared" si="0"/>
        <v>14608518.360000001</v>
      </c>
      <c r="K72" s="725">
        <f>IF(K$18='5.Variables'!$B$16,+'5.Variables'!$G31,+IF(K$18='5.Variables'!$B$39,+'5.Variables'!$G54,+IF(K$18='5.Variables'!$B$62,+'5.Variables'!$G68,+IF(K$18='5.Variables'!$B$76,+'5.Variables'!$G82,+IF(K$18='5.Variables'!$B$90,+'5.Variables'!$G96,+IF(K$18='5.Variables'!$B$104,+'5.Variables'!$G110,0))))))</f>
        <v>181.6</v>
      </c>
      <c r="L72" s="725">
        <f>IF(L$18='5.Variables'!$B$16,+'5.Variables'!$G30,+IF(L$18='5.Variables'!$B$39,+'5.Variables'!$G54,+IF(L$18='5.Variables'!$B$62,+'5.Variables'!$G68,+IF(L$18='5.Variables'!$B$76,+'5.Variables'!$G82,+IF(L$18='5.Variables'!$B$90,+'5.Variables'!$G96,+IF(L$18='5.Variables'!$B$104,+'5.Variables'!$G110,0))))))</f>
        <v>3.2</v>
      </c>
      <c r="M72" s="725">
        <f>IF(M$18='5.Variables'!$B$16,+'5.Variables'!$G30,+IF(M$18='5.Variables'!$B$39,+'5.Variables'!$G54,+IF(M$18='5.Variables'!$B$62,+'5.Variables'!$G68,+IF(M$18='5.Variables'!$B$76,+'5.Variables'!$G82,+IF(M$18='5.Variables'!$B$90,+'5.Variables'!$G96,+IF(M$18='5.Variables'!$B$104,+'5.Variables'!$G110,0))))))</f>
        <v>0</v>
      </c>
      <c r="N72" s="725">
        <f>IF(N$18='5.Variables'!$B$16,+'5.Variables'!$G30,+IF(N$18='5.Variables'!$B$39,+'5.Variables'!$G54,+IF(N$18='5.Variables'!$B$62,+'5.Variables'!$G68,+IF(N$18='5.Variables'!$B$76,+'5.Variables'!$G82,+IF(N$18='5.Variables'!$B$90,+'5.Variables'!$G96,+IF(N$18='5.Variables'!$B$104,+'5.Variables'!$G110,0))))))</f>
        <v>0</v>
      </c>
      <c r="O72" s="725">
        <f>IF(O$18='5.Variables'!$B$16,+'5.Variables'!$G30,+IF(O$18='5.Variables'!$B$39,+'5.Variables'!$G54,+IF(O$18='5.Variables'!$B$62,+'5.Variables'!$G68,+IF(O$18='5.Variables'!$B$76,+'5.Variables'!$G82,+IF(O$18='5.Variables'!$B$90,+'5.Variables'!$G96,+IF(O$18='5.Variables'!$B$104,+'5.Variables'!$G110,0))))))</f>
        <v>31</v>
      </c>
      <c r="P72" s="725">
        <f>IF(P$18='5.Variables'!$B$16,+'5.Variables'!$G30,+IF(P$18='5.Variables'!$B$39,+'5.Variables'!$G54,+IF(P$18='5.Variables'!$B$62,+'5.Variables'!$G68,+IF(P$18='5.Variables'!$B$76,+'5.Variables'!$G82,+IF(P$18='5.Variables'!$B$90,+'5.Variables'!$G96,+IF(P$18='5.Variables'!$B$104,+'5.Variables'!$G110,0))))))</f>
        <v>0</v>
      </c>
      <c r="Q72" s="245"/>
      <c r="R72" s="558">
        <f t="shared" si="1"/>
        <v>14461165.1930265</v>
      </c>
      <c r="S72" s="265"/>
      <c r="T72" s="245"/>
      <c r="U72" s="245" t="s">
        <v>125</v>
      </c>
      <c r="V72" s="245"/>
      <c r="W72" s="245"/>
      <c r="X72" s="245"/>
      <c r="Y72" s="245"/>
      <c r="Z72" s="245"/>
      <c r="AA72" s="245"/>
      <c r="AB72" s="245"/>
      <c r="AC72" s="245"/>
      <c r="AD72" s="245"/>
      <c r="AE72" s="245"/>
      <c r="AF72" s="245"/>
      <c r="AG72" s="245"/>
      <c r="AH72" s="245"/>
      <c r="AI72" s="245"/>
      <c r="AJ72" s="245"/>
      <c r="AK72" s="245"/>
      <c r="AL72" s="245"/>
      <c r="AM72" s="245"/>
    </row>
    <row r="73" spans="1:39" x14ac:dyDescent="0.2">
      <c r="A73" s="503">
        <f t="shared" si="2"/>
        <v>54</v>
      </c>
      <c r="B73" s="262" t="str">
        <f>CONCATENATE('3. Consumption by Rate Class'!B78,"-",'3. Consumption by Rate Class'!C78)</f>
        <v>2009-June</v>
      </c>
      <c r="C73" s="697">
        <v>14792272.42</v>
      </c>
      <c r="D73" s="703">
        <v>-19024.2</v>
      </c>
      <c r="E73" s="707"/>
      <c r="F73" s="703"/>
      <c r="G73" s="703"/>
      <c r="H73" s="703"/>
      <c r="I73" s="704"/>
      <c r="J73" s="263">
        <f t="shared" si="0"/>
        <v>14773248.220000001</v>
      </c>
      <c r="K73" s="725">
        <f>IF(K$18='5.Variables'!$B$16,+'5.Variables'!$H31,+IF(K$18='5.Variables'!$B$39,+'5.Variables'!$H54,+IF(K$18='5.Variables'!$B$62,+'5.Variables'!$H68,+IF(K$18='5.Variables'!$B$76,+'5.Variables'!$H82,+IF(K$18='5.Variables'!$B$90,+'5.Variables'!$H96,+IF(K$18='5.Variables'!$B$104,+'5.Variables'!$H110,0))))))</f>
        <v>50.4</v>
      </c>
      <c r="L73" s="725">
        <f>IF(L$18='5.Variables'!$B$16,+'5.Variables'!$H30,+IF(L$18='5.Variables'!$B$39,+'5.Variables'!$H54,+IF(L$18='5.Variables'!$B$62,+'5.Variables'!$H68,+IF(L$18='5.Variables'!$B$76,+'5.Variables'!$H82,+IF(L$18='5.Variables'!$B$90,+'5.Variables'!$H96,+IF(L$18='5.Variables'!$B$104,+'5.Variables'!$H110,0))))))</f>
        <v>44.9</v>
      </c>
      <c r="M73" s="725">
        <f>IF(M$18='5.Variables'!$B$16,+'5.Variables'!$H30,+IF(M$18='5.Variables'!$B$39,+'5.Variables'!$H54,+IF(M$18='5.Variables'!$B$62,+'5.Variables'!$H68,+IF(M$18='5.Variables'!$B$76,+'5.Variables'!$H82,+IF(M$18='5.Variables'!$B$90,+'5.Variables'!$H96,+IF(M$18='5.Variables'!$B$104,+'5.Variables'!$H110,0))))))</f>
        <v>0</v>
      </c>
      <c r="N73" s="725">
        <f>IF(N$18='5.Variables'!$B$16,+'5.Variables'!$H30,+IF(N$18='5.Variables'!$B$39,+'5.Variables'!$H54,+IF(N$18='5.Variables'!$B$62,+'5.Variables'!$H68,+IF(N$18='5.Variables'!$B$76,+'5.Variables'!$H82,+IF(N$18='5.Variables'!$B$90,+'5.Variables'!$H96,+IF(N$18='5.Variables'!$B$104,+'5.Variables'!$H110,0))))))</f>
        <v>0</v>
      </c>
      <c r="O73" s="725">
        <f>IF(O$18='5.Variables'!$B$16,+'5.Variables'!$H30,+IF(O$18='5.Variables'!$B$39,+'5.Variables'!$H54,+IF(O$18='5.Variables'!$B$62,+'5.Variables'!$H68,+IF(O$18='5.Variables'!$B$76,+'5.Variables'!$H82,+IF(O$18='5.Variables'!$B$90,+'5.Variables'!$H96,+IF(O$18='5.Variables'!$B$104,+'5.Variables'!$H110,0))))))</f>
        <v>30</v>
      </c>
      <c r="P73" s="725">
        <f>IF(P$18='5.Variables'!$B$16,+'5.Variables'!$H30,+IF(P$18='5.Variables'!$B$39,+'5.Variables'!$H54,+IF(P$18='5.Variables'!$B$62,+'5.Variables'!$H68,+IF(P$18='5.Variables'!$B$76,+'5.Variables'!$H82,+IF(P$18='5.Variables'!$B$90,+'5.Variables'!$H96,+IF(P$18='5.Variables'!$B$104,+'5.Variables'!$H110,0))))))</f>
        <v>0</v>
      </c>
      <c r="Q73" s="245"/>
      <c r="R73" s="558">
        <f t="shared" si="1"/>
        <v>14671793.004126973</v>
      </c>
      <c r="S73" s="265"/>
      <c r="T73" s="245"/>
      <c r="U73" s="245" t="s">
        <v>168</v>
      </c>
      <c r="V73" s="245"/>
      <c r="W73" s="245"/>
      <c r="X73" s="245"/>
      <c r="Y73" s="245"/>
      <c r="Z73" s="245"/>
      <c r="AA73" s="245"/>
      <c r="AB73" s="245"/>
      <c r="AC73" s="245"/>
      <c r="AD73" s="245"/>
      <c r="AE73" s="245"/>
      <c r="AF73" s="245"/>
      <c r="AG73" s="245"/>
      <c r="AH73" s="245"/>
      <c r="AI73" s="245"/>
      <c r="AJ73" s="245"/>
      <c r="AK73" s="245"/>
      <c r="AL73" s="245"/>
      <c r="AM73" s="245"/>
    </row>
    <row r="74" spans="1:39" x14ac:dyDescent="0.2">
      <c r="A74" s="503">
        <f t="shared" si="2"/>
        <v>55</v>
      </c>
      <c r="B74" s="262" t="str">
        <f>CONCATENATE('3. Consumption by Rate Class'!B79,"-",'3. Consumption by Rate Class'!C79)</f>
        <v>2009-July</v>
      </c>
      <c r="C74" s="697">
        <v>14407933.99</v>
      </c>
      <c r="D74" s="703">
        <v>-10780.38</v>
      </c>
      <c r="E74" s="707"/>
      <c r="F74" s="703"/>
      <c r="G74" s="703"/>
      <c r="H74" s="703"/>
      <c r="I74" s="704"/>
      <c r="J74" s="263">
        <f t="shared" si="0"/>
        <v>14397153.609999999</v>
      </c>
      <c r="K74" s="725">
        <f>IF(K$18='5.Variables'!$B$16,+'5.Variables'!$I31,+IF(K$18='5.Variables'!$B$39,+'5.Variables'!$I54,+IF(K$18='5.Variables'!$B$62,+'5.Variables'!$I68,+IF(K$18='5.Variables'!$B$76,+'5.Variables'!$I82,+IF(K$18='5.Variables'!$B$90,+'5.Variables'!$I96,+IF(K$18='5.Variables'!$B$104,+'5.Variables'!$I110,0))))))</f>
        <v>13.1</v>
      </c>
      <c r="L74" s="725">
        <f>IF(L$18='5.Variables'!$B$16,+'5.Variables'!$I30,+IF(L$18='5.Variables'!$B$39,+'5.Variables'!$I54,+IF(L$18='5.Variables'!$B$62,+'5.Variables'!$I68,+IF(L$18='5.Variables'!$B$76,+'5.Variables'!$I82,+IF(L$18='5.Variables'!$B$90,+'5.Variables'!$I96,+IF(L$18='5.Variables'!$B$104,+'5.Variables'!$I110,0))))))</f>
        <v>42.9</v>
      </c>
      <c r="M74" s="725">
        <f>IF(M$18='5.Variables'!$B$16,+'5.Variables'!$I30,+IF(M$18='5.Variables'!$B$39,+'5.Variables'!$I54,+IF(M$18='5.Variables'!$B$62,+'5.Variables'!$I68,+IF(M$18='5.Variables'!$B$76,+'5.Variables'!$I82,+IF(M$18='5.Variables'!$B$90,+'5.Variables'!$I96,+IF(M$18='5.Variables'!$B$104,+'5.Variables'!$I110,0))))))</f>
        <v>0</v>
      </c>
      <c r="N74" s="725">
        <f>IF(N$18='5.Variables'!$B$16,+'5.Variables'!$I30,+IF(N$18='5.Variables'!$B$39,+'5.Variables'!$I54,+IF(N$18='5.Variables'!$B$62,+'5.Variables'!$I68,+IF(N$18='5.Variables'!$B$76,+'5.Variables'!$I82,+IF(N$18='5.Variables'!$B$90,+'5.Variables'!$I96,+IF(N$18='5.Variables'!$B$104,+'5.Variables'!$I110,0))))))</f>
        <v>1</v>
      </c>
      <c r="O74" s="725">
        <f>IF(O$18='5.Variables'!$B$16,+'5.Variables'!$I30,+IF(O$18='5.Variables'!$B$39,+'5.Variables'!$I54,+IF(O$18='5.Variables'!$B$62,+'5.Variables'!$I68,+IF(O$18='5.Variables'!$B$76,+'5.Variables'!$I82,+IF(O$18='5.Variables'!$B$90,+'5.Variables'!$I96,+IF(O$18='5.Variables'!$B$104,+'5.Variables'!$I110,0))))))</f>
        <v>31</v>
      </c>
      <c r="P74" s="725">
        <f>IF(P$18='5.Variables'!$B$16,+'5.Variables'!$I30,+IF(P$18='5.Variables'!$B$39,+'5.Variables'!$I54,+IF(P$18='5.Variables'!$B$62,+'5.Variables'!$I68,+IF(P$18='5.Variables'!$B$76,+'5.Variables'!$I82,+IF(P$18='5.Variables'!$B$90,+'5.Variables'!$I96,+IF(P$18='5.Variables'!$B$104,+'5.Variables'!$I110,0))))))</f>
        <v>0</v>
      </c>
      <c r="Q74" s="245"/>
      <c r="R74" s="558">
        <f t="shared" si="1"/>
        <v>14350414.500854669</v>
      </c>
      <c r="S74" s="265"/>
      <c r="T74" s="245"/>
      <c r="U74" s="245"/>
      <c r="V74" s="245"/>
      <c r="W74" s="245"/>
      <c r="X74" s="245"/>
      <c r="Y74" s="245"/>
      <c r="Z74" s="245"/>
      <c r="AA74" s="245"/>
      <c r="AB74" s="245"/>
      <c r="AC74" s="245"/>
      <c r="AD74" s="245"/>
      <c r="AE74" s="245"/>
      <c r="AF74" s="245"/>
      <c r="AG74" s="245"/>
      <c r="AH74" s="245"/>
      <c r="AI74" s="245"/>
      <c r="AJ74" s="245"/>
      <c r="AK74" s="245"/>
      <c r="AL74" s="245"/>
      <c r="AM74" s="245"/>
    </row>
    <row r="75" spans="1:39" x14ac:dyDescent="0.2">
      <c r="A75" s="503">
        <f t="shared" si="2"/>
        <v>56</v>
      </c>
      <c r="B75" s="262" t="str">
        <f>CONCATENATE('3. Consumption by Rate Class'!B80,"-",'3. Consumption by Rate Class'!C80)</f>
        <v>2009-August</v>
      </c>
      <c r="C75" s="697">
        <v>16285992.6</v>
      </c>
      <c r="D75" s="703">
        <v>-25999.74</v>
      </c>
      <c r="E75" s="707"/>
      <c r="F75" s="703"/>
      <c r="G75" s="703"/>
      <c r="H75" s="703"/>
      <c r="I75" s="704"/>
      <c r="J75" s="263">
        <f t="shared" si="0"/>
        <v>16259992.859999999</v>
      </c>
      <c r="K75" s="725">
        <f>IF(K$18='5.Variables'!$B$16,+'5.Variables'!$J31,+IF(K$18='5.Variables'!$B$39,+'5.Variables'!$J54,+IF(K$18='5.Variables'!$B$62,+'5.Variables'!$J68,+IF(K$18='5.Variables'!$B$76,+'5.Variables'!$J82,+IF(K$18='5.Variables'!$B$90,+'5.Variables'!$J96,+IF(K$18='5.Variables'!$B$104,+'5.Variables'!$J110,0))))))</f>
        <v>26.1</v>
      </c>
      <c r="L75" s="725">
        <f>IF(L$18='5.Variables'!$B$16,+'5.Variables'!$J30,+IF(L$18='5.Variables'!$B$39,+'5.Variables'!$J54,+IF(L$18='5.Variables'!$B$62,+'5.Variables'!$J68,+IF(L$18='5.Variables'!$B$76,+'5.Variables'!$J82,+IF(L$18='5.Variables'!$B$90,+'5.Variables'!$J96,+IF(L$18='5.Variables'!$B$104,+'5.Variables'!$J110,0))))))</f>
        <v>82.1</v>
      </c>
      <c r="M75" s="725">
        <f>IF(M$18='5.Variables'!$B$16,+'5.Variables'!$J30,+IF(M$18='5.Variables'!$B$39,+'5.Variables'!$J54,+IF(M$18='5.Variables'!$B$62,+'5.Variables'!$J68,+IF(M$18='5.Variables'!$B$76,+'5.Variables'!$J82,+IF(M$18='5.Variables'!$B$90,+'5.Variables'!$J96,+IF(M$18='5.Variables'!$B$104,+'5.Variables'!$J110,0))))))</f>
        <v>0</v>
      </c>
      <c r="N75" s="725">
        <f>IF(N$18='5.Variables'!$B$16,+'5.Variables'!$J30,+IF(N$18='5.Variables'!$B$39,+'5.Variables'!$J54,+IF(N$18='5.Variables'!$B$62,+'5.Variables'!$J68,+IF(N$18='5.Variables'!$B$76,+'5.Variables'!$J82,+IF(N$18='5.Variables'!$B$90,+'5.Variables'!$J96,+IF(N$18='5.Variables'!$B$104,+'5.Variables'!$J110,0))))))</f>
        <v>0</v>
      </c>
      <c r="O75" s="725">
        <f>IF(O$18='5.Variables'!$B$16,+'5.Variables'!$J30,+IF(O$18='5.Variables'!$B$39,+'5.Variables'!$J54,+IF(O$18='5.Variables'!$B$62,+'5.Variables'!$J68,+IF(O$18='5.Variables'!$B$76,+'5.Variables'!$J82,+IF(O$18='5.Variables'!$B$90,+'5.Variables'!$J96,+IF(O$18='5.Variables'!$B$104,+'5.Variables'!$J110,0))))))</f>
        <v>31</v>
      </c>
      <c r="P75" s="725">
        <f>IF(P$18='5.Variables'!$B$16,+'5.Variables'!$J30,+IF(P$18='5.Variables'!$B$39,+'5.Variables'!$J54,+IF(P$18='5.Variables'!$B$62,+'5.Variables'!$J68,+IF(P$18='5.Variables'!$B$76,+'5.Variables'!$J82,+IF(P$18='5.Variables'!$B$90,+'5.Variables'!$J96,+IF(P$18='5.Variables'!$B$104,+'5.Variables'!$J110,0))))))</f>
        <v>0</v>
      </c>
      <c r="Q75" s="245"/>
      <c r="R75" s="558">
        <f t="shared" si="1"/>
        <v>15521921.435728811</v>
      </c>
      <c r="S75" s="265"/>
      <c r="T75" s="245"/>
      <c r="U75" s="534" t="s">
        <v>33</v>
      </c>
      <c r="V75" s="534" t="s">
        <v>245</v>
      </c>
      <c r="W75" s="535" t="s">
        <v>45</v>
      </c>
      <c r="X75" s="245"/>
      <c r="Y75" s="245"/>
      <c r="Z75" s="245"/>
      <c r="AA75" s="245"/>
      <c r="AB75" s="245"/>
      <c r="AC75" s="245"/>
      <c r="AD75" s="245"/>
      <c r="AE75" s="245"/>
      <c r="AF75" s="245"/>
      <c r="AG75" s="245"/>
      <c r="AH75" s="245"/>
      <c r="AI75" s="245"/>
      <c r="AJ75" s="245"/>
      <c r="AK75" s="245"/>
      <c r="AL75" s="245"/>
      <c r="AM75" s="245"/>
    </row>
    <row r="76" spans="1:39" x14ac:dyDescent="0.2">
      <c r="A76" s="503">
        <f t="shared" si="2"/>
        <v>57</v>
      </c>
      <c r="B76" s="262" t="str">
        <f>CONCATENATE('3. Consumption by Rate Class'!B81,"-",'3. Consumption by Rate Class'!C81)</f>
        <v>2009-September</v>
      </c>
      <c r="C76" s="697">
        <v>14255141.98</v>
      </c>
      <c r="D76" s="703">
        <v>-24097.32</v>
      </c>
      <c r="E76" s="707"/>
      <c r="F76" s="703"/>
      <c r="G76" s="703"/>
      <c r="H76" s="704"/>
      <c r="I76" s="704"/>
      <c r="J76" s="263">
        <f t="shared" si="0"/>
        <v>14231044.66</v>
      </c>
      <c r="K76" s="725">
        <f>IF(K$18='5.Variables'!$B$16,+'5.Variables'!$K31,+IF(K$18='5.Variables'!$B$39,+'5.Variables'!$K54,+IF(K$18='5.Variables'!$B$62,+'5.Variables'!$K68,+IF(K$18='5.Variables'!$B$76,+'5.Variables'!$K82,+IF(K$18='5.Variables'!$B$90,+'5.Variables'!$K96,+IF(K$18='5.Variables'!$B$104,+'5.Variables'!$K110,0))))))</f>
        <v>106.5</v>
      </c>
      <c r="L76" s="725">
        <f>IF(L$18='5.Variables'!$B$16,+'5.Variables'!$K30,+IF(L$18='5.Variables'!$B$39,+'5.Variables'!$K54,+IF(L$18='5.Variables'!$B$62,+'5.Variables'!$K68,+IF(L$18='5.Variables'!$B$76,+'5.Variables'!$K82,+IF(L$18='5.Variables'!$B$90,+'5.Variables'!$K96,+IF(L$18='5.Variables'!$B$104,+'5.Variables'!$K110,0))))))</f>
        <v>5</v>
      </c>
      <c r="M76" s="725">
        <f>IF(M$18='5.Variables'!$B$16,+'5.Variables'!$K30,+IF(M$18='5.Variables'!$B$39,+'5.Variables'!$K54,+IF(M$18='5.Variables'!$B$62,+'5.Variables'!$K68,+IF(M$18='5.Variables'!$B$76,+'5.Variables'!$K82,+IF(M$18='5.Variables'!$B$90,+'5.Variables'!$K96,+IF(M$18='5.Variables'!$B$104,+'5.Variables'!$K110,0))))))</f>
        <v>0</v>
      </c>
      <c r="N76" s="725">
        <f>IF(N$18='5.Variables'!$B$16,+'5.Variables'!$K30,+IF(N$18='5.Variables'!$B$39,+'5.Variables'!$K54,+IF(N$18='5.Variables'!$B$62,+'5.Variables'!$K68,+IF(N$18='5.Variables'!$B$76,+'5.Variables'!$K82,+IF(N$18='5.Variables'!$B$90,+'5.Variables'!$K96,+IF(N$18='5.Variables'!$B$104,+'5.Variables'!$K110,0))))))</f>
        <v>0</v>
      </c>
      <c r="O76" s="725">
        <f>IF(O$18='5.Variables'!$B$16,+'5.Variables'!$K30,+IF(O$18='5.Variables'!$B$39,+'5.Variables'!$K54,+IF(O$18='5.Variables'!$B$62,+'5.Variables'!$K68,+IF(O$18='5.Variables'!$B$76,+'5.Variables'!$K82,+IF(O$18='5.Variables'!$B$90,+'5.Variables'!$K96,+IF(O$18='5.Variables'!$B$104,+'5.Variables'!$K110,0))))))</f>
        <v>30</v>
      </c>
      <c r="P76" s="725">
        <f>IF(P$18='5.Variables'!$B$16,+'5.Variables'!$K30,+IF(P$18='5.Variables'!$B$39,+'5.Variables'!$K54,+IF(P$18='5.Variables'!$B$62,+'5.Variables'!$K68,+IF(P$18='5.Variables'!$B$76,+'5.Variables'!$K82,+IF(P$18='5.Variables'!$B$90,+'5.Variables'!$K96,+IF(P$18='5.Variables'!$B$104,+'5.Variables'!$K110,0))))))</f>
        <v>0</v>
      </c>
      <c r="Q76" s="245"/>
      <c r="R76" s="558">
        <f t="shared" si="1"/>
        <v>13974438.405548483</v>
      </c>
      <c r="S76" s="265"/>
      <c r="T76" s="245"/>
      <c r="U76" s="533">
        <v>2015</v>
      </c>
      <c r="V76" s="531">
        <f>S151</f>
        <v>199517622.55165914</v>
      </c>
      <c r="W76" s="532">
        <f>(V76-V68)/V68</f>
        <v>4.1121850638558277E-2</v>
      </c>
      <c r="X76" s="245"/>
      <c r="Y76" s="245"/>
      <c r="Z76" s="245"/>
      <c r="AA76" s="245"/>
      <c r="AB76" s="245"/>
      <c r="AC76" s="245"/>
      <c r="AD76" s="245"/>
      <c r="AE76" s="245"/>
      <c r="AF76" s="245"/>
      <c r="AG76" s="245"/>
      <c r="AH76" s="245"/>
      <c r="AI76" s="245"/>
      <c r="AJ76" s="245"/>
      <c r="AK76" s="245"/>
      <c r="AL76" s="245"/>
      <c r="AM76" s="245"/>
    </row>
    <row r="77" spans="1:39" x14ac:dyDescent="0.2">
      <c r="A77" s="503">
        <f t="shared" si="2"/>
        <v>58</v>
      </c>
      <c r="B77" s="262" t="str">
        <f>CONCATENATE('3. Consumption by Rate Class'!B82,"-",'3. Consumption by Rate Class'!C82)</f>
        <v>2009-October</v>
      </c>
      <c r="C77" s="697">
        <v>15853362.029999999</v>
      </c>
      <c r="D77" s="703">
        <v>-22194.9</v>
      </c>
      <c r="E77" s="707"/>
      <c r="F77" s="703"/>
      <c r="G77" s="703"/>
      <c r="H77" s="704"/>
      <c r="I77" s="704"/>
      <c r="J77" s="263">
        <f t="shared" si="0"/>
        <v>15831167.129999999</v>
      </c>
      <c r="K77" s="725">
        <f>IF(K$18='5.Variables'!$B$16,+'5.Variables'!$L31,+IF(K$18='5.Variables'!$B$39,+'5.Variables'!$L54,+IF(K$18='5.Variables'!$B$62,+'5.Variables'!$L68,+IF(K$18='5.Variables'!$B$76,+'5.Variables'!$L82,+IF(K$18='5.Variables'!$B$90,+'5.Variables'!$L96,+IF(K$18='5.Variables'!$B$104,+'5.Variables'!$L110,0))))))</f>
        <v>355.5</v>
      </c>
      <c r="L77" s="725">
        <f>IF(L$18='5.Variables'!$B$16,+'5.Variables'!$L30,+IF(L$18='5.Variables'!$B$39,+'5.Variables'!$L54,+IF(L$18='5.Variables'!$B$62,+'5.Variables'!$L68,+IF(L$18='5.Variables'!$B$76,+'5.Variables'!$L82,+IF(L$18='5.Variables'!$B$90,+'5.Variables'!$L96,+IF(L$18='5.Variables'!$B$104,+'5.Variables'!$L110,0))))))</f>
        <v>0</v>
      </c>
      <c r="M77" s="725">
        <f>IF(M$18='5.Variables'!$B$16,+'5.Variables'!$L30,+IF(M$18='5.Variables'!$B$39,+'5.Variables'!$L54,+IF(M$18='5.Variables'!$B$62,+'5.Variables'!$L68,+IF(M$18='5.Variables'!$B$76,+'5.Variables'!$L82,+IF(M$18='5.Variables'!$B$90,+'5.Variables'!$L96,+IF(M$18='5.Variables'!$B$104,+'5.Variables'!$L110,0))))))</f>
        <v>0</v>
      </c>
      <c r="N77" s="725">
        <f>IF(N$18='5.Variables'!$B$16,+'5.Variables'!$L30,+IF(N$18='5.Variables'!$B$39,+'5.Variables'!$L54,+IF(N$18='5.Variables'!$B$62,+'5.Variables'!$L68,+IF(N$18='5.Variables'!$B$76,+'5.Variables'!$L82,+IF(N$18='5.Variables'!$B$90,+'5.Variables'!$L96,+IF(N$18='5.Variables'!$B$104,+'5.Variables'!$L110,0))))))</f>
        <v>0</v>
      </c>
      <c r="O77" s="725">
        <f>IF(O$18='5.Variables'!$B$16,+'5.Variables'!$L30,+IF(O$18='5.Variables'!$B$39,+'5.Variables'!$L54,+IF(O$18='5.Variables'!$B$62,+'5.Variables'!$L68,+IF(O$18='5.Variables'!$B$76,+'5.Variables'!$L82,+IF(O$18='5.Variables'!$B$90,+'5.Variables'!$L96,+IF(O$18='5.Variables'!$B$104,+'5.Variables'!$L110,0))))))</f>
        <v>31</v>
      </c>
      <c r="P77" s="725">
        <f>IF(P$18='5.Variables'!$B$16,+'5.Variables'!$L30,+IF(P$18='5.Variables'!$B$39,+'5.Variables'!$L54,+IF(P$18='5.Variables'!$B$62,+'5.Variables'!$L68,+IF(P$18='5.Variables'!$B$76,+'5.Variables'!$L82,+IF(P$18='5.Variables'!$B$90,+'5.Variables'!$L96,+IF(P$18='5.Variables'!$B$104,+'5.Variables'!$L110,0))))))</f>
        <v>0</v>
      </c>
      <c r="Q77" s="245"/>
      <c r="R77" s="558">
        <f t="shared" si="1"/>
        <v>15614857.579269836</v>
      </c>
      <c r="S77" s="265"/>
      <c r="T77" s="245"/>
      <c r="U77" s="533">
        <v>2016</v>
      </c>
      <c r="V77" s="531">
        <f>S163</f>
        <v>199084954.49928209</v>
      </c>
      <c r="W77" s="532">
        <f>(V77-V76)/V76</f>
        <v>-2.1685706096714274E-3</v>
      </c>
      <c r="X77" s="245"/>
      <c r="Y77" s="245"/>
      <c r="Z77" s="245"/>
      <c r="AA77" s="245"/>
      <c r="AB77" s="245"/>
      <c r="AC77" s="245"/>
      <c r="AD77" s="245"/>
      <c r="AE77" s="245"/>
      <c r="AF77" s="245"/>
      <c r="AG77" s="245"/>
      <c r="AH77" s="245"/>
      <c r="AI77" s="245"/>
      <c r="AJ77" s="245"/>
      <c r="AK77" s="245"/>
      <c r="AL77" s="245"/>
      <c r="AM77" s="245"/>
    </row>
    <row r="78" spans="1:39" x14ac:dyDescent="0.2">
      <c r="A78" s="503">
        <f t="shared" si="2"/>
        <v>59</v>
      </c>
      <c r="B78" s="262" t="str">
        <f>CONCATENATE('3. Consumption by Rate Class'!B83,"-",'3. Consumption by Rate Class'!C83)</f>
        <v>2009-November</v>
      </c>
      <c r="C78" s="697">
        <v>16088470.039999999</v>
      </c>
      <c r="D78" s="703">
        <v>-12048.66</v>
      </c>
      <c r="E78" s="707"/>
      <c r="F78" s="703"/>
      <c r="G78" s="703"/>
      <c r="H78" s="704"/>
      <c r="I78" s="704"/>
      <c r="J78" s="263">
        <f t="shared" si="0"/>
        <v>16076421.379999999</v>
      </c>
      <c r="K78" s="725">
        <f>IF(K$18='5.Variables'!$B$16,+'5.Variables'!$M31,+IF(K$18='5.Variables'!$B$39,+'5.Variables'!$M54,+IF(K$18='5.Variables'!$B$62,+'5.Variables'!$M68,+IF(K$18='5.Variables'!$B$76,+'5.Variables'!$M82,+IF(K$18='5.Variables'!$B$90,+'5.Variables'!$M96,+IF(K$18='5.Variables'!$B$104,+'5.Variables'!$M110,0))))))</f>
        <v>417.4</v>
      </c>
      <c r="L78" s="725">
        <f>IF(L$18='5.Variables'!$B$16,+'5.Variables'!$M30,+IF(L$18='5.Variables'!$B$39,+'5.Variables'!$M54,+IF(L$18='5.Variables'!$B$62,+'5.Variables'!$M68,+IF(L$18='5.Variables'!$B$76,+'5.Variables'!$M82,+IF(L$18='5.Variables'!$B$90,+'5.Variables'!$M96,+IF(L$18='5.Variables'!$B$104,+'5.Variables'!$M110,0))))))</f>
        <v>0</v>
      </c>
      <c r="M78" s="725">
        <f>IF(M$18='5.Variables'!$B$16,+'5.Variables'!$M30,+IF(M$18='5.Variables'!$B$39,+'5.Variables'!$M54,+IF(M$18='5.Variables'!$B$62,+'5.Variables'!$M68,+IF(M$18='5.Variables'!$B$76,+'5.Variables'!$M82,+IF(M$18='5.Variables'!$B$90,+'5.Variables'!$M96,+IF(M$18='5.Variables'!$B$104,+'5.Variables'!$M110,0))))))</f>
        <v>0</v>
      </c>
      <c r="N78" s="725">
        <f>IF(N$18='5.Variables'!$B$16,+'5.Variables'!$M30,+IF(N$18='5.Variables'!$B$39,+'5.Variables'!$M54,+IF(N$18='5.Variables'!$B$62,+'5.Variables'!$M68,+IF(N$18='5.Variables'!$B$76,+'5.Variables'!$M82,+IF(N$18='5.Variables'!$B$90,+'5.Variables'!$M96,+IF(N$18='5.Variables'!$B$104,+'5.Variables'!$M110,0))))))</f>
        <v>0</v>
      </c>
      <c r="O78" s="725">
        <f>IF(O$18='5.Variables'!$B$16,+'5.Variables'!$M30,+IF(O$18='5.Variables'!$B$39,+'5.Variables'!$M54,+IF(O$18='5.Variables'!$B$62,+'5.Variables'!$M68,+IF(O$18='5.Variables'!$B$76,+'5.Variables'!$M82,+IF(O$18='5.Variables'!$B$90,+'5.Variables'!$M96,+IF(O$18='5.Variables'!$B$104,+'5.Variables'!$M110,0))))))</f>
        <v>30</v>
      </c>
      <c r="P78" s="725">
        <f>IF(P$18='5.Variables'!$B$16,+'5.Variables'!$M30,+IF(P$18='5.Variables'!$B$39,+'5.Variables'!$M54,+IF(P$18='5.Variables'!$B$62,+'5.Variables'!$M68,+IF(P$18='5.Variables'!$B$76,+'5.Variables'!$M82,+IF(P$18='5.Variables'!$B$90,+'5.Variables'!$M96,+IF(P$18='5.Variables'!$B$104,+'5.Variables'!$M110,0))))))</f>
        <v>0</v>
      </c>
      <c r="Q78" s="245"/>
      <c r="R78" s="558">
        <f t="shared" si="1"/>
        <v>16056859.829773095</v>
      </c>
      <c r="S78" s="265"/>
      <c r="T78" s="245"/>
      <c r="U78" s="245"/>
      <c r="V78" s="245"/>
      <c r="W78" s="245"/>
      <c r="X78" s="245"/>
      <c r="Y78" s="245"/>
      <c r="Z78" s="245"/>
      <c r="AA78" s="245"/>
      <c r="AB78" s="245"/>
      <c r="AC78" s="245"/>
      <c r="AD78" s="245"/>
      <c r="AE78" s="245"/>
      <c r="AF78" s="245"/>
      <c r="AG78" s="245"/>
      <c r="AH78" s="245"/>
      <c r="AI78" s="245"/>
      <c r="AJ78" s="245"/>
      <c r="AK78" s="245"/>
      <c r="AL78" s="245"/>
      <c r="AM78" s="245"/>
    </row>
    <row r="79" spans="1:39" x14ac:dyDescent="0.2">
      <c r="A79" s="503">
        <f t="shared" si="2"/>
        <v>60</v>
      </c>
      <c r="B79" s="522" t="str">
        <f>CONCATENATE('3. Consumption by Rate Class'!B84,"-",'3. Consumption by Rate Class'!C84)</f>
        <v>2009-December</v>
      </c>
      <c r="C79" s="698">
        <v>19679147.079999998</v>
      </c>
      <c r="D79" s="705">
        <v>-12048.66</v>
      </c>
      <c r="E79" s="705"/>
      <c r="F79" s="705"/>
      <c r="G79" s="705"/>
      <c r="H79" s="706"/>
      <c r="I79" s="706"/>
      <c r="J79" s="263">
        <f t="shared" si="0"/>
        <v>19667098.419999998</v>
      </c>
      <c r="K79" s="725">
        <f>IF(K$18='5.Variables'!$B$16,+'5.Variables'!$N31,+IF(K$18='5.Variables'!$B$39,+'5.Variables'!$N54,+IF(K$18='5.Variables'!$B$62,+'5.Variables'!$N68,+IF(K$18='5.Variables'!$B$76,+'5.Variables'!$N82,+IF(K$18='5.Variables'!$B$90,+'5.Variables'!$N96,+IF(K$18='5.Variables'!$B$104,+'5.Variables'!$N110,0))))))</f>
        <v>759.4</v>
      </c>
      <c r="L79" s="725">
        <f>IF(L$18='5.Variables'!$B$16,+'5.Variables'!$N30,+IF(L$18='5.Variables'!$B$39,+'5.Variables'!$N54,+IF(L$18='5.Variables'!$B$62,+'5.Variables'!$N68,+IF(L$18='5.Variables'!$B$76,+'5.Variables'!$N82,+IF(L$18='5.Variables'!$B$90,+'5.Variables'!$N96,+IF(L$18='5.Variables'!$B$104,+'5.Variables'!$N110,0))))))</f>
        <v>0</v>
      </c>
      <c r="M79" s="725">
        <f>IF(M$18='5.Variables'!$B$16,+'5.Variables'!$N30,+IF(M$18='5.Variables'!$B$39,+'5.Variables'!$N54,+IF(M$18='5.Variables'!$B$62,+'5.Variables'!$N68,+IF(M$18='5.Variables'!$B$76,+'5.Variables'!$N82,+IF(M$18='5.Variables'!$B$90,+'5.Variables'!$N96,+IF(M$18='5.Variables'!$B$104,+'5.Variables'!$N110,0))))))</f>
        <v>1</v>
      </c>
      <c r="N79" s="725">
        <f>IF(N$18='5.Variables'!$B$16,+'5.Variables'!$N30,+IF(N$18='5.Variables'!$B$39,+'5.Variables'!$N54,+IF(N$18='5.Variables'!$B$62,+'5.Variables'!$N68,+IF(N$18='5.Variables'!$B$76,+'5.Variables'!$N82,+IF(N$18='5.Variables'!$B$90,+'5.Variables'!$N96,+IF(N$18='5.Variables'!$B$104,+'5.Variables'!$N110,0))))))</f>
        <v>1</v>
      </c>
      <c r="O79" s="725">
        <f>IF(O$18='5.Variables'!$B$16,+'5.Variables'!$N30,+IF(O$18='5.Variables'!$B$39,+'5.Variables'!$N54,+IF(O$18='5.Variables'!$B$62,+'5.Variables'!$N68,+IF(O$18='5.Variables'!$B$76,+'5.Variables'!$N82,+IF(O$18='5.Variables'!$B$90,+'5.Variables'!$N96,+IF(O$18='5.Variables'!$B$104,+'5.Variables'!$N110,0))))))</f>
        <v>31</v>
      </c>
      <c r="P79" s="725">
        <f>IF(P$18='5.Variables'!$B$16,+'5.Variables'!$N30,+IF(P$18='5.Variables'!$B$39,+'5.Variables'!$N54,+IF(P$18='5.Variables'!$B$62,+'5.Variables'!$N68,+IF(P$18='5.Variables'!$B$76,+'5.Variables'!$N82,+IF(P$18='5.Variables'!$B$90,+'5.Variables'!$N96,+IF(P$18='5.Variables'!$B$104,+'5.Variables'!$N110,0))))))</f>
        <v>0</v>
      </c>
      <c r="Q79" s="245"/>
      <c r="R79" s="558">
        <f t="shared" si="1"/>
        <v>19973888.337481637</v>
      </c>
      <c r="S79" s="265">
        <f>SUM(R68:R79)</f>
        <v>198683586.06453371</v>
      </c>
      <c r="T79" s="245"/>
      <c r="U79" s="274"/>
      <c r="V79" s="245"/>
      <c r="W79" s="245"/>
      <c r="X79" s="245"/>
      <c r="Y79" s="245"/>
      <c r="Z79" s="245"/>
      <c r="AA79" s="245"/>
      <c r="AB79" s="245"/>
      <c r="AC79" s="245"/>
      <c r="AD79" s="245"/>
      <c r="AE79" s="245"/>
      <c r="AF79" s="245"/>
      <c r="AG79" s="245"/>
      <c r="AH79" s="245"/>
      <c r="AI79" s="245"/>
      <c r="AJ79" s="245"/>
      <c r="AK79" s="245"/>
      <c r="AL79" s="245"/>
      <c r="AM79" s="245"/>
    </row>
    <row r="80" spans="1:39" x14ac:dyDescent="0.2">
      <c r="A80" s="503">
        <f t="shared" si="2"/>
        <v>61</v>
      </c>
      <c r="B80" s="262" t="str">
        <f>CONCATENATE('3. Consumption by Rate Class'!B85,"-",'3. Consumption by Rate Class'!C85)</f>
        <v>2010-January</v>
      </c>
      <c r="C80" s="697">
        <v>21755879.16</v>
      </c>
      <c r="D80" s="703">
        <v>-11414.52</v>
      </c>
      <c r="E80" s="707"/>
      <c r="F80" s="703"/>
      <c r="G80" s="703"/>
      <c r="H80" s="704"/>
      <c r="I80" s="704"/>
      <c r="J80" s="263">
        <f t="shared" si="0"/>
        <v>21744464.640000001</v>
      </c>
      <c r="K80" s="725">
        <f>IF(K$18='5.Variables'!$B$16,+'5.Variables'!$C32,+IF(K$18='5.Variables'!$B$39,+'5.Variables'!$C55,+IF(K$18='5.Variables'!$B$62,+'5.Variables'!$C69,+IF(K$18='5.Variables'!$B$76,+'5.Variables'!$C83,+IF(K$18='5.Variables'!$B$90,+'5.Variables'!$C97,+IF(K$18='5.Variables'!$B$104,+'5.Variables'!$C111,0))))))</f>
        <v>789.2</v>
      </c>
      <c r="L80" s="725">
        <f>IF(L$18='5.Variables'!$B$16,+'5.Variables'!$C31,+IF(L$18='5.Variables'!$B$39,+'5.Variables'!$C55,+IF(L$18='5.Variables'!$B$62,+'5.Variables'!$C69,+IF(L$18='5.Variables'!$B$76,+'5.Variables'!$C83,+IF(L$18='5.Variables'!$B$90,+'5.Variables'!$C97,+IF(L$18='5.Variables'!$B$104,+'5.Variables'!$C111,0))))))</f>
        <v>0</v>
      </c>
      <c r="M80" s="725">
        <f>IF(M$18='5.Variables'!$B$16,+'5.Variables'!$C31,+IF(M$18='5.Variables'!$B$39,+'5.Variables'!$C55,+IF(M$18='5.Variables'!$B$62,+'5.Variables'!$C69,+IF(M$18='5.Variables'!$B$76,+'5.Variables'!$C83,+IF(M$18='5.Variables'!$B$90,+'5.Variables'!$C97,+IF(M$18='5.Variables'!$B$104,+'5.Variables'!$C111,0))))))</f>
        <v>1</v>
      </c>
      <c r="N80" s="725">
        <f>IF(N$18='5.Variables'!$B$16,+'5.Variables'!$C31,+IF(N$18='5.Variables'!$B$39,+'5.Variables'!$C55,+IF(N$18='5.Variables'!$B$62,+'5.Variables'!$C69,+IF(N$18='5.Variables'!$B$76,+'5.Variables'!$C83,+IF(N$18='5.Variables'!$B$90,+'5.Variables'!$C97,+IF(N$18='5.Variables'!$B$104,+'5.Variables'!$C111,0))))))</f>
        <v>1</v>
      </c>
      <c r="O80" s="725">
        <f>IF(O$18='5.Variables'!$B$16,+'5.Variables'!$C31,+IF(O$18='5.Variables'!$B$39,+'5.Variables'!$C55,+IF(O$18='5.Variables'!$B$62,+'5.Variables'!$C69,+IF(O$18='5.Variables'!$B$76,+'5.Variables'!$C83,+IF(O$18='5.Variables'!$B$90,+'5.Variables'!$C97,+IF(O$18='5.Variables'!$B$104,+'5.Variables'!$C111,0))))))</f>
        <v>31</v>
      </c>
      <c r="P80" s="725">
        <f>IF(P$18='5.Variables'!$B$16,+'5.Variables'!$C31,+IF(P$18='5.Variables'!$B$39,+'5.Variables'!$C55,+IF(P$18='5.Variables'!$B$62,+'5.Variables'!$C69,+IF(P$18='5.Variables'!$B$76,+'5.Variables'!$C83,+IF(P$18='5.Variables'!$B$90,+'5.Variables'!$C97,+IF(P$18='5.Variables'!$B$104,+'5.Variables'!$C111,0))))))</f>
        <v>0</v>
      </c>
      <c r="Q80" s="245"/>
      <c r="R80" s="558">
        <f t="shared" si="1"/>
        <v>20186677.789258651</v>
      </c>
      <c r="S80" s="265"/>
      <c r="T80" s="245"/>
      <c r="U80" s="274"/>
      <c r="V80" s="245"/>
      <c r="W80" s="245"/>
      <c r="X80" s="245"/>
      <c r="Y80" s="245"/>
      <c r="Z80" s="245"/>
      <c r="AA80" s="245"/>
      <c r="AB80" s="245"/>
      <c r="AC80" s="245"/>
      <c r="AD80" s="245"/>
      <c r="AE80" s="245"/>
      <c r="AF80" s="245"/>
      <c r="AG80" s="245"/>
      <c r="AH80" s="245"/>
      <c r="AI80" s="245"/>
      <c r="AJ80" s="245"/>
      <c r="AK80" s="245"/>
      <c r="AL80" s="245"/>
      <c r="AM80" s="245"/>
    </row>
    <row r="81" spans="1:39" x14ac:dyDescent="0.2">
      <c r="A81" s="503">
        <f t="shared" si="2"/>
        <v>62</v>
      </c>
      <c r="B81" s="262" t="str">
        <f>CONCATENATE('3. Consumption by Rate Class'!B86,"-",'3. Consumption by Rate Class'!C86)</f>
        <v>2010-February</v>
      </c>
      <c r="C81" s="697">
        <v>17815005</v>
      </c>
      <c r="D81" s="703">
        <v>-9512.1</v>
      </c>
      <c r="E81" s="707"/>
      <c r="F81" s="703"/>
      <c r="G81" s="703"/>
      <c r="H81" s="704"/>
      <c r="I81" s="704"/>
      <c r="J81" s="263">
        <f t="shared" si="0"/>
        <v>17805492.899999999</v>
      </c>
      <c r="K81" s="725">
        <f>IF(K$18='5.Variables'!$B$16,+'5.Variables'!$D32,+IF(K$18='5.Variables'!$B$39,+'5.Variables'!$D55,+IF(K$18='5.Variables'!$B$62,+'5.Variables'!$D69,+IF(K$18='5.Variables'!$B$76,+'5.Variables'!$D83,+IF(K$18='5.Variables'!$B$90,+'5.Variables'!$D97,+IF(K$18='5.Variables'!$B$104,+'5.Variables'!$D111,0))))))</f>
        <v>655.8</v>
      </c>
      <c r="L81" s="725">
        <f>IF(L$18='5.Variables'!$B$16,+'5.Variables'!$D31,+IF(L$18='5.Variables'!$B$39,+'5.Variables'!$D55,+IF(L$18='5.Variables'!$B$62,+'5.Variables'!$D69,+IF(L$18='5.Variables'!$B$76,+'5.Variables'!$D83,+IF(L$18='5.Variables'!$B$90,+'5.Variables'!$D97,+IF(L$18='5.Variables'!$B$104,+'5.Variables'!$D111,0))))))</f>
        <v>0</v>
      </c>
      <c r="M81" s="725">
        <f>IF(M$18='5.Variables'!$B$16,+'5.Variables'!$D31,+IF(M$18='5.Variables'!$B$39,+'5.Variables'!$D55,+IF(M$18='5.Variables'!$B$62,+'5.Variables'!$D69,+IF(M$18='5.Variables'!$B$76,+'5.Variables'!$D83,+IF(M$18='5.Variables'!$B$90,+'5.Variables'!$D97,+IF(M$18='5.Variables'!$B$104,+'5.Variables'!$D111,0))))))</f>
        <v>1</v>
      </c>
      <c r="N81" s="725">
        <f>IF(N$18='5.Variables'!$B$16,+'5.Variables'!$D31,+IF(N$18='5.Variables'!$B$39,+'5.Variables'!$D55,+IF(N$18='5.Variables'!$B$62,+'5.Variables'!$D69,+IF(N$18='5.Variables'!$B$76,+'5.Variables'!$D83,+IF(N$18='5.Variables'!$B$90,+'5.Variables'!$D97,+IF(N$18='5.Variables'!$B$104,+'5.Variables'!$D111,0))))))</f>
        <v>0</v>
      </c>
      <c r="O81" s="725">
        <f>IF(O$18='5.Variables'!$B$16,+'5.Variables'!$D31,+IF(O$18='5.Variables'!$B$39,+'5.Variables'!$D55,+IF(O$18='5.Variables'!$B$62,+'5.Variables'!$D69,+IF(O$18='5.Variables'!$B$76,+'5.Variables'!$D83,+IF(O$18='5.Variables'!$B$90,+'5.Variables'!$D97,+IF(O$18='5.Variables'!$B$104,+'5.Variables'!$D111,0))))))</f>
        <v>28</v>
      </c>
      <c r="P81" s="725">
        <f>IF(P$18='5.Variables'!$B$16,+'5.Variables'!$D31,+IF(P$18='5.Variables'!$B$39,+'5.Variables'!$D55,+IF(P$18='5.Variables'!$B$62,+'5.Variables'!$D69,+IF(P$18='5.Variables'!$B$76,+'5.Variables'!$D83,+IF(P$18='5.Variables'!$B$90,+'5.Variables'!$D97,+IF(P$18='5.Variables'!$B$104,+'5.Variables'!$D111,0))))))</f>
        <v>0</v>
      </c>
      <c r="Q81" s="245"/>
      <c r="R81" s="558">
        <f t="shared" si="1"/>
        <v>19234123.66620316</v>
      </c>
      <c r="S81" s="265"/>
      <c r="T81" s="245"/>
      <c r="U81" s="274"/>
      <c r="V81" s="245"/>
      <c r="W81" s="245"/>
      <c r="X81" s="245"/>
      <c r="Y81" s="245"/>
      <c r="Z81" s="245"/>
      <c r="AA81" s="245"/>
      <c r="AB81" s="245"/>
      <c r="AC81" s="245"/>
      <c r="AD81" s="245"/>
      <c r="AE81" s="245"/>
      <c r="AF81" s="245"/>
      <c r="AG81" s="245"/>
      <c r="AH81" s="245"/>
      <c r="AI81" s="245"/>
      <c r="AJ81" s="245"/>
      <c r="AK81" s="245"/>
      <c r="AL81" s="245"/>
      <c r="AM81" s="245"/>
    </row>
    <row r="82" spans="1:39" x14ac:dyDescent="0.2">
      <c r="A82" s="503">
        <f t="shared" si="2"/>
        <v>63</v>
      </c>
      <c r="B82" s="262" t="str">
        <f>CONCATENATE('3. Consumption by Rate Class'!B87,"-",'3. Consumption by Rate Class'!C87)</f>
        <v>2010-March</v>
      </c>
      <c r="C82" s="697">
        <v>15902024.119999999</v>
      </c>
      <c r="D82" s="703"/>
      <c r="E82" s="707"/>
      <c r="F82" s="703"/>
      <c r="G82" s="703"/>
      <c r="H82" s="704"/>
      <c r="I82" s="704"/>
      <c r="J82" s="263">
        <f t="shared" si="0"/>
        <v>15902024.119999999</v>
      </c>
      <c r="K82" s="725">
        <f>IF(K$18='5.Variables'!$B$16,+'5.Variables'!$E32,+IF(K$18='5.Variables'!$B$39,+'5.Variables'!$E55,+IF(K$18='5.Variables'!$B$62,+'5.Variables'!$E69,+IF(K$18='5.Variables'!$B$76,+'5.Variables'!$E83,+IF(K$18='5.Variables'!$B$90,+'5.Variables'!$E97,+IF(K$18='5.Variables'!$B$104,+'5.Variables'!$E111,0))))))</f>
        <v>460.7</v>
      </c>
      <c r="L82" s="725">
        <f>IF(L$18='5.Variables'!$B$16,+'5.Variables'!$E31,+IF(L$18='5.Variables'!$B$39,+'5.Variables'!$E55,+IF(L$18='5.Variables'!$B$62,+'5.Variables'!$E69,+IF(L$18='5.Variables'!$B$76,+'5.Variables'!$E83,+IF(L$18='5.Variables'!$B$90,+'5.Variables'!$E97,+IF(L$18='5.Variables'!$B$104,+'5.Variables'!$E111,0))))))</f>
        <v>0</v>
      </c>
      <c r="M82" s="725">
        <f>IF(M$18='5.Variables'!$B$16,+'5.Variables'!$E31,+IF(M$18='5.Variables'!$B$39,+'5.Variables'!$E55,+IF(M$18='5.Variables'!$B$62,+'5.Variables'!$E69,+IF(M$18='5.Variables'!$B$76,+'5.Variables'!$E83,+IF(M$18='5.Variables'!$B$90,+'5.Variables'!$E97,+IF(M$18='5.Variables'!$B$104,+'5.Variables'!$E111,0))))))</f>
        <v>0</v>
      </c>
      <c r="N82" s="725">
        <f>IF(N$18='5.Variables'!$B$16,+'5.Variables'!$E31,+IF(N$18='5.Variables'!$B$39,+'5.Variables'!$E55,+IF(N$18='5.Variables'!$B$62,+'5.Variables'!$E69,+IF(N$18='5.Variables'!$B$76,+'5.Variables'!$E83,+IF(N$18='5.Variables'!$B$90,+'5.Variables'!$E97,+IF(N$18='5.Variables'!$B$104,+'5.Variables'!$E111,0))))))</f>
        <v>1</v>
      </c>
      <c r="O82" s="725">
        <f>IF(O$18='5.Variables'!$B$16,+'5.Variables'!$E31,+IF(O$18='5.Variables'!$B$39,+'5.Variables'!$E55,+IF(O$18='5.Variables'!$B$62,+'5.Variables'!$E69,+IF(O$18='5.Variables'!$B$76,+'5.Variables'!$E83,+IF(O$18='5.Variables'!$B$90,+'5.Variables'!$E97,+IF(O$18='5.Variables'!$B$104,+'5.Variables'!$E111,0))))))</f>
        <v>31</v>
      </c>
      <c r="P82" s="725">
        <f>IF(P$18='5.Variables'!$B$16,+'5.Variables'!$E31,+IF(P$18='5.Variables'!$B$39,+'5.Variables'!$E55,+IF(P$18='5.Variables'!$B$62,+'5.Variables'!$E69,+IF(P$18='5.Variables'!$B$76,+'5.Variables'!$E83,+IF(P$18='5.Variables'!$B$90,+'5.Variables'!$E97,+IF(P$18='5.Variables'!$B$104,+'5.Variables'!$E111,0))))))</f>
        <v>0</v>
      </c>
      <c r="Q82" s="245"/>
      <c r="R82" s="558">
        <f t="shared" si="1"/>
        <v>16366047.187556475</v>
      </c>
      <c r="S82" s="265"/>
      <c r="T82" s="245"/>
      <c r="U82" s="274"/>
      <c r="V82" s="245"/>
      <c r="W82" s="245"/>
      <c r="X82" s="245"/>
      <c r="Y82" s="245"/>
      <c r="Z82" s="245"/>
      <c r="AA82" s="245"/>
      <c r="AB82" s="245"/>
      <c r="AC82" s="245"/>
      <c r="AD82" s="245"/>
      <c r="AE82" s="245"/>
      <c r="AF82" s="245"/>
      <c r="AG82" s="245"/>
      <c r="AH82" s="245"/>
      <c r="AI82" s="245"/>
      <c r="AJ82" s="245"/>
      <c r="AK82" s="245"/>
      <c r="AL82" s="245"/>
      <c r="AM82" s="245"/>
    </row>
    <row r="83" spans="1:39" x14ac:dyDescent="0.2">
      <c r="A83" s="503">
        <f t="shared" si="2"/>
        <v>64</v>
      </c>
      <c r="B83" s="262" t="str">
        <f>CONCATENATE('3. Consumption by Rate Class'!B88,"-",'3. Consumption by Rate Class'!C88)</f>
        <v>2010-April</v>
      </c>
      <c r="C83" s="697">
        <v>14463639.93</v>
      </c>
      <c r="D83" s="703"/>
      <c r="E83" s="707"/>
      <c r="F83" s="703"/>
      <c r="G83" s="703"/>
      <c r="H83" s="704"/>
      <c r="I83" s="704"/>
      <c r="J83" s="263">
        <f t="shared" si="0"/>
        <v>14463639.93</v>
      </c>
      <c r="K83" s="725">
        <f>IF(K$18='5.Variables'!$B$16,+'5.Variables'!$F32,+IF(K$18='5.Variables'!$B$39,+'5.Variables'!$F55,+IF(K$18='5.Variables'!$B$62,+'5.Variables'!$F69,+IF(K$18='5.Variables'!$B$76,+'5.Variables'!$F83,+IF(K$18='5.Variables'!$B$90,+'5.Variables'!$F97,+IF(K$18='5.Variables'!$B$104,+'5.Variables'!$F111,0))))))</f>
        <v>258.10000000000002</v>
      </c>
      <c r="L83" s="725">
        <f>IF(L$18='5.Variables'!$B$16,+'5.Variables'!$F31,+IF(L$18='5.Variables'!$B$39,+'5.Variables'!$F55,+IF(L$18='5.Variables'!$B$62,+'5.Variables'!$F69,+IF(L$18='5.Variables'!$B$76,+'5.Variables'!$F83,+IF(L$18='5.Variables'!$B$90,+'5.Variables'!$F97,+IF(L$18='5.Variables'!$B$104,+'5.Variables'!$F111,0))))))</f>
        <v>1.6</v>
      </c>
      <c r="M83" s="725">
        <f>IF(M$18='5.Variables'!$B$16,+'5.Variables'!$F31,+IF(M$18='5.Variables'!$B$39,+'5.Variables'!$F55,+IF(M$18='5.Variables'!$B$62,+'5.Variables'!$F69,+IF(M$18='5.Variables'!$B$76,+'5.Variables'!$F83,+IF(M$18='5.Variables'!$B$90,+'5.Variables'!$F97,+IF(M$18='5.Variables'!$B$104,+'5.Variables'!$F111,0))))))</f>
        <v>0</v>
      </c>
      <c r="N83" s="725">
        <f>IF(N$18='5.Variables'!$B$16,+'5.Variables'!$F31,+IF(N$18='5.Variables'!$B$39,+'5.Variables'!$F55,+IF(N$18='5.Variables'!$B$62,+'5.Variables'!$F69,+IF(N$18='5.Variables'!$B$76,+'5.Variables'!$F83,+IF(N$18='5.Variables'!$B$90,+'5.Variables'!$F97,+IF(N$18='5.Variables'!$B$104,+'5.Variables'!$F111,0))))))</f>
        <v>0</v>
      </c>
      <c r="O83" s="725">
        <f>IF(O$18='5.Variables'!$B$16,+'5.Variables'!$F31,+IF(O$18='5.Variables'!$B$39,+'5.Variables'!$F55,+IF(O$18='5.Variables'!$B$62,+'5.Variables'!$F69,+IF(O$18='5.Variables'!$B$76,+'5.Variables'!$F83,+IF(O$18='5.Variables'!$B$90,+'5.Variables'!$F97,+IF(O$18='5.Variables'!$B$104,+'5.Variables'!$F111,0))))))</f>
        <v>30</v>
      </c>
      <c r="P83" s="725">
        <f>IF(P$18='5.Variables'!$B$16,+'5.Variables'!$F31,+IF(P$18='5.Variables'!$B$39,+'5.Variables'!$F55,+IF(P$18='5.Variables'!$B$62,+'5.Variables'!$F69,+IF(P$18='5.Variables'!$B$76,+'5.Variables'!$F83,+IF(P$18='5.Variables'!$B$90,+'5.Variables'!$F97,+IF(P$18='5.Variables'!$B$104,+'5.Variables'!$F111,0))))))</f>
        <v>0</v>
      </c>
      <c r="Q83" s="245"/>
      <c r="R83" s="558">
        <f t="shared" si="1"/>
        <v>14963392.266313611</v>
      </c>
      <c r="S83" s="265"/>
      <c r="T83" s="245"/>
      <c r="U83" s="245"/>
      <c r="V83" s="245"/>
      <c r="W83" s="245"/>
      <c r="X83" s="245"/>
      <c r="Y83" s="245"/>
      <c r="Z83" s="245"/>
      <c r="AA83" s="245"/>
      <c r="AB83" s="245"/>
      <c r="AC83" s="245"/>
      <c r="AD83" s="245"/>
      <c r="AE83" s="245"/>
      <c r="AF83" s="245"/>
      <c r="AG83" s="245"/>
      <c r="AH83" s="245"/>
      <c r="AI83" s="245"/>
      <c r="AJ83" s="245"/>
      <c r="AK83" s="245"/>
      <c r="AL83" s="245"/>
      <c r="AM83" s="245"/>
    </row>
    <row r="84" spans="1:39" x14ac:dyDescent="0.2">
      <c r="A84" s="503">
        <f t="shared" si="2"/>
        <v>65</v>
      </c>
      <c r="B84" s="262" t="str">
        <f>CONCATENATE('3. Consumption by Rate Class'!B89,"-",'3. Consumption by Rate Class'!C89)</f>
        <v>2010-May</v>
      </c>
      <c r="C84" s="697">
        <v>14660940.24</v>
      </c>
      <c r="D84" s="703"/>
      <c r="E84" s="707"/>
      <c r="F84" s="703"/>
      <c r="G84" s="703"/>
      <c r="H84" s="704"/>
      <c r="I84" s="704"/>
      <c r="J84" s="263">
        <f t="shared" si="0"/>
        <v>14660940.24</v>
      </c>
      <c r="K84" s="725">
        <f>IF(K$18='5.Variables'!$B$16,+'5.Variables'!$G32,+IF(K$18='5.Variables'!$B$39,+'5.Variables'!$G55,+IF(K$18='5.Variables'!$B$62,+'5.Variables'!$G69,+IF(K$18='5.Variables'!$B$76,+'5.Variables'!$G83,+IF(K$18='5.Variables'!$B$90,+'5.Variables'!$G97,+IF(K$18='5.Variables'!$B$104,+'5.Variables'!$G111,0))))))</f>
        <v>112.3</v>
      </c>
      <c r="L84" s="725">
        <f>IF(L$18='5.Variables'!$B$16,+'5.Variables'!$G31,+IF(L$18='5.Variables'!$B$39,+'5.Variables'!$G55,+IF(L$18='5.Variables'!$B$62,+'5.Variables'!$G69,+IF(L$18='5.Variables'!$B$76,+'5.Variables'!$G83,+IF(L$18='5.Variables'!$B$90,+'5.Variables'!$G97,+IF(L$18='5.Variables'!$B$104,+'5.Variables'!$G111,0))))))</f>
        <v>38.200000000000003</v>
      </c>
      <c r="M84" s="725">
        <f>IF(M$18='5.Variables'!$B$16,+'5.Variables'!$G31,+IF(M$18='5.Variables'!$B$39,+'5.Variables'!$G55,+IF(M$18='5.Variables'!$B$62,+'5.Variables'!$G69,+IF(M$18='5.Variables'!$B$76,+'5.Variables'!$G83,+IF(M$18='5.Variables'!$B$90,+'5.Variables'!$G97,+IF(M$18='5.Variables'!$B$104,+'5.Variables'!$G111,0))))))</f>
        <v>0</v>
      </c>
      <c r="N84" s="725">
        <f>IF(N$18='5.Variables'!$B$16,+'5.Variables'!$G31,+IF(N$18='5.Variables'!$B$39,+'5.Variables'!$G55,+IF(N$18='5.Variables'!$B$62,+'5.Variables'!$G69,+IF(N$18='5.Variables'!$B$76,+'5.Variables'!$G83,+IF(N$18='5.Variables'!$B$90,+'5.Variables'!$G97,+IF(N$18='5.Variables'!$B$104,+'5.Variables'!$G111,0))))))</f>
        <v>0</v>
      </c>
      <c r="O84" s="725">
        <f>IF(O$18='5.Variables'!$B$16,+'5.Variables'!$G31,+IF(O$18='5.Variables'!$B$39,+'5.Variables'!$G55,+IF(O$18='5.Variables'!$B$62,+'5.Variables'!$G69,+IF(O$18='5.Variables'!$B$76,+'5.Variables'!$G83,+IF(O$18='5.Variables'!$B$90,+'5.Variables'!$G97,+IF(O$18='5.Variables'!$B$104,+'5.Variables'!$G111,0))))))</f>
        <v>31</v>
      </c>
      <c r="P84" s="725">
        <f>IF(P$18='5.Variables'!$B$16,+'5.Variables'!$G31,+IF(P$18='5.Variables'!$B$39,+'5.Variables'!$G55,+IF(P$18='5.Variables'!$B$62,+'5.Variables'!$G69,+IF(P$18='5.Variables'!$B$76,+'5.Variables'!$G83,+IF(P$18='5.Variables'!$B$90,+'5.Variables'!$G97,+IF(P$18='5.Variables'!$B$104,+'5.Variables'!$G111,0))))))</f>
        <v>0</v>
      </c>
      <c r="Q84" s="245"/>
      <c r="R84" s="558">
        <f t="shared" si="1"/>
        <v>14929429.146077301</v>
      </c>
      <c r="S84" s="265"/>
      <c r="T84" s="245"/>
      <c r="U84" s="245"/>
      <c r="V84" s="245"/>
      <c r="W84" s="245"/>
      <c r="X84" s="245"/>
      <c r="Y84" s="245"/>
      <c r="Z84" s="245"/>
      <c r="AA84" s="245"/>
      <c r="AB84" s="245"/>
      <c r="AC84" s="245"/>
      <c r="AD84" s="245"/>
      <c r="AE84" s="245"/>
      <c r="AF84" s="245"/>
      <c r="AG84" s="245"/>
      <c r="AH84" s="245"/>
      <c r="AI84" s="245"/>
      <c r="AJ84" s="245"/>
      <c r="AK84" s="245"/>
      <c r="AL84" s="245"/>
      <c r="AM84" s="245"/>
    </row>
    <row r="85" spans="1:39" ht="13.5" customHeight="1" x14ac:dyDescent="0.2">
      <c r="A85" s="503">
        <f t="shared" si="2"/>
        <v>66</v>
      </c>
      <c r="B85" s="262" t="str">
        <f>CONCATENATE('3. Consumption by Rate Class'!B90,"-",'3. Consumption by Rate Class'!C90)</f>
        <v>2010-June</v>
      </c>
      <c r="C85" s="697">
        <v>14032949.92</v>
      </c>
      <c r="D85" s="703"/>
      <c r="E85" s="707"/>
      <c r="F85" s="703"/>
      <c r="G85" s="703"/>
      <c r="H85" s="704"/>
      <c r="I85" s="704"/>
      <c r="J85" s="263">
        <f t="shared" ref="J85:J139" si="8">SUM(C85:I85)</f>
        <v>14032949.92</v>
      </c>
      <c r="K85" s="725">
        <f>IF(K$18='5.Variables'!$B$16,+'5.Variables'!$H32,+IF(K$18='5.Variables'!$B$39,+'5.Variables'!$H55,+IF(K$18='5.Variables'!$B$62,+'5.Variables'!$H69,+IF(K$18='5.Variables'!$B$76,+'5.Variables'!$H83,+IF(K$18='5.Variables'!$B$90,+'5.Variables'!$H97,+IF(K$18='5.Variables'!$B$104,+'5.Variables'!$H111,0))))))</f>
        <v>37.6</v>
      </c>
      <c r="L85" s="725">
        <f>IF(L$18='5.Variables'!$B$16,+'5.Variables'!$H31,+IF(L$18='5.Variables'!$B$39,+'5.Variables'!$H55,+IF(L$18='5.Variables'!$B$62,+'5.Variables'!$H69,+IF(L$18='5.Variables'!$B$76,+'5.Variables'!$H83,+IF(L$18='5.Variables'!$B$90,+'5.Variables'!$H97,+IF(L$18='5.Variables'!$B$104,+'5.Variables'!$H111,0))))))</f>
        <v>33.4</v>
      </c>
      <c r="M85" s="725">
        <f>IF(M$18='5.Variables'!$B$16,+'5.Variables'!$H31,+IF(M$18='5.Variables'!$B$39,+'5.Variables'!$H55,+IF(M$18='5.Variables'!$B$62,+'5.Variables'!$H69,+IF(M$18='5.Variables'!$B$76,+'5.Variables'!$H83,+IF(M$18='5.Variables'!$B$90,+'5.Variables'!$H97,+IF(M$18='5.Variables'!$B$104,+'5.Variables'!$H111,0))))))</f>
        <v>0</v>
      </c>
      <c r="N85" s="725">
        <f>IF(N$18='5.Variables'!$B$16,+'5.Variables'!$H31,+IF(N$18='5.Variables'!$B$39,+'5.Variables'!$H55,+IF(N$18='5.Variables'!$B$62,+'5.Variables'!$H69,+IF(N$18='5.Variables'!$B$76,+'5.Variables'!$H83,+IF(N$18='5.Variables'!$B$90,+'5.Variables'!$H97,+IF(N$18='5.Variables'!$B$104,+'5.Variables'!$H111,0))))))</f>
        <v>0</v>
      </c>
      <c r="O85" s="725">
        <f>IF(O$18='5.Variables'!$B$16,+'5.Variables'!$H31,+IF(O$18='5.Variables'!$B$39,+'5.Variables'!$H55,+IF(O$18='5.Variables'!$B$62,+'5.Variables'!$H69,+IF(O$18='5.Variables'!$B$76,+'5.Variables'!$H83,+IF(O$18='5.Variables'!$B$90,+'5.Variables'!$H97,+IF(O$18='5.Variables'!$B$104,+'5.Variables'!$H111,0))))))</f>
        <v>30</v>
      </c>
      <c r="P85" s="725">
        <f>IF(P$18='5.Variables'!$B$16,+'5.Variables'!$H31,+IF(P$18='5.Variables'!$B$39,+'5.Variables'!$H55,+IF(P$18='5.Variables'!$B$62,+'5.Variables'!$H69,+IF(P$18='5.Variables'!$B$76,+'5.Variables'!$H83,+IF(P$18='5.Variables'!$B$90,+'5.Variables'!$H97,+IF(P$18='5.Variables'!$B$104,+'5.Variables'!$H111,0))))))</f>
        <v>0</v>
      </c>
      <c r="Q85" s="245"/>
      <c r="R85" s="558">
        <f t="shared" ref="R85:R148" si="9">$V$34+(K85*$V$35)+(L85*$V$36)+(M85*$V$37)+(N85*$V$38)+(O85*$V$39)</f>
        <v>14263944.217261869</v>
      </c>
      <c r="S85" s="265"/>
      <c r="T85" s="245"/>
      <c r="U85" s="245"/>
      <c r="V85" s="245"/>
      <c r="W85" s="245"/>
      <c r="X85" s="245"/>
      <c r="Y85" s="245"/>
      <c r="Z85" s="245"/>
      <c r="AA85" s="245"/>
      <c r="AB85" s="245"/>
      <c r="AC85" s="245"/>
      <c r="AD85" s="245"/>
      <c r="AE85" s="245"/>
      <c r="AF85" s="245"/>
      <c r="AG85" s="245"/>
      <c r="AH85" s="245"/>
      <c r="AI85" s="245"/>
      <c r="AJ85" s="245"/>
      <c r="AK85" s="245"/>
      <c r="AL85" s="245"/>
      <c r="AM85" s="245"/>
    </row>
    <row r="86" spans="1:39" x14ac:dyDescent="0.2">
      <c r="A86" s="503">
        <f t="shared" ref="A86:A149" si="10">+A85+1</f>
        <v>67</v>
      </c>
      <c r="B86" s="262" t="str">
        <f>CONCATENATE('3. Consumption by Rate Class'!B91,"-",'3. Consumption by Rate Class'!C91)</f>
        <v>2010-July</v>
      </c>
      <c r="C86" s="697">
        <v>17609345.43</v>
      </c>
      <c r="D86" s="703"/>
      <c r="E86" s="707"/>
      <c r="F86" s="703"/>
      <c r="G86" s="703"/>
      <c r="H86" s="704"/>
      <c r="I86" s="704"/>
      <c r="J86" s="263">
        <f t="shared" si="8"/>
        <v>17609345.43</v>
      </c>
      <c r="K86" s="725">
        <f>IF(K$18='5.Variables'!$B$16,+'5.Variables'!$I32,+IF(K$18='5.Variables'!$B$39,+'5.Variables'!$I55,+IF(K$18='5.Variables'!$B$62,+'5.Variables'!$I69,+IF(K$18='5.Variables'!$B$76,+'5.Variables'!$I83,+IF(K$18='5.Variables'!$B$90,+'5.Variables'!$I97,+IF(K$18='5.Variables'!$B$104,+'5.Variables'!$I111,0))))))</f>
        <v>4.5</v>
      </c>
      <c r="L86" s="725">
        <f>IF(L$18='5.Variables'!$B$16,+'5.Variables'!$I31,+IF(L$18='5.Variables'!$B$39,+'5.Variables'!$I55,+IF(L$18='5.Variables'!$B$62,+'5.Variables'!$I69,+IF(L$18='5.Variables'!$B$76,+'5.Variables'!$I83,+IF(L$18='5.Variables'!$B$90,+'5.Variables'!$I97,+IF(L$18='5.Variables'!$B$104,+'5.Variables'!$I111,0))))))</f>
        <v>150.80000000000001</v>
      </c>
      <c r="M86" s="725">
        <f>IF(M$18='5.Variables'!$B$16,+'5.Variables'!$I31,+IF(M$18='5.Variables'!$B$39,+'5.Variables'!$I55,+IF(M$18='5.Variables'!$B$62,+'5.Variables'!$I69,+IF(M$18='5.Variables'!$B$76,+'5.Variables'!$I83,+IF(M$18='5.Variables'!$B$90,+'5.Variables'!$I97,+IF(M$18='5.Variables'!$B$104,+'5.Variables'!$I111,0))))))</f>
        <v>0</v>
      </c>
      <c r="N86" s="725">
        <f>IF(N$18='5.Variables'!$B$16,+'5.Variables'!$I31,+IF(N$18='5.Variables'!$B$39,+'5.Variables'!$I55,+IF(N$18='5.Variables'!$B$62,+'5.Variables'!$I69,+IF(N$18='5.Variables'!$B$76,+'5.Variables'!$I83,+IF(N$18='5.Variables'!$B$90,+'5.Variables'!$I97,+IF(N$18='5.Variables'!$B$104,+'5.Variables'!$I111,0))))))</f>
        <v>1</v>
      </c>
      <c r="O86" s="725">
        <f>IF(O$18='5.Variables'!$B$16,+'5.Variables'!$I31,+IF(O$18='5.Variables'!$B$39,+'5.Variables'!$I55,+IF(O$18='5.Variables'!$B$62,+'5.Variables'!$I69,+IF(O$18='5.Variables'!$B$76,+'5.Variables'!$I83,+IF(O$18='5.Variables'!$B$90,+'5.Variables'!$I97,+IF(O$18='5.Variables'!$B$104,+'5.Variables'!$I111,0))))))</f>
        <v>31</v>
      </c>
      <c r="P86" s="725">
        <f>IF(P$18='5.Variables'!$B$16,+'5.Variables'!$I31,+IF(P$18='5.Variables'!$B$39,+'5.Variables'!$I55,+IF(P$18='5.Variables'!$B$62,+'5.Variables'!$I69,+IF(P$18='5.Variables'!$B$76,+'5.Variables'!$I83,+IF(P$18='5.Variables'!$B$90,+'5.Variables'!$I97,+IF(P$18='5.Variables'!$B$104,+'5.Variables'!$I111,0))))))</f>
        <v>0</v>
      </c>
      <c r="Q86" s="245"/>
      <c r="R86" s="558">
        <f t="shared" si="9"/>
        <v>17258125.332027052</v>
      </c>
      <c r="S86" s="265"/>
      <c r="T86" s="245"/>
      <c r="U86" s="245"/>
      <c r="V86" s="245"/>
      <c r="W86" s="245"/>
      <c r="X86" s="245"/>
      <c r="Y86" s="245"/>
      <c r="Z86" s="245"/>
      <c r="AA86" s="245"/>
      <c r="AB86" s="245"/>
      <c r="AC86" s="245"/>
      <c r="AD86" s="245"/>
      <c r="AE86" s="245"/>
      <c r="AF86" s="245"/>
      <c r="AG86" s="245"/>
      <c r="AH86" s="245"/>
      <c r="AI86" s="245"/>
      <c r="AJ86" s="245"/>
      <c r="AK86" s="245"/>
      <c r="AL86" s="245"/>
      <c r="AM86" s="245"/>
    </row>
    <row r="87" spans="1:39" x14ac:dyDescent="0.2">
      <c r="A87" s="503">
        <f t="shared" si="10"/>
        <v>68</v>
      </c>
      <c r="B87" s="262" t="str">
        <f>CONCATENATE('3. Consumption by Rate Class'!B92,"-",'3. Consumption by Rate Class'!C92)</f>
        <v>2010-August</v>
      </c>
      <c r="C87" s="697">
        <v>14962494.51</v>
      </c>
      <c r="D87" s="703"/>
      <c r="E87" s="707"/>
      <c r="F87" s="703"/>
      <c r="G87" s="703"/>
      <c r="H87" s="704"/>
      <c r="I87" s="704"/>
      <c r="J87" s="263">
        <f t="shared" si="8"/>
        <v>14962494.51</v>
      </c>
      <c r="K87" s="725">
        <f>IF(K$18='5.Variables'!$B$16,+'5.Variables'!$J32,+IF(K$18='5.Variables'!$B$39,+'5.Variables'!$J55,+IF(K$18='5.Variables'!$B$62,+'5.Variables'!$J69,+IF(K$18='5.Variables'!$B$76,+'5.Variables'!$J83,+IF(K$18='5.Variables'!$B$90,+'5.Variables'!$J97,+IF(K$18='5.Variables'!$B$104,+'5.Variables'!$J111,0))))))</f>
        <v>14.7</v>
      </c>
      <c r="L87" s="725">
        <f>IF(L$18='5.Variables'!$B$16,+'5.Variables'!$J31,+IF(L$18='5.Variables'!$B$39,+'5.Variables'!$J55,+IF(L$18='5.Variables'!$B$62,+'5.Variables'!$J69,+IF(L$18='5.Variables'!$B$76,+'5.Variables'!$J83,+IF(L$18='5.Variables'!$B$90,+'5.Variables'!$J97,+IF(L$18='5.Variables'!$B$104,+'5.Variables'!$J111,0))))))</f>
        <v>93</v>
      </c>
      <c r="M87" s="725">
        <f>IF(M$18='5.Variables'!$B$16,+'5.Variables'!$J31,+IF(M$18='5.Variables'!$B$39,+'5.Variables'!$J55,+IF(M$18='5.Variables'!$B$62,+'5.Variables'!$J69,+IF(M$18='5.Variables'!$B$76,+'5.Variables'!$J83,+IF(M$18='5.Variables'!$B$90,+'5.Variables'!$J97,+IF(M$18='5.Variables'!$B$104,+'5.Variables'!$J111,0))))))</f>
        <v>0</v>
      </c>
      <c r="N87" s="725">
        <f>IF(N$18='5.Variables'!$B$16,+'5.Variables'!$J31,+IF(N$18='5.Variables'!$B$39,+'5.Variables'!$J55,+IF(N$18='5.Variables'!$B$62,+'5.Variables'!$J69,+IF(N$18='5.Variables'!$B$76,+'5.Variables'!$J83,+IF(N$18='5.Variables'!$B$90,+'5.Variables'!$J97,+IF(N$18='5.Variables'!$B$104,+'5.Variables'!$J111,0))))))</f>
        <v>0</v>
      </c>
      <c r="O87" s="725">
        <f>IF(O$18='5.Variables'!$B$16,+'5.Variables'!$J31,+IF(O$18='5.Variables'!$B$39,+'5.Variables'!$J55,+IF(O$18='5.Variables'!$B$62,+'5.Variables'!$J69,+IF(O$18='5.Variables'!$B$76,+'5.Variables'!$J83,+IF(O$18='5.Variables'!$B$90,+'5.Variables'!$J97,+IF(O$18='5.Variables'!$B$104,+'5.Variables'!$J111,0))))))</f>
        <v>31</v>
      </c>
      <c r="P87" s="725">
        <f>IF(P$18='5.Variables'!$B$16,+'5.Variables'!$J31,+IF(P$18='5.Variables'!$B$39,+'5.Variables'!$J55,+IF(P$18='5.Variables'!$B$62,+'5.Variables'!$J69,+IF(P$18='5.Variables'!$B$76,+'5.Variables'!$J83,+IF(P$18='5.Variables'!$B$90,+'5.Variables'!$J97,+IF(P$18='5.Variables'!$B$104,+'5.Variables'!$J111,0))))))</f>
        <v>0</v>
      </c>
      <c r="Q87" s="245"/>
      <c r="R87" s="558">
        <f t="shared" si="9"/>
        <v>15740457.652564608</v>
      </c>
      <c r="S87" s="265"/>
      <c r="T87" s="245"/>
      <c r="U87" s="245"/>
      <c r="V87" s="245"/>
      <c r="W87" s="245"/>
      <c r="X87" s="245"/>
      <c r="Y87" s="245"/>
      <c r="Z87" s="245"/>
      <c r="AA87" s="245"/>
      <c r="AB87" s="245"/>
      <c r="AC87" s="245"/>
      <c r="AD87" s="245"/>
      <c r="AE87" s="245"/>
      <c r="AF87" s="245"/>
      <c r="AG87" s="245"/>
      <c r="AH87" s="245"/>
      <c r="AI87" s="245"/>
      <c r="AJ87" s="245"/>
      <c r="AK87" s="245"/>
      <c r="AL87" s="245"/>
      <c r="AM87" s="245"/>
    </row>
    <row r="88" spans="1:39" x14ac:dyDescent="0.2">
      <c r="A88" s="503">
        <f t="shared" si="10"/>
        <v>69</v>
      </c>
      <c r="B88" s="262" t="str">
        <f>CONCATENATE('3. Consumption by Rate Class'!B93,"-",'3. Consumption by Rate Class'!C93)</f>
        <v>2010-September</v>
      </c>
      <c r="C88" s="697">
        <v>13562494.850000001</v>
      </c>
      <c r="D88" s="703"/>
      <c r="E88" s="707"/>
      <c r="F88" s="703"/>
      <c r="G88" s="703"/>
      <c r="H88" s="704"/>
      <c r="I88" s="704"/>
      <c r="J88" s="263">
        <f t="shared" si="8"/>
        <v>13562494.850000001</v>
      </c>
      <c r="K88" s="725">
        <f>IF(K$18='5.Variables'!$B$16,+'5.Variables'!$K32,+IF(K$18='5.Variables'!$B$39,+'5.Variables'!$K55,+IF(K$18='5.Variables'!$B$62,+'5.Variables'!$K69,+IF(K$18='5.Variables'!$B$76,+'5.Variables'!$K83,+IF(K$18='5.Variables'!$B$90,+'5.Variables'!$K97,+IF(K$18='5.Variables'!$B$104,+'5.Variables'!$K111,0))))))</f>
        <v>112</v>
      </c>
      <c r="L88" s="725">
        <f>IF(L$18='5.Variables'!$B$16,+'5.Variables'!$K31,+IF(L$18='5.Variables'!$B$39,+'5.Variables'!$K55,+IF(L$18='5.Variables'!$B$62,+'5.Variables'!$K69,+IF(L$18='5.Variables'!$B$76,+'5.Variables'!$K83,+IF(L$18='5.Variables'!$B$90,+'5.Variables'!$K97,+IF(L$18='5.Variables'!$B$104,+'5.Variables'!$K111,0))))))</f>
        <v>26.2</v>
      </c>
      <c r="M88" s="725">
        <f>IF(M$18='5.Variables'!$B$16,+'5.Variables'!$K31,+IF(M$18='5.Variables'!$B$39,+'5.Variables'!$K55,+IF(M$18='5.Variables'!$B$62,+'5.Variables'!$K69,+IF(M$18='5.Variables'!$B$76,+'5.Variables'!$K83,+IF(M$18='5.Variables'!$B$90,+'5.Variables'!$K97,+IF(M$18='5.Variables'!$B$104,+'5.Variables'!$K111,0))))))</f>
        <v>0</v>
      </c>
      <c r="N88" s="725">
        <f>IF(N$18='5.Variables'!$B$16,+'5.Variables'!$K31,+IF(N$18='5.Variables'!$B$39,+'5.Variables'!$K55,+IF(N$18='5.Variables'!$B$62,+'5.Variables'!$K69,+IF(N$18='5.Variables'!$B$76,+'5.Variables'!$K83,+IF(N$18='5.Variables'!$B$90,+'5.Variables'!$K97,+IF(N$18='5.Variables'!$B$104,+'5.Variables'!$K111,0))))))</f>
        <v>0</v>
      </c>
      <c r="O88" s="725">
        <f>IF(O$18='5.Variables'!$B$16,+'5.Variables'!$K31,+IF(O$18='5.Variables'!$B$39,+'5.Variables'!$K55,+IF(O$18='5.Variables'!$B$62,+'5.Variables'!$K69,+IF(O$18='5.Variables'!$B$76,+'5.Variables'!$K83,+IF(O$18='5.Variables'!$B$90,+'5.Variables'!$K97,+IF(O$18='5.Variables'!$B$104,+'5.Variables'!$K111,0))))))</f>
        <v>30</v>
      </c>
      <c r="P88" s="725">
        <f>IF(P$18='5.Variables'!$B$16,+'5.Variables'!$K31,+IF(P$18='5.Variables'!$B$39,+'5.Variables'!$K55,+IF(P$18='5.Variables'!$B$62,+'5.Variables'!$K69,+IF(P$18='5.Variables'!$B$76,+'5.Variables'!$K83,+IF(P$18='5.Variables'!$B$90,+'5.Variables'!$K97,+IF(P$18='5.Variables'!$B$104,+'5.Variables'!$K111,0))))))</f>
        <v>0</v>
      </c>
      <c r="Q88" s="245"/>
      <c r="R88" s="558">
        <f t="shared" si="9"/>
        <v>14597079.01477108</v>
      </c>
      <c r="S88" s="265"/>
      <c r="T88" s="245"/>
      <c r="U88" s="245"/>
      <c r="V88" s="245"/>
      <c r="W88" s="245"/>
      <c r="X88" s="245"/>
      <c r="Y88" s="245"/>
      <c r="Z88" s="245"/>
      <c r="AA88" s="245"/>
      <c r="AB88" s="245"/>
      <c r="AC88" s="245"/>
      <c r="AD88" s="245"/>
      <c r="AE88" s="245"/>
      <c r="AF88" s="245"/>
      <c r="AG88" s="245"/>
      <c r="AH88" s="245"/>
      <c r="AI88" s="245"/>
      <c r="AJ88" s="245"/>
      <c r="AK88" s="245"/>
      <c r="AL88" s="245"/>
      <c r="AM88" s="245"/>
    </row>
    <row r="89" spans="1:39" x14ac:dyDescent="0.2">
      <c r="A89" s="503">
        <f t="shared" si="10"/>
        <v>70</v>
      </c>
      <c r="B89" s="262" t="str">
        <f>CONCATENATE('3. Consumption by Rate Class'!B94,"-",'3. Consumption by Rate Class'!C94)</f>
        <v>2010-October</v>
      </c>
      <c r="C89" s="697">
        <v>15412186.68</v>
      </c>
      <c r="D89" s="703"/>
      <c r="E89" s="707"/>
      <c r="F89" s="703"/>
      <c r="G89" s="703"/>
      <c r="H89" s="704"/>
      <c r="I89" s="704"/>
      <c r="J89" s="263">
        <f t="shared" si="8"/>
        <v>15412186.68</v>
      </c>
      <c r="K89" s="725">
        <f>IF(K$18='5.Variables'!$B$16,+'5.Variables'!$L32,+IF(K$18='5.Variables'!$B$39,+'5.Variables'!$L55,+IF(K$18='5.Variables'!$B$62,+'5.Variables'!$L69,+IF(K$18='5.Variables'!$B$76,+'5.Variables'!$L83,+IF(K$18='5.Variables'!$B$90,+'5.Variables'!$L97,+IF(K$18='5.Variables'!$B$104,+'5.Variables'!$L111,0))))))</f>
        <v>311</v>
      </c>
      <c r="L89" s="725">
        <f>IF(L$18='5.Variables'!$B$16,+'5.Variables'!$L31,+IF(L$18='5.Variables'!$B$39,+'5.Variables'!$L55,+IF(L$18='5.Variables'!$B$62,+'5.Variables'!$L69,+IF(L$18='5.Variables'!$B$76,+'5.Variables'!$L83,+IF(L$18='5.Variables'!$B$90,+'5.Variables'!$L97,+IF(L$18='5.Variables'!$B$104,+'5.Variables'!$L111,0))))))</f>
        <v>0</v>
      </c>
      <c r="M89" s="725">
        <f>IF(M$18='5.Variables'!$B$16,+'5.Variables'!$L31,+IF(M$18='5.Variables'!$B$39,+'5.Variables'!$L55,+IF(M$18='5.Variables'!$B$62,+'5.Variables'!$L69,+IF(M$18='5.Variables'!$B$76,+'5.Variables'!$L83,+IF(M$18='5.Variables'!$B$90,+'5.Variables'!$L97,+IF(M$18='5.Variables'!$B$104,+'5.Variables'!$L111,0))))))</f>
        <v>0</v>
      </c>
      <c r="N89" s="725">
        <f>IF(N$18='5.Variables'!$B$16,+'5.Variables'!$L31,+IF(N$18='5.Variables'!$B$39,+'5.Variables'!$L55,+IF(N$18='5.Variables'!$B$62,+'5.Variables'!$L69,+IF(N$18='5.Variables'!$B$76,+'5.Variables'!$L83,+IF(N$18='5.Variables'!$B$90,+'5.Variables'!$L97,+IF(N$18='5.Variables'!$B$104,+'5.Variables'!$L111,0))))))</f>
        <v>0</v>
      </c>
      <c r="O89" s="725">
        <f>IF(O$18='5.Variables'!$B$16,+'5.Variables'!$L31,+IF(O$18='5.Variables'!$B$39,+'5.Variables'!$L55,+IF(O$18='5.Variables'!$B$62,+'5.Variables'!$L69,+IF(O$18='5.Variables'!$B$76,+'5.Variables'!$L83,+IF(O$18='5.Variables'!$B$90,+'5.Variables'!$L97,+IF(O$18='5.Variables'!$B$104,+'5.Variables'!$L111,0))))))</f>
        <v>31</v>
      </c>
      <c r="P89" s="725">
        <f>IF(P$18='5.Variables'!$B$16,+'5.Variables'!$L31,+IF(P$18='5.Variables'!$B$39,+'5.Variables'!$L55,+IF(P$18='5.Variables'!$B$62,+'5.Variables'!$L69,+IF(P$18='5.Variables'!$B$76,+'5.Variables'!$L83,+IF(P$18='5.Variables'!$B$90,+'5.Variables'!$L97,+IF(P$18='5.Variables'!$B$104,+'5.Variables'!$L111,0))))))</f>
        <v>0</v>
      </c>
      <c r="Q89" s="245"/>
      <c r="R89" s="558">
        <f t="shared" si="9"/>
        <v>15297101.518730335</v>
      </c>
      <c r="S89" s="265"/>
      <c r="T89" s="245"/>
      <c r="U89" s="245"/>
      <c r="V89" s="245"/>
      <c r="W89" s="245"/>
      <c r="X89" s="245"/>
      <c r="Y89" s="245"/>
      <c r="Z89" s="245"/>
      <c r="AA89" s="245"/>
      <c r="AB89" s="245"/>
      <c r="AC89" s="245"/>
      <c r="AD89" s="245"/>
      <c r="AE89" s="245"/>
      <c r="AF89" s="245"/>
      <c r="AG89" s="245"/>
      <c r="AH89" s="245"/>
      <c r="AI89" s="245"/>
      <c r="AJ89" s="245"/>
      <c r="AK89" s="245"/>
      <c r="AL89" s="245"/>
      <c r="AM89" s="245"/>
    </row>
    <row r="90" spans="1:39" x14ac:dyDescent="0.2">
      <c r="A90" s="503">
        <f t="shared" si="10"/>
        <v>71</v>
      </c>
      <c r="B90" s="262" t="str">
        <f>CONCATENATE('3. Consumption by Rate Class'!B95,"-",'3. Consumption by Rate Class'!C95)</f>
        <v>2010-November</v>
      </c>
      <c r="C90" s="697">
        <v>16686329.729999999</v>
      </c>
      <c r="D90" s="703"/>
      <c r="E90" s="707"/>
      <c r="F90" s="703"/>
      <c r="G90" s="703"/>
      <c r="H90" s="704"/>
      <c r="I90" s="704"/>
      <c r="J90" s="263">
        <f t="shared" si="8"/>
        <v>16686329.729999999</v>
      </c>
      <c r="K90" s="725">
        <f>IF(K$18='5.Variables'!$B$16,+'5.Variables'!$M32,+IF(K$18='5.Variables'!$B$39,+'5.Variables'!$M55,+IF(K$18='5.Variables'!$B$62,+'5.Variables'!$M69,+IF(K$18='5.Variables'!$B$76,+'5.Variables'!$M83,+IF(K$18='5.Variables'!$B$90,+'5.Variables'!$M97,+IF(K$18='5.Variables'!$B$104,+'5.Variables'!$M111,0))))))</f>
        <v>491.6</v>
      </c>
      <c r="L90" s="725">
        <f>IF(L$18='5.Variables'!$B$16,+'5.Variables'!$M31,+IF(L$18='5.Variables'!$B$39,+'5.Variables'!$M55,+IF(L$18='5.Variables'!$B$62,+'5.Variables'!$M69,+IF(L$18='5.Variables'!$B$76,+'5.Variables'!$M83,+IF(L$18='5.Variables'!$B$90,+'5.Variables'!$M97,+IF(L$18='5.Variables'!$B$104,+'5.Variables'!$M111,0))))))</f>
        <v>0</v>
      </c>
      <c r="M90" s="725">
        <f>IF(M$18='5.Variables'!$B$16,+'5.Variables'!$M31,+IF(M$18='5.Variables'!$B$39,+'5.Variables'!$M55,+IF(M$18='5.Variables'!$B$62,+'5.Variables'!$M69,+IF(M$18='5.Variables'!$B$76,+'5.Variables'!$M83,+IF(M$18='5.Variables'!$B$90,+'5.Variables'!$M97,+IF(M$18='5.Variables'!$B$104,+'5.Variables'!$M111,0))))))</f>
        <v>0</v>
      </c>
      <c r="N90" s="725">
        <f>IF(N$18='5.Variables'!$B$16,+'5.Variables'!$M31,+IF(N$18='5.Variables'!$B$39,+'5.Variables'!$M55,+IF(N$18='5.Variables'!$B$62,+'5.Variables'!$M69,+IF(N$18='5.Variables'!$B$76,+'5.Variables'!$M83,+IF(N$18='5.Variables'!$B$90,+'5.Variables'!$M97,+IF(N$18='5.Variables'!$B$104,+'5.Variables'!$M111,0))))))</f>
        <v>0</v>
      </c>
      <c r="O90" s="725">
        <f>IF(O$18='5.Variables'!$B$16,+'5.Variables'!$M31,+IF(O$18='5.Variables'!$B$39,+'5.Variables'!$M55,+IF(O$18='5.Variables'!$B$62,+'5.Variables'!$M69,+IF(O$18='5.Variables'!$B$76,+'5.Variables'!$M83,+IF(O$18='5.Variables'!$B$90,+'5.Variables'!$M97,+IF(O$18='5.Variables'!$B$104,+'5.Variables'!$M111,0))))))</f>
        <v>30</v>
      </c>
      <c r="P90" s="725">
        <f>IF(P$18='5.Variables'!$B$16,+'5.Variables'!$M31,+IF(P$18='5.Variables'!$B$39,+'5.Variables'!$M55,+IF(P$18='5.Variables'!$B$62,+'5.Variables'!$M69,+IF(P$18='5.Variables'!$B$76,+'5.Variables'!$M83,+IF(P$18='5.Variables'!$B$90,+'5.Variables'!$M97,+IF(P$18='5.Variables'!$B$104,+'5.Variables'!$M111,0))))))</f>
        <v>0</v>
      </c>
      <c r="Q90" s="245"/>
      <c r="R90" s="558">
        <f t="shared" si="9"/>
        <v>16586691.283526599</v>
      </c>
      <c r="S90" s="265"/>
      <c r="T90" s="245"/>
      <c r="U90" s="245"/>
      <c r="V90" s="245"/>
      <c r="W90" s="245"/>
      <c r="X90" s="245"/>
      <c r="Y90" s="245"/>
      <c r="Z90" s="245"/>
      <c r="AA90" s="245"/>
      <c r="AB90" s="245"/>
      <c r="AC90" s="245"/>
      <c r="AD90" s="245"/>
      <c r="AE90" s="245"/>
      <c r="AF90" s="245"/>
      <c r="AG90" s="245"/>
      <c r="AH90" s="245"/>
      <c r="AI90" s="245"/>
      <c r="AJ90" s="245"/>
      <c r="AK90" s="245"/>
      <c r="AL90" s="245"/>
      <c r="AM90" s="245"/>
    </row>
    <row r="91" spans="1:39" x14ac:dyDescent="0.2">
      <c r="A91" s="503">
        <f t="shared" si="10"/>
        <v>72</v>
      </c>
      <c r="B91" s="522" t="str">
        <f>CONCATENATE('3. Consumption by Rate Class'!B96,"-",'3. Consumption by Rate Class'!C96)</f>
        <v>2010-December</v>
      </c>
      <c r="C91" s="698">
        <v>20238954.513</v>
      </c>
      <c r="D91" s="705"/>
      <c r="E91" s="705"/>
      <c r="F91" s="705"/>
      <c r="G91" s="705"/>
      <c r="H91" s="706"/>
      <c r="I91" s="706"/>
      <c r="J91" s="263">
        <f t="shared" si="8"/>
        <v>20238954.513</v>
      </c>
      <c r="K91" s="725">
        <f>IF(K$18='5.Variables'!$B$16,+'5.Variables'!$N32,+IF(K$18='5.Variables'!$B$39,+'5.Variables'!$N55,+IF(K$18='5.Variables'!$B$62,+'5.Variables'!$N69,+IF(K$18='5.Variables'!$B$76,+'5.Variables'!$N83,+IF(K$18='5.Variables'!$B$90,+'5.Variables'!$N97,+IF(K$18='5.Variables'!$B$104,+'5.Variables'!$N111,0))))))</f>
        <v>731.4</v>
      </c>
      <c r="L91" s="725">
        <f>IF(L$18='5.Variables'!$B$16,+'5.Variables'!$N31,+IF(L$18='5.Variables'!$B$39,+'5.Variables'!$N55,+IF(L$18='5.Variables'!$B$62,+'5.Variables'!$N69,+IF(L$18='5.Variables'!$B$76,+'5.Variables'!$N83,+IF(L$18='5.Variables'!$B$90,+'5.Variables'!$N97,+IF(L$18='5.Variables'!$B$104,+'5.Variables'!$N111,0))))))</f>
        <v>0</v>
      </c>
      <c r="M91" s="725">
        <f>IF(M$18='5.Variables'!$B$16,+'5.Variables'!$N31,+IF(M$18='5.Variables'!$B$39,+'5.Variables'!$N55,+IF(M$18='5.Variables'!$B$62,+'5.Variables'!$N69,+IF(M$18='5.Variables'!$B$76,+'5.Variables'!$N83,+IF(M$18='5.Variables'!$B$90,+'5.Variables'!$N97,+IF(M$18='5.Variables'!$B$104,+'5.Variables'!$N111,0))))))</f>
        <v>1</v>
      </c>
      <c r="N91" s="725">
        <f>IF(N$18='5.Variables'!$B$16,+'5.Variables'!$N31,+IF(N$18='5.Variables'!$B$39,+'5.Variables'!$N55,+IF(N$18='5.Variables'!$B$62,+'5.Variables'!$N69,+IF(N$18='5.Variables'!$B$76,+'5.Variables'!$N83,+IF(N$18='5.Variables'!$B$90,+'5.Variables'!$N97,+IF(N$18='5.Variables'!$B$104,+'5.Variables'!$N111,0))))))</f>
        <v>1</v>
      </c>
      <c r="O91" s="725">
        <f>IF(O$18='5.Variables'!$B$16,+'5.Variables'!$N31,+IF(O$18='5.Variables'!$B$39,+'5.Variables'!$N55,+IF(O$18='5.Variables'!$B$62,+'5.Variables'!$N69,+IF(O$18='5.Variables'!$B$76,+'5.Variables'!$N83,+IF(O$18='5.Variables'!$B$90,+'5.Variables'!$N97,+IF(O$18='5.Variables'!$B$104,+'5.Variables'!$N111,0))))))</f>
        <v>31</v>
      </c>
      <c r="P91" s="725">
        <f>IF(P$18='5.Variables'!$B$16,+'5.Variables'!$N31,+IF(P$18='5.Variables'!$B$39,+'5.Variables'!$N55,+IF(P$18='5.Variables'!$B$62,+'5.Variables'!$N69,+IF(P$18='5.Variables'!$B$76,+'5.Variables'!$N83,+IF(P$18='5.Variables'!$B$90,+'5.Variables'!$N97,+IF(P$18='5.Variables'!$B$104,+'5.Variables'!$N111,0))))))</f>
        <v>0</v>
      </c>
      <c r="Q91" s="245"/>
      <c r="R91" s="558">
        <f t="shared" si="9"/>
        <v>19773951.939838804</v>
      </c>
      <c r="S91" s="265">
        <f>SUM(R80:R91)</f>
        <v>199197021.01412955</v>
      </c>
      <c r="T91" s="245"/>
      <c r="U91" s="245"/>
      <c r="V91" s="245"/>
      <c r="W91" s="245"/>
      <c r="X91" s="245"/>
      <c r="Y91" s="245"/>
      <c r="Z91" s="245"/>
      <c r="AA91" s="245"/>
      <c r="AB91" s="245"/>
      <c r="AC91" s="245"/>
      <c r="AD91" s="245"/>
      <c r="AE91" s="245"/>
      <c r="AF91" s="245"/>
      <c r="AG91" s="245"/>
      <c r="AH91" s="245"/>
      <c r="AI91" s="245"/>
      <c r="AJ91" s="245"/>
      <c r="AK91" s="245"/>
      <c r="AL91" s="245"/>
      <c r="AM91" s="245"/>
    </row>
    <row r="92" spans="1:39" x14ac:dyDescent="0.2">
      <c r="A92" s="503">
        <f t="shared" si="10"/>
        <v>73</v>
      </c>
      <c r="B92" s="262" t="str">
        <f>CONCATENATE('3. Consumption by Rate Class'!B97,"-",'3. Consumption by Rate Class'!C97)</f>
        <v>2011-January</v>
      </c>
      <c r="C92" s="697">
        <v>21239545.866999999</v>
      </c>
      <c r="D92" s="703"/>
      <c r="E92" s="707"/>
      <c r="F92" s="707"/>
      <c r="G92" s="703"/>
      <c r="H92" s="704"/>
      <c r="I92" s="704"/>
      <c r="J92" s="263">
        <f t="shared" si="8"/>
        <v>21239545.866999999</v>
      </c>
      <c r="K92" s="725">
        <f>IF(K$18='5.Variables'!$B$16,+'5.Variables'!$C33,+IF(K$18='5.Variables'!$B$39,+'5.Variables'!$C56,+IF(K$18='5.Variables'!$B$62,+'5.Variables'!$C70,+IF(K$18='5.Variables'!$B$76,+'5.Variables'!$C84,+IF(K$18='5.Variables'!$B$90,+'5.Variables'!$C98,+IF(K$18='5.Variables'!$B$104,+'5.Variables'!$C112,0))))))</f>
        <v>888.7</v>
      </c>
      <c r="L92" s="725">
        <f>IF(L$18='5.Variables'!$B$16,+'5.Variables'!$C32,+IF(L$18='5.Variables'!$B$39,+'5.Variables'!$C56,+IF(L$18='5.Variables'!$B$62,+'5.Variables'!$C70,+IF(L$18='5.Variables'!$B$76,+'5.Variables'!$C84,+IF(L$18='5.Variables'!$B$90,+'5.Variables'!$C98,+IF(L$18='5.Variables'!$B$104,+'5.Variables'!$C112,0))))))</f>
        <v>0</v>
      </c>
      <c r="M92" s="725">
        <f>IF(M$18='5.Variables'!$B$16,+'5.Variables'!$C32,+IF(M$18='5.Variables'!$B$39,+'5.Variables'!$C56,+IF(M$18='5.Variables'!$B$62,+'5.Variables'!$C70,+IF(M$18='5.Variables'!$B$76,+'5.Variables'!$C84,+IF(M$18='5.Variables'!$B$90,+'5.Variables'!$C98,+IF(M$18='5.Variables'!$B$104,+'5.Variables'!$C112,0))))))</f>
        <v>1</v>
      </c>
      <c r="N92" s="725">
        <f>IF(N$18='5.Variables'!$B$16,+'5.Variables'!$C32,+IF(N$18='5.Variables'!$B$39,+'5.Variables'!$C56,+IF(N$18='5.Variables'!$B$62,+'5.Variables'!$C70,+IF(N$18='5.Variables'!$B$76,+'5.Variables'!$C84,+IF(N$18='5.Variables'!$B$90,+'5.Variables'!$C98,+IF(N$18='5.Variables'!$B$104,+'5.Variables'!$C112,0))))))</f>
        <v>1</v>
      </c>
      <c r="O92" s="725">
        <f>IF(O$18='5.Variables'!$B$16,+'5.Variables'!$C32,+IF(O$18='5.Variables'!$B$39,+'5.Variables'!$C56,+IF(O$18='5.Variables'!$B$62,+'5.Variables'!$C70,+IF(O$18='5.Variables'!$B$76,+'5.Variables'!$C84,+IF(O$18='5.Variables'!$B$90,+'5.Variables'!$C98,+IF(O$18='5.Variables'!$B$104,+'5.Variables'!$C112,0))))))</f>
        <v>31</v>
      </c>
      <c r="P92" s="725">
        <f>IF(P$18='5.Variables'!$B$16,+'5.Variables'!$C32,+IF(P$18='5.Variables'!$B$39,+'5.Variables'!$C56,+IF(P$18='5.Variables'!$B$62,+'5.Variables'!$C70,+IF(P$18='5.Variables'!$B$76,+'5.Variables'!$C84,+IF(P$18='5.Variables'!$B$90,+'5.Variables'!$C98,+IF(P$18='5.Variables'!$B$104,+'5.Variables'!$C112,0))))))</f>
        <v>0</v>
      </c>
      <c r="Q92" s="245"/>
      <c r="R92" s="558">
        <f t="shared" si="9"/>
        <v>20897166.059453711</v>
      </c>
      <c r="S92" s="265"/>
      <c r="T92" s="245"/>
      <c r="U92" s="245"/>
      <c r="V92" s="245"/>
      <c r="W92" s="245"/>
      <c r="X92" s="245"/>
      <c r="Y92" s="245"/>
      <c r="Z92" s="245"/>
      <c r="AA92" s="245"/>
      <c r="AB92" s="245"/>
      <c r="AC92" s="245"/>
      <c r="AD92" s="245"/>
      <c r="AE92" s="245"/>
      <c r="AF92" s="245"/>
      <c r="AG92" s="245"/>
      <c r="AH92" s="245"/>
      <c r="AI92" s="245"/>
      <c r="AJ92" s="245"/>
      <c r="AK92" s="245"/>
      <c r="AL92" s="245"/>
      <c r="AM92" s="245"/>
    </row>
    <row r="93" spans="1:39" x14ac:dyDescent="0.2">
      <c r="A93" s="503">
        <f t="shared" si="10"/>
        <v>74</v>
      </c>
      <c r="B93" s="262" t="str">
        <f>CONCATENATE('3. Consumption by Rate Class'!B98,"-",'3. Consumption by Rate Class'!C98)</f>
        <v>2011-February</v>
      </c>
      <c r="C93" s="697">
        <v>18549948.033</v>
      </c>
      <c r="D93" s="703"/>
      <c r="E93" s="707"/>
      <c r="F93" s="707"/>
      <c r="G93" s="703"/>
      <c r="H93" s="704"/>
      <c r="I93" s="704"/>
      <c r="J93" s="263">
        <f t="shared" si="8"/>
        <v>18549948.033</v>
      </c>
      <c r="K93" s="725">
        <f>IF(K$18='5.Variables'!$B$16,+'5.Variables'!$D33+IF(K$18='5.Variables'!$B$39,+'5.Variables'!$D56,+IF(K$18='5.Variables'!$B$62,+'5.Variables'!$D70,+IF(K$18='5.Variables'!$B$76,+'5.Variables'!$D84,+IF(K$18='5.Variables'!$B$90,+'5.Variables'!$D98,+IF(K$18='5.Variables'!$B$104,+'5.Variables'!$D112,0))))))</f>
        <v>731.6</v>
      </c>
      <c r="L93" s="725">
        <f>IF(L$18='5.Variables'!$B$16,+'5.Variables'!$D32,+IF(L$18='5.Variables'!$B$39,+'5.Variables'!$D56,+IF(L$18='5.Variables'!$B$62,+'5.Variables'!$D70,+IF(L$18='5.Variables'!$B$76,+'5.Variables'!$D84,+IF(L$18='5.Variables'!$B$90,+'5.Variables'!$D98,+IF(L$18='5.Variables'!$B$104,+'5.Variables'!$D112,0))))))</f>
        <v>0</v>
      </c>
      <c r="M93" s="725">
        <f>IF(M$18='5.Variables'!$B$16,+'5.Variables'!$D32,+IF(M$18='5.Variables'!$B$39,+'5.Variables'!$D56,+IF(M$18='5.Variables'!$B$62,+'5.Variables'!$D70,+IF(M$18='5.Variables'!$B$76,+'5.Variables'!$D84,+IF(M$18='5.Variables'!$B$90,+'5.Variables'!$D98,+IF(M$18='5.Variables'!$B$104,+'5.Variables'!$D112,0))))))</f>
        <v>1</v>
      </c>
      <c r="N93" s="725">
        <f>IF(N$18='5.Variables'!$B$16,+'5.Variables'!$D32,+IF(N$18='5.Variables'!$B$39,+'5.Variables'!$D56,+IF(N$18='5.Variables'!$B$62,+'5.Variables'!$D70,+IF(N$18='5.Variables'!$B$76,+'5.Variables'!$D84,+IF(N$18='5.Variables'!$B$90,+'5.Variables'!$D98,+IF(N$18='5.Variables'!$B$104,+'5.Variables'!$D112,0))))))</f>
        <v>0</v>
      </c>
      <c r="O93" s="725">
        <f>IF(O$18='5.Variables'!$B$16,+'5.Variables'!$D32,+IF(O$18='5.Variables'!$B$39,+'5.Variables'!$D56,+IF(O$18='5.Variables'!$B$62,+'5.Variables'!$D70,+IF(O$18='5.Variables'!$B$76,+'5.Variables'!$D84,+IF(O$18='5.Variables'!$B$90,+'5.Variables'!$D98,+IF(O$18='5.Variables'!$B$104,+'5.Variables'!$D112,0))))))</f>
        <v>28</v>
      </c>
      <c r="P93" s="725">
        <f>IF(P$18='5.Variables'!$B$16,+'5.Variables'!$D32,+IF(P$18='5.Variables'!$B$39,+'5.Variables'!$D56,+IF(P$18='5.Variables'!$B$62,+'5.Variables'!$D70,+IF(P$18='5.Variables'!$B$76,+'5.Variables'!$D84,+IF(P$18='5.Variables'!$B$90,+'5.Variables'!$D98,+IF(P$18='5.Variables'!$B$104,+'5.Variables'!$D112,0))))))</f>
        <v>0</v>
      </c>
      <c r="Q93" s="245"/>
      <c r="R93" s="558">
        <f t="shared" si="9"/>
        <v>19775380.056964826</v>
      </c>
      <c r="S93" s="265"/>
      <c r="T93" s="245"/>
      <c r="U93" s="245"/>
      <c r="V93" s="245"/>
      <c r="W93" s="245"/>
      <c r="X93" s="245"/>
      <c r="Y93" s="245"/>
      <c r="Z93" s="245"/>
      <c r="AA93" s="245"/>
      <c r="AB93" s="245"/>
      <c r="AC93" s="245"/>
      <c r="AD93" s="245"/>
      <c r="AE93" s="245"/>
      <c r="AF93" s="245"/>
      <c r="AG93" s="245"/>
      <c r="AH93" s="245"/>
      <c r="AI93" s="245"/>
      <c r="AJ93" s="245"/>
      <c r="AK93" s="245"/>
      <c r="AL93" s="245"/>
      <c r="AM93" s="245"/>
    </row>
    <row r="94" spans="1:39" x14ac:dyDescent="0.2">
      <c r="A94" s="503">
        <f t="shared" si="10"/>
        <v>75</v>
      </c>
      <c r="B94" s="262" t="str">
        <f>CONCATENATE('3. Consumption by Rate Class'!B99,"-",'3. Consumption by Rate Class'!C99)</f>
        <v>2011-March</v>
      </c>
      <c r="C94" s="697">
        <v>17502908.710000001</v>
      </c>
      <c r="D94" s="703"/>
      <c r="E94" s="707"/>
      <c r="F94" s="707"/>
      <c r="G94" s="703"/>
      <c r="H94" s="704"/>
      <c r="I94" s="704"/>
      <c r="J94" s="263">
        <f t="shared" si="8"/>
        <v>17502908.710000001</v>
      </c>
      <c r="K94" s="725">
        <f>IF(K$18='5.Variables'!$B$16,+'5.Variables'!$E33,+IF(K$18='5.Variables'!$B$39,+'5.Variables'!$E56,+IF(K$18='5.Variables'!$B$62,+'5.Variables'!$E70,+IF(K$18='5.Variables'!$B$76,+'5.Variables'!$E84,+IF(K$18='5.Variables'!$B$90,+'5.Variables'!$E98,+IF(K$18='5.Variables'!$B$104,+'5.Variables'!$E112,0))))))</f>
        <v>634.6</v>
      </c>
      <c r="L94" s="725">
        <f>IF(L$18='5.Variables'!$B$16,+'5.Variables'!$E32,+IF(L$18='5.Variables'!$B$39,+'5.Variables'!$E56,+IF(L$18='5.Variables'!$B$62,+'5.Variables'!$E70,+IF(L$18='5.Variables'!$B$76,+'5.Variables'!$E84,+IF(L$18='5.Variables'!$B$90,+'5.Variables'!$E98,+IF(L$18='5.Variables'!$B$104,+'5.Variables'!$E112,0))))))</f>
        <v>0</v>
      </c>
      <c r="M94" s="725">
        <f>IF(M$18='5.Variables'!$B$16,+'5.Variables'!$E32,+IF(M$18='5.Variables'!$B$39,+'5.Variables'!$E56,+IF(M$18='5.Variables'!$B$62,+'5.Variables'!$E70,+IF(M$18='5.Variables'!$B$76,+'5.Variables'!$E84,+IF(M$18='5.Variables'!$B$90,+'5.Variables'!$E98,+IF(M$18='5.Variables'!$B$104,+'5.Variables'!$E112,0))))))</f>
        <v>0</v>
      </c>
      <c r="N94" s="725">
        <f>IF(N$18='5.Variables'!$B$16,+'5.Variables'!$E32,+IF(N$18='5.Variables'!$B$39,+'5.Variables'!$E56,+IF(N$18='5.Variables'!$B$62,+'5.Variables'!$E70,+IF(N$18='5.Variables'!$B$76,+'5.Variables'!$E84,+IF(N$18='5.Variables'!$B$90,+'5.Variables'!$E98,+IF(N$18='5.Variables'!$B$104,+'5.Variables'!$E112,0))))))</f>
        <v>1</v>
      </c>
      <c r="O94" s="725">
        <f>IF(O$18='5.Variables'!$B$16,+'5.Variables'!$E32,+IF(O$18='5.Variables'!$B$39,+'5.Variables'!$E56,+IF(O$18='5.Variables'!$B$62,+'5.Variables'!$E70,+IF(O$18='5.Variables'!$B$76,+'5.Variables'!$E84,+IF(O$18='5.Variables'!$B$90,+'5.Variables'!$E98,+IF(O$18='5.Variables'!$B$104,+'5.Variables'!$E112,0))))))</f>
        <v>31</v>
      </c>
      <c r="P94" s="725">
        <f>IF(P$18='5.Variables'!$B$16,+'5.Variables'!$E32,+IF(P$18='5.Variables'!$B$39,+'5.Variables'!$E56,+IF(P$18='5.Variables'!$B$62,+'5.Variables'!$E70,+IF(P$18='5.Variables'!$B$76,+'5.Variables'!$E84,+IF(P$18='5.Variables'!$B$90,+'5.Variables'!$E98,+IF(P$18='5.Variables'!$B$104,+'5.Variables'!$E112,0))))))</f>
        <v>0</v>
      </c>
      <c r="Q94" s="245"/>
      <c r="R94" s="558">
        <f t="shared" si="9"/>
        <v>17607795.028631061</v>
      </c>
      <c r="S94" s="265"/>
      <c r="T94" s="245"/>
      <c r="U94" s="245"/>
      <c r="V94" s="245"/>
      <c r="W94" s="245"/>
      <c r="X94" s="245"/>
      <c r="Y94" s="245"/>
      <c r="Z94" s="245"/>
      <c r="AA94" s="245"/>
      <c r="AB94" s="245"/>
      <c r="AC94" s="245"/>
      <c r="AD94" s="245"/>
      <c r="AE94" s="245"/>
      <c r="AF94" s="245"/>
      <c r="AG94" s="245"/>
      <c r="AH94" s="245"/>
      <c r="AI94" s="245"/>
      <c r="AJ94" s="245"/>
      <c r="AK94" s="245"/>
      <c r="AL94" s="245"/>
      <c r="AM94" s="245"/>
    </row>
    <row r="95" spans="1:39" x14ac:dyDescent="0.2">
      <c r="A95" s="503">
        <f t="shared" si="10"/>
        <v>76</v>
      </c>
      <c r="B95" s="262" t="str">
        <f>CONCATENATE('3. Consumption by Rate Class'!B100,"-",'3. Consumption by Rate Class'!C100)</f>
        <v>2011-April</v>
      </c>
      <c r="C95" s="697">
        <v>16336448.780000001</v>
      </c>
      <c r="D95" s="703"/>
      <c r="E95" s="707"/>
      <c r="F95" s="707"/>
      <c r="G95" s="703"/>
      <c r="H95" s="704"/>
      <c r="I95" s="704"/>
      <c r="J95" s="263">
        <f t="shared" si="8"/>
        <v>16336448.780000001</v>
      </c>
      <c r="K95" s="725">
        <f>IF(K$18='5.Variables'!$B$16,+'5.Variables'!$F33,+IF(K$18='5.Variables'!$B$39,+'5.Variables'!$F56,+IF(K$18='5.Variables'!$B$62,+'5.Variables'!$F70,+IF(K$18='5.Variables'!$B$76,+'5.Variables'!$F84,+IF(K$18='5.Variables'!$B$90,+'5.Variables'!$F98,+IF(K$18='5.Variables'!$B$104,+'5.Variables'!$F112,0))))))</f>
        <v>347.4</v>
      </c>
      <c r="L95" s="725">
        <f>IF(L$18='5.Variables'!$B$16,+'5.Variables'!$F32,+IF(L$18='5.Variables'!$B$39,+'5.Variables'!$F56,+IF(L$18='5.Variables'!$B$62,+'5.Variables'!$F70,+IF(L$18='5.Variables'!$B$76,+'5.Variables'!$F84,+IF(L$18='5.Variables'!$B$90,+'5.Variables'!$F98,+IF(L$18='5.Variables'!$B$104,+'5.Variables'!$F112,0))))))</f>
        <v>0</v>
      </c>
      <c r="M95" s="725">
        <f>IF(M$18='5.Variables'!$B$16,+'5.Variables'!$F32,+IF(M$18='5.Variables'!$B$39,+'5.Variables'!$F56,+IF(M$18='5.Variables'!$B$62,+'5.Variables'!$F70,+IF(M$18='5.Variables'!$B$76,+'5.Variables'!$F84,+IF(M$18='5.Variables'!$B$90,+'5.Variables'!$F98,+IF(M$18='5.Variables'!$B$104,+'5.Variables'!$F112,0))))))</f>
        <v>0</v>
      </c>
      <c r="N95" s="725">
        <f>IF(N$18='5.Variables'!$B$16,+'5.Variables'!$F32,+IF(N$18='5.Variables'!$B$39,+'5.Variables'!$F56,+IF(N$18='5.Variables'!$B$62,+'5.Variables'!$F70,+IF(N$18='5.Variables'!$B$76,+'5.Variables'!$F84,+IF(N$18='5.Variables'!$B$90,+'5.Variables'!$F98,+IF(N$18='5.Variables'!$B$104,+'5.Variables'!$F112,0))))))</f>
        <v>0</v>
      </c>
      <c r="O95" s="725">
        <f>IF(O$18='5.Variables'!$B$16,+'5.Variables'!$F32,+IF(O$18='5.Variables'!$B$39,+'5.Variables'!$F56,+IF(O$18='5.Variables'!$B$62,+'5.Variables'!$F70,+IF(O$18='5.Variables'!$B$76,+'5.Variables'!$F84,+IF(O$18='5.Variables'!$B$90,+'5.Variables'!$F98,+IF(O$18='5.Variables'!$B$104,+'5.Variables'!$F112,0))))))</f>
        <v>30</v>
      </c>
      <c r="P95" s="725">
        <f>IF(P$18='5.Variables'!$B$16,+'5.Variables'!$F32,+IF(P$18='5.Variables'!$B$39,+'5.Variables'!$F56,+IF(P$18='5.Variables'!$B$62,+'5.Variables'!$F70,+IF(P$18='5.Variables'!$B$76,+'5.Variables'!$F84,+IF(P$18='5.Variables'!$B$90,+'5.Variables'!$F98,+IF(P$18='5.Variables'!$B$104,+'5.Variables'!$F112,0))))))</f>
        <v>0</v>
      </c>
      <c r="Q95" s="245"/>
      <c r="R95" s="558">
        <f t="shared" si="9"/>
        <v>15557018.835666016</v>
      </c>
      <c r="S95" s="265"/>
      <c r="T95" s="245"/>
      <c r="U95" s="245"/>
      <c r="V95" s="245"/>
      <c r="W95" s="245"/>
      <c r="X95" s="245"/>
      <c r="Y95" s="245"/>
      <c r="Z95" s="245"/>
      <c r="AA95" s="245"/>
      <c r="AB95" s="245"/>
      <c r="AC95" s="245"/>
      <c r="AD95" s="245"/>
      <c r="AE95" s="245"/>
      <c r="AF95" s="245"/>
      <c r="AG95" s="245"/>
      <c r="AH95" s="245"/>
      <c r="AI95" s="245"/>
      <c r="AJ95" s="245"/>
      <c r="AK95" s="245"/>
      <c r="AL95" s="245"/>
      <c r="AM95" s="245"/>
    </row>
    <row r="96" spans="1:39" x14ac:dyDescent="0.2">
      <c r="A96" s="503">
        <f t="shared" si="10"/>
        <v>77</v>
      </c>
      <c r="B96" s="262" t="str">
        <f>CONCATENATE('3. Consumption by Rate Class'!B101,"-",'3. Consumption by Rate Class'!C101)</f>
        <v>2011-May</v>
      </c>
      <c r="C96" s="697">
        <v>14621069.789999999</v>
      </c>
      <c r="D96" s="703"/>
      <c r="E96" s="707"/>
      <c r="F96" s="707"/>
      <c r="G96" s="703"/>
      <c r="H96" s="704"/>
      <c r="I96" s="704"/>
      <c r="J96" s="263">
        <f t="shared" si="8"/>
        <v>14621069.789999999</v>
      </c>
      <c r="K96" s="725">
        <f>IF(K$18='5.Variables'!$B$16,+'5.Variables'!$G33,+IF(K$18='5.Variables'!$B$39,+'5.Variables'!$G56,+IF(K$18='5.Variables'!$B$62,+'5.Variables'!$G70,+IF(K$18='5.Variables'!$B$76,+'5.Variables'!$G84,+IF(K$18='5.Variables'!$B$90,+'5.Variables'!$G98,+IF(K$18='5.Variables'!$B$104,+'5.Variables'!$G112,0))))))</f>
        <v>142.80000000000001</v>
      </c>
      <c r="L96" s="725">
        <f>IF(L$18='5.Variables'!$B$16,+'5.Variables'!$G32,+IF(L$18='5.Variables'!$B$39,+'5.Variables'!$G56,+IF(L$18='5.Variables'!$B$62,+'5.Variables'!$G70,+IF(L$18='5.Variables'!$B$76,+'5.Variables'!$G84,+IF(L$18='5.Variables'!$B$90,+'5.Variables'!$G98,+IF(L$18='5.Variables'!$B$104,+'5.Variables'!$G112,0))))))</f>
        <v>16.7</v>
      </c>
      <c r="M96" s="725">
        <f>IF(M$18='5.Variables'!$B$16,+'5.Variables'!$G32,+IF(M$18='5.Variables'!$B$39,+'5.Variables'!$G56,+IF(M$18='5.Variables'!$B$62,+'5.Variables'!$G70,+IF(M$18='5.Variables'!$B$76,+'5.Variables'!$G84,+IF(M$18='5.Variables'!$B$90,+'5.Variables'!$G98,+IF(M$18='5.Variables'!$B$104,+'5.Variables'!$G112,0))))))</f>
        <v>0</v>
      </c>
      <c r="N96" s="725">
        <f>IF(N$18='5.Variables'!$B$16,+'5.Variables'!$G32,+IF(N$18='5.Variables'!$B$39,+'5.Variables'!$G56,+IF(N$18='5.Variables'!$B$62,+'5.Variables'!$G70,+IF(N$18='5.Variables'!$B$76,+'5.Variables'!$G84,+IF(N$18='5.Variables'!$B$90,+'5.Variables'!$G98,+IF(N$18='5.Variables'!$B$104,+'5.Variables'!$G112,0))))))</f>
        <v>0</v>
      </c>
      <c r="O96" s="725">
        <f>IF(O$18='5.Variables'!$B$16,+'5.Variables'!$G32,+IF(O$18='5.Variables'!$B$39,+'5.Variables'!$G56,+IF(O$18='5.Variables'!$B$62,+'5.Variables'!$G70,+IF(O$18='5.Variables'!$B$76,+'5.Variables'!$G84,+IF(O$18='5.Variables'!$B$90,+'5.Variables'!$G98,+IF(O$18='5.Variables'!$B$104,+'5.Variables'!$G112,0))))))</f>
        <v>31</v>
      </c>
      <c r="P96" s="725">
        <f>IF(P$18='5.Variables'!$B$16,+'5.Variables'!$G32,+IF(P$18='5.Variables'!$B$39,+'5.Variables'!$G56,+IF(P$18='5.Variables'!$B$62,+'5.Variables'!$G70,+IF(P$18='5.Variables'!$B$76,+'5.Variables'!$G84,+IF(P$18='5.Variables'!$B$90,+'5.Variables'!$G98,+IF(P$18='5.Variables'!$B$104,+'5.Variables'!$G112,0))))))</f>
        <v>0</v>
      </c>
      <c r="Q96" s="245"/>
      <c r="R96" s="558">
        <f t="shared" si="9"/>
        <v>14555594.420647917</v>
      </c>
      <c r="S96" s="265"/>
      <c r="T96" s="245"/>
      <c r="U96" s="245"/>
      <c r="V96" s="245"/>
      <c r="W96" s="245"/>
      <c r="X96" s="245"/>
      <c r="Y96" s="245"/>
      <c r="Z96" s="245"/>
      <c r="AA96" s="245"/>
      <c r="AB96" s="245"/>
      <c r="AC96" s="245"/>
      <c r="AD96" s="245"/>
      <c r="AE96" s="245"/>
      <c r="AF96" s="245"/>
      <c r="AG96" s="245"/>
      <c r="AH96" s="245"/>
      <c r="AI96" s="245"/>
      <c r="AJ96" s="245"/>
      <c r="AK96" s="245"/>
      <c r="AL96" s="245"/>
      <c r="AM96" s="245"/>
    </row>
    <row r="97" spans="1:39" x14ac:dyDescent="0.2">
      <c r="A97" s="503">
        <f t="shared" si="10"/>
        <v>78</v>
      </c>
      <c r="B97" s="262" t="str">
        <f>CONCATENATE('3. Consumption by Rate Class'!B102,"-",'3. Consumption by Rate Class'!C102)</f>
        <v>2011-June</v>
      </c>
      <c r="C97" s="697">
        <v>15547543.850000001</v>
      </c>
      <c r="D97" s="703"/>
      <c r="E97" s="707"/>
      <c r="F97" s="707"/>
      <c r="G97" s="703"/>
      <c r="H97" s="704"/>
      <c r="I97" s="704"/>
      <c r="J97" s="263">
        <f t="shared" si="8"/>
        <v>15547543.850000001</v>
      </c>
      <c r="K97" s="725">
        <f>IF(K$18='5.Variables'!$B$16,+'5.Variables'!$H33,+IF(K$18='5.Variables'!$B$39,+'5.Variables'!$H56,+IF(K$18='5.Variables'!$B$62,+'5.Variables'!$H70,+IF(K$18='5.Variables'!$B$76,+'5.Variables'!$H84,+IF(K$18='5.Variables'!$B$90,+'5.Variables'!$H98,+IF(K$18='5.Variables'!$B$104,+'5.Variables'!$H112,0))))))</f>
        <v>18.5</v>
      </c>
      <c r="L97" s="725">
        <f>IF(L$18='5.Variables'!$B$16,+'5.Variables'!$H32,+IF(L$18='5.Variables'!$B$39,+'5.Variables'!$H56,+IF(L$18='5.Variables'!$B$62,+'5.Variables'!$H70,+IF(L$18='5.Variables'!$B$76,+'5.Variables'!$H84,+IF(L$18='5.Variables'!$B$90,+'5.Variables'!$H98,+IF(L$18='5.Variables'!$B$104,+'5.Variables'!$H112,0))))))</f>
        <v>59.1</v>
      </c>
      <c r="M97" s="725">
        <f>IF(M$18='5.Variables'!$B$16,+'5.Variables'!$H32,+IF(M$18='5.Variables'!$B$39,+'5.Variables'!$H56,+IF(M$18='5.Variables'!$B$62,+'5.Variables'!$H70,+IF(M$18='5.Variables'!$B$76,+'5.Variables'!$H84,+IF(M$18='5.Variables'!$B$90,+'5.Variables'!$H98,+IF(M$18='5.Variables'!$B$104,+'5.Variables'!$H112,0))))))</f>
        <v>0</v>
      </c>
      <c r="N97" s="725">
        <f>IF(N$18='5.Variables'!$B$16,+'5.Variables'!$H32,+IF(N$18='5.Variables'!$B$39,+'5.Variables'!$H56,+IF(N$18='5.Variables'!$B$62,+'5.Variables'!$H70,+IF(N$18='5.Variables'!$B$76,+'5.Variables'!$H84,+IF(N$18='5.Variables'!$B$90,+'5.Variables'!$H98,+IF(N$18='5.Variables'!$B$104,+'5.Variables'!$H112,0))))))</f>
        <v>0</v>
      </c>
      <c r="O97" s="725">
        <f>IF(O$18='5.Variables'!$B$16,+'5.Variables'!$H32,+IF(O$18='5.Variables'!$B$39,+'5.Variables'!$H56,+IF(O$18='5.Variables'!$B$62,+'5.Variables'!$H70,+IF(O$18='5.Variables'!$B$76,+'5.Variables'!$H84,+IF(O$18='5.Variables'!$B$90,+'5.Variables'!$H98,+IF(O$18='5.Variables'!$B$104,+'5.Variables'!$H112,0))))))</f>
        <v>30</v>
      </c>
      <c r="P97" s="725">
        <f>IF(P$18='5.Variables'!$B$16,+'5.Variables'!$H32,+IF(P$18='5.Variables'!$B$39,+'5.Variables'!$H56,+IF(P$18='5.Variables'!$B$62,+'5.Variables'!$H70,+IF(P$18='5.Variables'!$B$76,+'5.Variables'!$H84,+IF(P$18='5.Variables'!$B$90,+'5.Variables'!$H98,+IF(P$18='5.Variables'!$B$104,+'5.Variables'!$H112,0))))))</f>
        <v>0</v>
      </c>
      <c r="Q97" s="245"/>
      <c r="R97" s="558">
        <f t="shared" si="9"/>
        <v>14834754.403340425</v>
      </c>
      <c r="S97" s="265"/>
      <c r="T97" s="245"/>
      <c r="U97" s="245"/>
      <c r="V97" s="245"/>
      <c r="W97" s="245"/>
      <c r="X97" s="245"/>
      <c r="Y97" s="245"/>
      <c r="Z97" s="245"/>
      <c r="AA97" s="245"/>
      <c r="AB97" s="245"/>
      <c r="AC97" s="245"/>
      <c r="AD97" s="245"/>
      <c r="AE97" s="245"/>
      <c r="AF97" s="245"/>
      <c r="AG97" s="245"/>
      <c r="AH97" s="245"/>
      <c r="AI97" s="245"/>
      <c r="AJ97" s="245"/>
      <c r="AK97" s="245"/>
      <c r="AL97" s="245"/>
      <c r="AM97" s="245"/>
    </row>
    <row r="98" spans="1:39" x14ac:dyDescent="0.2">
      <c r="A98" s="503">
        <f t="shared" si="10"/>
        <v>79</v>
      </c>
      <c r="B98" s="262" t="str">
        <f>CONCATENATE('3. Consumption by Rate Class'!B103,"-",'3. Consumption by Rate Class'!C103)</f>
        <v>2011-July</v>
      </c>
      <c r="C98" s="697">
        <v>16379523.159999998</v>
      </c>
      <c r="D98" s="703"/>
      <c r="E98" s="707"/>
      <c r="F98" s="707"/>
      <c r="G98" s="703"/>
      <c r="H98" s="704"/>
      <c r="I98" s="704"/>
      <c r="J98" s="263">
        <f t="shared" si="8"/>
        <v>16379523.159999998</v>
      </c>
      <c r="K98" s="725">
        <f>IF(K$18='5.Variables'!$B$16,+'5.Variables'!$I33,+IF(K$18='5.Variables'!$B$39,+'5.Variables'!$I56,+IF(K$18='5.Variables'!$B$62,+'5.Variables'!$I70,+IF(K$18='5.Variables'!$B$76,+'5.Variables'!$I84,+IF(K$18='5.Variables'!$B$90,+'5.Variables'!$I98,+IF(K$18='5.Variables'!$B$104,+'5.Variables'!$I112,0))))))</f>
        <v>0</v>
      </c>
      <c r="L98" s="725">
        <f>IF(L$18='5.Variables'!$B$16,+'5.Variables'!$I32,+IF(L$18='5.Variables'!$B$39,+'5.Variables'!$I56,+IF(L$18='5.Variables'!$B$62,+'5.Variables'!$I70,+IF(L$18='5.Variables'!$B$76,+'5.Variables'!$I84,+IF(L$18='5.Variables'!$B$90,+'5.Variables'!$I98,+IF(L$18='5.Variables'!$B$104,+'5.Variables'!$I112,0))))))</f>
        <v>137.5</v>
      </c>
      <c r="M98" s="725">
        <f>IF(M$18='5.Variables'!$B$16,+'5.Variables'!$I32,+IF(M$18='5.Variables'!$B$39,+'5.Variables'!$I56,+IF(M$18='5.Variables'!$B$62,+'5.Variables'!$I70,+IF(M$18='5.Variables'!$B$76,+'5.Variables'!$I84,+IF(M$18='5.Variables'!$B$90,+'5.Variables'!$I98,+IF(M$18='5.Variables'!$B$104,+'5.Variables'!$I112,0))))))</f>
        <v>0</v>
      </c>
      <c r="N98" s="725">
        <f>IF(N$18='5.Variables'!$B$16,+'5.Variables'!$I32,+IF(N$18='5.Variables'!$B$39,+'5.Variables'!$I56,+IF(N$18='5.Variables'!$B$62,+'5.Variables'!$I70,+IF(N$18='5.Variables'!$B$76,+'5.Variables'!$I84,+IF(N$18='5.Variables'!$B$90,+'5.Variables'!$I98,+IF(N$18='5.Variables'!$B$104,+'5.Variables'!$I112,0))))))</f>
        <v>1</v>
      </c>
      <c r="O98" s="725">
        <f>IF(O$18='5.Variables'!$B$16,+'5.Variables'!$I32,+IF(O$18='5.Variables'!$B$39,+'5.Variables'!$I56,+IF(O$18='5.Variables'!$B$62,+'5.Variables'!$I70,+IF(O$18='5.Variables'!$B$76,+'5.Variables'!$I84,+IF(O$18='5.Variables'!$B$90,+'5.Variables'!$I98,+IF(O$18='5.Variables'!$B$104,+'5.Variables'!$I112,0))))))</f>
        <v>31</v>
      </c>
      <c r="P98" s="725">
        <f>IF(P$18='5.Variables'!$B$16,+'5.Variables'!$I32,+IF(P$18='5.Variables'!$B$39,+'5.Variables'!$I56,+IF(P$18='5.Variables'!$B$62,+'5.Variables'!$I70,+IF(P$18='5.Variables'!$B$76,+'5.Variables'!$I84,+IF(P$18='5.Variables'!$B$90,+'5.Variables'!$I98,+IF(P$18='5.Variables'!$B$104,+'5.Variables'!$I112,0))))))</f>
        <v>0</v>
      </c>
      <c r="Q98" s="245"/>
      <c r="R98" s="558">
        <f t="shared" si="9"/>
        <v>16860012.21254921</v>
      </c>
      <c r="S98" s="265"/>
      <c r="T98" s="245"/>
      <c r="U98" s="245"/>
      <c r="V98" s="245"/>
      <c r="W98" s="245"/>
      <c r="X98" s="245"/>
      <c r="Y98" s="245"/>
      <c r="Z98" s="245"/>
      <c r="AA98" s="245"/>
      <c r="AB98" s="245"/>
      <c r="AC98" s="245"/>
      <c r="AD98" s="245"/>
      <c r="AE98" s="245"/>
      <c r="AF98" s="245"/>
      <c r="AG98" s="245"/>
      <c r="AH98" s="245"/>
      <c r="AI98" s="245"/>
      <c r="AJ98" s="245"/>
      <c r="AK98" s="245"/>
      <c r="AL98" s="245"/>
      <c r="AM98" s="245"/>
    </row>
    <row r="99" spans="1:39" x14ac:dyDescent="0.2">
      <c r="A99" s="503">
        <f t="shared" si="10"/>
        <v>80</v>
      </c>
      <c r="B99" s="262" t="str">
        <f>CONCATENATE('3. Consumption by Rate Class'!B104,"-",'3. Consumption by Rate Class'!C104)</f>
        <v>2011-August</v>
      </c>
      <c r="C99" s="697">
        <v>14663820.33</v>
      </c>
      <c r="D99" s="703"/>
      <c r="E99" s="707"/>
      <c r="F99" s="707"/>
      <c r="G99" s="703"/>
      <c r="H99" s="704"/>
      <c r="I99" s="704"/>
      <c r="J99" s="263">
        <f t="shared" si="8"/>
        <v>14663820.33</v>
      </c>
      <c r="K99" s="725">
        <f>IF(K$18='5.Variables'!$B$16,+'5.Variables'!$J33,+IF(K$18='5.Variables'!$B$39,+'5.Variables'!$J56,+IF(K$18='5.Variables'!$B$62,+'5.Variables'!$J70,+IF(K$18='5.Variables'!$B$76,+'5.Variables'!$J84,+IF(K$18='5.Variables'!$B$90,+'5.Variables'!$J98,+IF(K$18='5.Variables'!$B$104,+'5.Variables'!$J112,0))))))</f>
        <v>2.2999999999999998</v>
      </c>
      <c r="L99" s="725">
        <f>IF(L$18='5.Variables'!$B$16,+'5.Variables'!$J32,+IF(L$18='5.Variables'!$B$39,+'5.Variables'!$J56,+IF(L$18='5.Variables'!$B$62,+'5.Variables'!$J70,+IF(L$18='5.Variables'!$B$76,+'5.Variables'!$J84,+IF(L$18='5.Variables'!$B$90,+'5.Variables'!$J98,+IF(L$18='5.Variables'!$B$104,+'5.Variables'!$J112,0))))))</f>
        <v>82.3</v>
      </c>
      <c r="M99" s="725">
        <f>IF(M$18='5.Variables'!$B$16,+'5.Variables'!$J32,+IF(M$18='5.Variables'!$B$39,+'5.Variables'!$J56,+IF(M$18='5.Variables'!$B$62,+'5.Variables'!$J70,+IF(M$18='5.Variables'!$B$76,+'5.Variables'!$J84,+IF(M$18='5.Variables'!$B$90,+'5.Variables'!$J98,+IF(M$18='5.Variables'!$B$104,+'5.Variables'!$J112,0))))))</f>
        <v>0</v>
      </c>
      <c r="N99" s="725">
        <f>IF(N$18='5.Variables'!$B$16,+'5.Variables'!$J32,+IF(N$18='5.Variables'!$B$39,+'5.Variables'!$J56,+IF(N$18='5.Variables'!$B$62,+'5.Variables'!$J70,+IF(N$18='5.Variables'!$B$76,+'5.Variables'!$J84,+IF(N$18='5.Variables'!$B$90,+'5.Variables'!$J98,+IF(N$18='5.Variables'!$B$104,+'5.Variables'!$J112,0))))))</f>
        <v>0</v>
      </c>
      <c r="O99" s="725">
        <f>IF(O$18='5.Variables'!$B$16,+'5.Variables'!$J32,+IF(O$18='5.Variables'!$B$39,+'5.Variables'!$J56,+IF(O$18='5.Variables'!$B$62,+'5.Variables'!$J70,+IF(O$18='5.Variables'!$B$76,+'5.Variables'!$J84,+IF(O$18='5.Variables'!$B$90,+'5.Variables'!$J98,+IF(O$18='5.Variables'!$B$104,+'5.Variables'!$J112,0))))))</f>
        <v>31</v>
      </c>
      <c r="P99" s="725">
        <f>IF(P$18='5.Variables'!$B$16,+'5.Variables'!$J32,+IF(P$18='5.Variables'!$B$39,+'5.Variables'!$J56,+IF(P$18='5.Variables'!$B$62,+'5.Variables'!$J70,+IF(P$18='5.Variables'!$B$76,+'5.Variables'!$J84,+IF(P$18='5.Variables'!$B$90,+'5.Variables'!$J98,+IF(P$18='5.Variables'!$B$104,+'5.Variables'!$J112,0))))))</f>
        <v>0</v>
      </c>
      <c r="Q99" s="245"/>
      <c r="R99" s="558">
        <f t="shared" si="9"/>
        <v>15357478.963659357</v>
      </c>
      <c r="S99" s="265"/>
      <c r="T99" s="245"/>
      <c r="U99" s="245"/>
      <c r="V99" s="245"/>
      <c r="W99" s="245"/>
      <c r="X99" s="245"/>
      <c r="Y99" s="245"/>
      <c r="Z99" s="245"/>
      <c r="AA99" s="245"/>
      <c r="AB99" s="245"/>
      <c r="AC99" s="245"/>
      <c r="AD99" s="245"/>
      <c r="AE99" s="245"/>
      <c r="AF99" s="245"/>
      <c r="AG99" s="245"/>
      <c r="AH99" s="245"/>
      <c r="AI99" s="245"/>
      <c r="AJ99" s="245"/>
      <c r="AK99" s="245"/>
      <c r="AL99" s="245"/>
      <c r="AM99" s="245"/>
    </row>
    <row r="100" spans="1:39" x14ac:dyDescent="0.2">
      <c r="A100" s="503">
        <f t="shared" si="10"/>
        <v>81</v>
      </c>
      <c r="B100" s="262" t="str">
        <f>CONCATENATE('3. Consumption by Rate Class'!B105,"-",'3. Consumption by Rate Class'!C105)</f>
        <v>2011-September</v>
      </c>
      <c r="C100" s="697">
        <v>14622897.859999999</v>
      </c>
      <c r="D100" s="703"/>
      <c r="E100" s="707"/>
      <c r="F100" s="707"/>
      <c r="G100" s="703"/>
      <c r="H100" s="704"/>
      <c r="I100" s="704"/>
      <c r="J100" s="263">
        <f t="shared" si="8"/>
        <v>14622897.859999999</v>
      </c>
      <c r="K100" s="725">
        <f>IF(K$18='5.Variables'!$B$16,+'5.Variables'!$K33,+IF(K$18='5.Variables'!$B$39,+'5.Variables'!$K56,+IF(K$18='5.Variables'!$B$62,+'5.Variables'!$K70,+IF(K$18='5.Variables'!$B$76,+'5.Variables'!$K84,+IF(K$18='5.Variables'!$B$90,+'5.Variables'!$K98,+IF(K$18='5.Variables'!$B$104,+'5.Variables'!$K112,0))))))</f>
        <v>55.4</v>
      </c>
      <c r="L100" s="725">
        <f>IF(L$18='5.Variables'!$B$16,+'5.Variables'!$K32,+IF(L$18='5.Variables'!$B$39,+'5.Variables'!$K56,+IF(L$18='5.Variables'!$B$62,+'5.Variables'!$K70,+IF(L$18='5.Variables'!$B$76,+'5.Variables'!$K84,+IF(L$18='5.Variables'!$B$90,+'5.Variables'!$K98,+IF(L$18='5.Variables'!$B$104,+'5.Variables'!$K112,0))))))</f>
        <v>32.9</v>
      </c>
      <c r="M100" s="725">
        <f>IF(M$18='5.Variables'!$B$16,+'5.Variables'!$K32,+IF(M$18='5.Variables'!$B$39,+'5.Variables'!$K56,+IF(M$18='5.Variables'!$B$62,+'5.Variables'!$K70,+IF(M$18='5.Variables'!$B$76,+'5.Variables'!$K84,+IF(M$18='5.Variables'!$B$90,+'5.Variables'!$K98,+IF(M$18='5.Variables'!$B$104,+'5.Variables'!$K112,0))))))</f>
        <v>0</v>
      </c>
      <c r="N100" s="725">
        <f>IF(N$18='5.Variables'!$B$16,+'5.Variables'!$K32,+IF(N$18='5.Variables'!$B$39,+'5.Variables'!$K56,+IF(N$18='5.Variables'!$B$62,+'5.Variables'!$K70,+IF(N$18='5.Variables'!$B$76,+'5.Variables'!$K84,+IF(N$18='5.Variables'!$B$90,+'5.Variables'!$K98,+IF(N$18='5.Variables'!$B$104,+'5.Variables'!$K112,0))))))</f>
        <v>0</v>
      </c>
      <c r="O100" s="725">
        <f>IF(O$18='5.Variables'!$B$16,+'5.Variables'!$K32,+IF(O$18='5.Variables'!$B$39,+'5.Variables'!$K56,+IF(O$18='5.Variables'!$B$62,+'5.Variables'!$K70,+IF(O$18='5.Variables'!$B$76,+'5.Variables'!$K84,+IF(O$18='5.Variables'!$B$90,+'5.Variables'!$K98,+IF(O$18='5.Variables'!$B$104,+'5.Variables'!$K112,0))))))</f>
        <v>30</v>
      </c>
      <c r="P100" s="725">
        <f>IF(P$18='5.Variables'!$B$16,+'5.Variables'!$K32,+IF(P$18='5.Variables'!$B$39,+'5.Variables'!$K56,+IF(P$18='5.Variables'!$B$62,+'5.Variables'!$K70,+IF(P$18='5.Variables'!$B$76,+'5.Variables'!$K84,+IF(P$18='5.Variables'!$B$90,+'5.Variables'!$K98,+IF(P$18='5.Variables'!$B$104,+'5.Variables'!$K112,0))))))</f>
        <v>0</v>
      </c>
      <c r="Q100" s="245"/>
      <c r="R100" s="558">
        <f t="shared" si="9"/>
        <v>14377287.976660289</v>
      </c>
      <c r="S100" s="265"/>
      <c r="T100" s="245"/>
      <c r="U100" s="245"/>
      <c r="V100" s="245"/>
      <c r="W100" s="245"/>
      <c r="X100" s="245"/>
      <c r="Y100" s="245"/>
      <c r="Z100" s="245"/>
      <c r="AA100" s="245"/>
      <c r="AB100" s="245"/>
      <c r="AC100" s="245"/>
      <c r="AD100" s="245"/>
      <c r="AE100" s="245"/>
      <c r="AF100" s="245"/>
      <c r="AG100" s="245"/>
      <c r="AH100" s="245"/>
      <c r="AI100" s="245"/>
      <c r="AJ100" s="245"/>
      <c r="AK100" s="245"/>
      <c r="AL100" s="245"/>
      <c r="AM100" s="245"/>
    </row>
    <row r="101" spans="1:39" x14ac:dyDescent="0.2">
      <c r="A101" s="503">
        <f t="shared" si="10"/>
        <v>82</v>
      </c>
      <c r="B101" s="262" t="str">
        <f>CONCATENATE('3. Consumption by Rate Class'!B106,"-",'3. Consumption by Rate Class'!C106)</f>
        <v>2011-October</v>
      </c>
      <c r="C101" s="697">
        <v>14379977.777999999</v>
      </c>
      <c r="D101" s="703"/>
      <c r="E101" s="707"/>
      <c r="F101" s="707"/>
      <c r="G101" s="703"/>
      <c r="H101" s="704"/>
      <c r="I101" s="704"/>
      <c r="J101" s="263">
        <f t="shared" si="8"/>
        <v>14379977.777999999</v>
      </c>
      <c r="K101" s="725">
        <f>IF(K$18='5.Variables'!$B$16,+'5.Variables'!$L33,+IF(K$18='5.Variables'!$B$39,+'5.Variables'!$L56,+IF(K$18='5.Variables'!$B$62,+'5.Variables'!$L70,+IF(K$18='5.Variables'!$B$76,+'5.Variables'!$L84,+IF(K$18='5.Variables'!$B$90,+'5.Variables'!$L98,+IF(K$18='5.Variables'!$B$104,+'5.Variables'!$L112,0))))))</f>
        <v>259.10000000000002</v>
      </c>
      <c r="L101" s="725">
        <f>IF(L$18='5.Variables'!$B$16,+'5.Variables'!$L32,+IF(L$18='5.Variables'!$B$39,+'5.Variables'!$L56,+IF(L$18='5.Variables'!$B$62,+'5.Variables'!$L70,+IF(L$18='5.Variables'!$B$76,+'5.Variables'!$L84,+IF(L$18='5.Variables'!$B$90,+'5.Variables'!$L98,+IF(L$18='5.Variables'!$B$104,+'5.Variables'!$L112,0))))))</f>
        <v>1.4</v>
      </c>
      <c r="M101" s="725">
        <f>IF(M$18='5.Variables'!$B$16,+'5.Variables'!$L32,+IF(M$18='5.Variables'!$B$39,+'5.Variables'!$L56,+IF(M$18='5.Variables'!$B$62,+'5.Variables'!$L70,+IF(M$18='5.Variables'!$B$76,+'5.Variables'!$L84,+IF(M$18='5.Variables'!$B$90,+'5.Variables'!$L98,+IF(M$18='5.Variables'!$B$104,+'5.Variables'!$L112,0))))))</f>
        <v>0</v>
      </c>
      <c r="N101" s="725">
        <f>IF(N$18='5.Variables'!$B$16,+'5.Variables'!$L32,+IF(N$18='5.Variables'!$B$39,+'5.Variables'!$L56,+IF(N$18='5.Variables'!$B$62,+'5.Variables'!$L70,+IF(N$18='5.Variables'!$B$76,+'5.Variables'!$L84,+IF(N$18='5.Variables'!$B$90,+'5.Variables'!$L98,+IF(N$18='5.Variables'!$B$104,+'5.Variables'!$L112,0))))))</f>
        <v>0</v>
      </c>
      <c r="O101" s="725">
        <f>IF(O$18='5.Variables'!$B$16,+'5.Variables'!$L32,+IF(O$18='5.Variables'!$B$39,+'5.Variables'!$L56,+IF(O$18='5.Variables'!$B$62,+'5.Variables'!$L70,+IF(O$18='5.Variables'!$B$76,+'5.Variables'!$L84,+IF(O$18='5.Variables'!$B$90,+'5.Variables'!$L98,+IF(O$18='5.Variables'!$B$104,+'5.Variables'!$L112,0))))))</f>
        <v>31</v>
      </c>
      <c r="P101" s="725">
        <f>IF(P$18='5.Variables'!$B$16,+'5.Variables'!$L32,+IF(P$18='5.Variables'!$B$39,+'5.Variables'!$L56,+IF(P$18='5.Variables'!$B$62,+'5.Variables'!$L70,+IF(P$18='5.Variables'!$B$76,+'5.Variables'!$L84,+IF(P$18='5.Variables'!$B$90,+'5.Variables'!$L98,+IF(P$18='5.Variables'!$B$104,+'5.Variables'!$L112,0))))))</f>
        <v>0</v>
      </c>
      <c r="Q101" s="245"/>
      <c r="R101" s="558">
        <f t="shared" si="9"/>
        <v>14965029.38601676</v>
      </c>
      <c r="S101" s="265"/>
      <c r="T101" s="245"/>
      <c r="U101" s="245"/>
      <c r="V101" s="245"/>
      <c r="W101" s="245"/>
      <c r="X101" s="245"/>
      <c r="Y101" s="245"/>
      <c r="Z101" s="245"/>
      <c r="AA101" s="245"/>
      <c r="AB101" s="245"/>
      <c r="AC101" s="245"/>
      <c r="AD101" s="245"/>
      <c r="AE101" s="245"/>
      <c r="AF101" s="245"/>
      <c r="AG101" s="245"/>
      <c r="AH101" s="245"/>
      <c r="AI101" s="245"/>
      <c r="AJ101" s="245"/>
      <c r="AK101" s="245"/>
      <c r="AL101" s="245"/>
      <c r="AM101" s="245"/>
    </row>
    <row r="102" spans="1:39" x14ac:dyDescent="0.2">
      <c r="A102" s="503">
        <f t="shared" si="10"/>
        <v>83</v>
      </c>
      <c r="B102" s="262" t="str">
        <f>CONCATENATE('3. Consumption by Rate Class'!B107,"-",'3. Consumption by Rate Class'!C107)</f>
        <v>2011-November</v>
      </c>
      <c r="C102" s="697">
        <v>15622868.66</v>
      </c>
      <c r="D102" s="703"/>
      <c r="E102" s="707"/>
      <c r="F102" s="707"/>
      <c r="G102" s="703"/>
      <c r="H102" s="704"/>
      <c r="I102" s="704"/>
      <c r="J102" s="263">
        <f t="shared" si="8"/>
        <v>15622868.66</v>
      </c>
      <c r="K102" s="725">
        <f>IF(K$18='5.Variables'!$B$16,+'5.Variables'!$M33,+IF(K$18='5.Variables'!$B$39,+'5.Variables'!$M56,+IF(K$18='5.Variables'!$B$62,+'5.Variables'!$M70,+IF(K$18='5.Variables'!$B$76,+'5.Variables'!$M84,+IF(K$18='5.Variables'!$B$90,+'5.Variables'!$M98,+IF(K$18='5.Variables'!$B$104,+'5.Variables'!$M112,0))))))</f>
        <v>392.9</v>
      </c>
      <c r="L102" s="725">
        <f>IF(L$18='5.Variables'!$B$16,+'5.Variables'!$M32,+IF(L$18='5.Variables'!$B$39,+'5.Variables'!$M56,+IF(L$18='5.Variables'!$B$62,+'5.Variables'!$M70,+IF(L$18='5.Variables'!$B$76,+'5.Variables'!$M84,+IF(L$18='5.Variables'!$B$90,+'5.Variables'!$M98,+IF(L$18='5.Variables'!$B$104,+'5.Variables'!$M112,0))))))</f>
        <v>0</v>
      </c>
      <c r="M102" s="725">
        <f>IF(M$18='5.Variables'!$B$16,+'5.Variables'!$M32,+IF(M$18='5.Variables'!$B$39,+'5.Variables'!$M56,+IF(M$18='5.Variables'!$B$62,+'5.Variables'!$M70,+IF(M$18='5.Variables'!$B$76,+'5.Variables'!$M84,+IF(M$18='5.Variables'!$B$90,+'5.Variables'!$M98,+IF(M$18='5.Variables'!$B$104,+'5.Variables'!$M112,0))))))</f>
        <v>0</v>
      </c>
      <c r="N102" s="725">
        <f>IF(N$18='5.Variables'!$B$16,+'5.Variables'!$M32,+IF(N$18='5.Variables'!$B$39,+'5.Variables'!$M56,+IF(N$18='5.Variables'!$B$62,+'5.Variables'!$M70,+IF(N$18='5.Variables'!$B$76,+'5.Variables'!$M84,+IF(N$18='5.Variables'!$B$90,+'5.Variables'!$M98,+IF(N$18='5.Variables'!$B$104,+'5.Variables'!$M112,0))))))</f>
        <v>0</v>
      </c>
      <c r="O102" s="725">
        <f>IF(O$18='5.Variables'!$B$16,+'5.Variables'!$M32,+IF(O$18='5.Variables'!$B$39,+'5.Variables'!$M56,+IF(O$18='5.Variables'!$B$62,+'5.Variables'!$M70,+IF(O$18='5.Variables'!$B$76,+'5.Variables'!$M84,+IF(O$18='5.Variables'!$B$90,+'5.Variables'!$M98,+IF(O$18='5.Variables'!$B$104,+'5.Variables'!$M112,0))))))</f>
        <v>30</v>
      </c>
      <c r="P102" s="725">
        <f>IF(P$18='5.Variables'!$B$16,+'5.Variables'!$M32,+IF(P$18='5.Variables'!$B$39,+'5.Variables'!$M56,+IF(P$18='5.Variables'!$B$62,+'5.Variables'!$M70,+IF(P$18='5.Variables'!$B$76,+'5.Variables'!$M84,+IF(P$18='5.Variables'!$B$90,+'5.Variables'!$M98,+IF(P$18='5.Variables'!$B$104,+'5.Variables'!$M112,0))))))</f>
        <v>0</v>
      </c>
      <c r="Q102" s="245"/>
      <c r="R102" s="558">
        <f t="shared" si="9"/>
        <v>15881915.481835619</v>
      </c>
      <c r="S102" s="265"/>
      <c r="T102" s="245"/>
      <c r="U102" s="245"/>
      <c r="V102" s="245"/>
      <c r="W102" s="245"/>
      <c r="X102" s="245"/>
      <c r="Y102" s="245"/>
      <c r="Z102" s="245"/>
      <c r="AA102" s="245"/>
      <c r="AB102" s="245"/>
      <c r="AC102" s="245"/>
      <c r="AD102" s="245"/>
      <c r="AE102" s="245"/>
      <c r="AF102" s="245"/>
      <c r="AG102" s="245"/>
      <c r="AH102" s="245"/>
      <c r="AI102" s="245"/>
      <c r="AJ102" s="245"/>
      <c r="AK102" s="245"/>
      <c r="AL102" s="245"/>
      <c r="AM102" s="245"/>
    </row>
    <row r="103" spans="1:39" x14ac:dyDescent="0.2">
      <c r="A103" s="503">
        <f t="shared" si="10"/>
        <v>84</v>
      </c>
      <c r="B103" s="522" t="str">
        <f>CONCATENATE('3. Consumption by Rate Class'!B108,"-",'3. Consumption by Rate Class'!C108)</f>
        <v>2011-December</v>
      </c>
      <c r="C103" s="698">
        <v>20156456.619999997</v>
      </c>
      <c r="D103" s="705"/>
      <c r="E103" s="705"/>
      <c r="F103" s="705"/>
      <c r="G103" s="705"/>
      <c r="H103" s="706"/>
      <c r="I103" s="706"/>
      <c r="J103" s="263">
        <f t="shared" si="8"/>
        <v>20156456.619999997</v>
      </c>
      <c r="K103" s="725">
        <f>IF(K$18='5.Variables'!$B$16,+'5.Variables'!$N33,+IF(K$18='5.Variables'!$B$39,+'5.Variables'!$N56,+IF(K$18='5.Variables'!$B$62,+'5.Variables'!$N70,+IF(K$18='5.Variables'!$B$76,+'5.Variables'!$N84,+IF(K$18='5.Variables'!$B$90,+'5.Variables'!$N98,+IF(K$18='5.Variables'!$B$104,+'5.Variables'!$N112,0))))))</f>
        <v>256.39999999999998</v>
      </c>
      <c r="L103" s="725">
        <f>IF(L$18='5.Variables'!$B$16,+'5.Variables'!$N32,+IF(L$18='5.Variables'!$B$39,+'5.Variables'!$N56,+IF(L$18='5.Variables'!$B$62,+'5.Variables'!$N70,+IF(L$18='5.Variables'!$B$76,+'5.Variables'!$N84,+IF(L$18='5.Variables'!$B$90,+'5.Variables'!$N98,+IF(L$18='5.Variables'!$B$104,+'5.Variables'!$N112,0))))))</f>
        <v>0</v>
      </c>
      <c r="M103" s="725">
        <f>IF(M$18='5.Variables'!$B$16,+'5.Variables'!$N32,+IF(M$18='5.Variables'!$B$39,+'5.Variables'!$N56,+IF(M$18='5.Variables'!$B$62,+'5.Variables'!$N70,+IF(M$18='5.Variables'!$B$76,+'5.Variables'!$N84,+IF(M$18='5.Variables'!$B$90,+'5.Variables'!$N98,+IF(M$18='5.Variables'!$B$104,+'5.Variables'!$N112,0))))))</f>
        <v>1</v>
      </c>
      <c r="N103" s="725">
        <f>IF(N$18='5.Variables'!$B$16,+'5.Variables'!$N32,+IF(N$18='5.Variables'!$B$39,+'5.Variables'!$N56,+IF(N$18='5.Variables'!$B$62,+'5.Variables'!$N70,+IF(N$18='5.Variables'!$B$76,+'5.Variables'!$N84,+IF(N$18='5.Variables'!$B$90,+'5.Variables'!$N98,+IF(N$18='5.Variables'!$B$104,+'5.Variables'!$N112,0))))))</f>
        <v>1</v>
      </c>
      <c r="O103" s="725">
        <f>IF(O$18='5.Variables'!$B$16,+'5.Variables'!$N32,+IF(O$18='5.Variables'!$B$39,+'5.Variables'!$N56,+IF(O$18='5.Variables'!$B$62,+'5.Variables'!$N70,+IF(O$18='5.Variables'!$B$76,+'5.Variables'!$N84,+IF(O$18='5.Variables'!$B$90,+'5.Variables'!$N98,+IF(O$18='5.Variables'!$B$104,+'5.Variables'!$N112,0))))))</f>
        <v>31</v>
      </c>
      <c r="P103" s="725">
        <f>IF(P$18='5.Variables'!$B$16,+'5.Variables'!$N32,+IF(P$18='5.Variables'!$B$39,+'5.Variables'!$N56,+IF(P$18='5.Variables'!$B$62,+'5.Variables'!$N70,+IF(P$18='5.Variables'!$B$76,+'5.Variables'!$N84,+IF(P$18='5.Variables'!$B$90,+'5.Variables'!$N98,+IF(P$18='5.Variables'!$B$104,+'5.Variables'!$N112,0))))))</f>
        <v>0</v>
      </c>
      <c r="Q103" s="245"/>
      <c r="R103" s="558">
        <f t="shared" si="9"/>
        <v>16382173.765540767</v>
      </c>
      <c r="S103" s="265">
        <f>SUM(R92:R103)</f>
        <v>197051606.59096599</v>
      </c>
      <c r="T103" s="245"/>
      <c r="U103" s="245"/>
      <c r="V103" s="245"/>
      <c r="W103" s="245"/>
      <c r="X103" s="245"/>
      <c r="Y103" s="245"/>
      <c r="Z103" s="245"/>
      <c r="AA103" s="245"/>
      <c r="AB103" s="245"/>
      <c r="AC103" s="245"/>
      <c r="AD103" s="245"/>
      <c r="AE103" s="245"/>
      <c r="AF103" s="245"/>
      <c r="AG103" s="245"/>
      <c r="AH103" s="245"/>
      <c r="AI103" s="245"/>
      <c r="AJ103" s="245"/>
      <c r="AK103" s="245"/>
      <c r="AL103" s="245"/>
      <c r="AM103" s="245"/>
    </row>
    <row r="104" spans="1:39" x14ac:dyDescent="0.2">
      <c r="A104" s="503">
        <f t="shared" si="10"/>
        <v>85</v>
      </c>
      <c r="B104" s="262" t="str">
        <f>CONCATENATE('3. Consumption by Rate Class'!B109,"-",'3. Consumption by Rate Class'!C109)</f>
        <v>2012-January</v>
      </c>
      <c r="C104" s="697">
        <v>19353299.849999998</v>
      </c>
      <c r="D104" s="703"/>
      <c r="E104" s="707"/>
      <c r="F104" s="707"/>
      <c r="G104" s="703"/>
      <c r="H104" s="704"/>
      <c r="I104" s="704"/>
      <c r="J104" s="263">
        <f t="shared" si="8"/>
        <v>19353299.849999998</v>
      </c>
      <c r="K104" s="725">
        <f>IF(K$18='5.Variables'!$B$16,+'5.Variables'!$C34,+IF(K$18='5.Variables'!$B$39,+'5.Variables'!$C57,+IF(K$18='5.Variables'!$B$62,+'5.Variables'!$C71,+IF(K$18='5.Variables'!$B$76,+'5.Variables'!$C85,+IF(K$18='5.Variables'!$B$90,+'5.Variables'!$C99,+IF(K$18='5.Variables'!$B$104,+'5.Variables'!$C113,0))))))</f>
        <v>831</v>
      </c>
      <c r="L104" s="725">
        <f>IF(L$18='5.Variables'!$B$16,+'5.Variables'!$C33,+IF(L$18='5.Variables'!$B$39,+'5.Variables'!$C57,+IF(L$18='5.Variables'!$B$62,+'5.Variables'!$C71,+IF(L$18='5.Variables'!$B$76,+'5.Variables'!$C85,+IF(L$18='5.Variables'!$B$90,+'5.Variables'!$C99,+IF(L$18='5.Variables'!$B$104,+'5.Variables'!$C113,0))))))</f>
        <v>0</v>
      </c>
      <c r="M104" s="725">
        <f>IF(M$18='5.Variables'!$B$16,+'5.Variables'!$C33,+IF(M$18='5.Variables'!$B$39,+'5.Variables'!$C57,+IF(M$18='5.Variables'!$B$62,+'5.Variables'!$C71,+IF(M$18='5.Variables'!$B$76,+'5.Variables'!$C85,+IF(M$18='5.Variables'!$B$90,+'5.Variables'!$C99,+IF(M$18='5.Variables'!$B$104,+'5.Variables'!$C113,0))))))</f>
        <v>1</v>
      </c>
      <c r="N104" s="725">
        <f>IF(N$18='5.Variables'!$B$16,+'5.Variables'!$C33,+IF(N$18='5.Variables'!$B$39,+'5.Variables'!$C57,+IF(N$18='5.Variables'!$B$62,+'5.Variables'!$C71,+IF(N$18='5.Variables'!$B$76,+'5.Variables'!$C85,+IF(N$18='5.Variables'!$B$90,+'5.Variables'!$C99,+IF(N$18='5.Variables'!$B$104,+'5.Variables'!$C113,0))))))</f>
        <v>1</v>
      </c>
      <c r="O104" s="725">
        <f>IF(O$18='5.Variables'!$B$16,+'5.Variables'!$C33,+IF(O$18='5.Variables'!$B$39,+'5.Variables'!$C57,+IF(O$18='5.Variables'!$B$62,+'5.Variables'!$C71,+IF(O$18='5.Variables'!$B$76,+'5.Variables'!$C85,+IF(O$18='5.Variables'!$B$90,+'5.Variables'!$C99,+IF(O$18='5.Variables'!$B$104,+'5.Variables'!$C113,0))))))</f>
        <v>31</v>
      </c>
      <c r="P104" s="725">
        <f>IF(P$18='5.Variables'!$B$16,+'5.Variables'!$C33,+IF(P$18='5.Variables'!$B$39,+'5.Variables'!$C57,+IF(P$18='5.Variables'!$B$62,+'5.Variables'!$C71,+IF(P$18='5.Variables'!$B$76,+'5.Variables'!$C85,+IF(P$18='5.Variables'!$B$90,+'5.Variables'!$C99,+IF(P$18='5.Variables'!$B$104,+'5.Variables'!$C113,0))))))</f>
        <v>0</v>
      </c>
      <c r="Q104" s="245"/>
      <c r="R104" s="558">
        <f t="shared" si="9"/>
        <v>20485154.268596876</v>
      </c>
      <c r="S104" s="265"/>
      <c r="T104" s="245"/>
      <c r="U104" s="245"/>
      <c r="V104" s="245"/>
      <c r="W104" s="245"/>
      <c r="X104" s="245"/>
      <c r="Y104" s="245"/>
      <c r="Z104" s="245"/>
      <c r="AA104" s="245"/>
      <c r="AB104" s="245"/>
      <c r="AC104" s="245"/>
      <c r="AD104" s="245"/>
      <c r="AE104" s="245"/>
      <c r="AF104" s="245"/>
      <c r="AG104" s="245"/>
      <c r="AH104" s="245"/>
      <c r="AI104" s="245"/>
      <c r="AJ104" s="245"/>
      <c r="AK104" s="245"/>
      <c r="AL104" s="245"/>
      <c r="AM104" s="245"/>
    </row>
    <row r="105" spans="1:39" x14ac:dyDescent="0.2">
      <c r="A105" s="503">
        <f t="shared" si="10"/>
        <v>86</v>
      </c>
      <c r="B105" s="262" t="str">
        <f>CONCATENATE('3. Consumption by Rate Class'!B110,"-",'3. Consumption by Rate Class'!C110)</f>
        <v>2012-February</v>
      </c>
      <c r="C105" s="697">
        <v>18577263.48</v>
      </c>
      <c r="D105" s="703"/>
      <c r="E105" s="707"/>
      <c r="F105" s="707"/>
      <c r="G105" s="703"/>
      <c r="H105" s="704"/>
      <c r="I105" s="704"/>
      <c r="J105" s="263">
        <f t="shared" si="8"/>
        <v>18577263.48</v>
      </c>
      <c r="K105" s="725">
        <f>IF(K$18='5.Variables'!$B$16,+'5.Variables'!$D34,+IF(K$18='5.Variables'!$B$39,+'5.Variables'!$D57,+IF(K$18='5.Variables'!$B$62,+'5.Variables'!$D71,+IF(K$18='5.Variables'!$B$76,+'5.Variables'!$D85,+IF(K$18='5.Variables'!$B$90,+'5.Variables'!$D99,+IF(K$18='5.Variables'!$B$104,+'5.Variables'!$D113,0))))))</f>
        <v>671.4</v>
      </c>
      <c r="L105" s="725">
        <f>IF(L$18='5.Variables'!$B$16,+'5.Variables'!$D33,+IF(L$18='5.Variables'!$B$39,+'5.Variables'!$D57,+IF(L$18='5.Variables'!$B$62,+'5.Variables'!$D71,+IF(L$18='5.Variables'!$B$76,+'5.Variables'!$D85,+IF(L$18='5.Variables'!$B$90,+'5.Variables'!$D99,+IF(L$18='5.Variables'!$B$104,+'5.Variables'!$D113,0))))))</f>
        <v>0</v>
      </c>
      <c r="M105" s="725">
        <f>IF(M$18='5.Variables'!$B$16,+'5.Variables'!$D33,+IF(M$18='5.Variables'!$B$39,+'5.Variables'!$D57,+IF(M$18='5.Variables'!$B$62,+'5.Variables'!$D71,+IF(M$18='5.Variables'!$B$76,+'5.Variables'!$D85,+IF(M$18='5.Variables'!$B$90,+'5.Variables'!$D99,+IF(M$18='5.Variables'!$B$104,+'5.Variables'!$D113,0))))))</f>
        <v>1</v>
      </c>
      <c r="N105" s="725">
        <f>IF(N$18='5.Variables'!$B$16,+'5.Variables'!$D33,+IF(N$18='5.Variables'!$B$39,+'5.Variables'!$D57,+IF(N$18='5.Variables'!$B$62,+'5.Variables'!$D71,+IF(N$18='5.Variables'!$B$76,+'5.Variables'!$D85,+IF(N$18='5.Variables'!$B$90,+'5.Variables'!$D99,+IF(N$18='5.Variables'!$B$104,+'5.Variables'!$D113,0))))))</f>
        <v>0</v>
      </c>
      <c r="O105" s="725">
        <f>IF(O$18='5.Variables'!$B$16,+'5.Variables'!$D33,+IF(O$18='5.Variables'!$B$39,+'5.Variables'!$D57,+IF(O$18='5.Variables'!$B$62,+'5.Variables'!$D71,+IF(O$18='5.Variables'!$B$76,+'5.Variables'!$D85,+IF(O$18='5.Variables'!$B$90,+'5.Variables'!$D99,+IF(O$18='5.Variables'!$B$104,+'5.Variables'!$D113,0))))))</f>
        <v>29</v>
      </c>
      <c r="P105" s="725">
        <f>IF(P$18='5.Variables'!$B$16,+'5.Variables'!$D33,+IF(P$18='5.Variables'!$B$39,+'5.Variables'!$D57,+IF(P$18='5.Variables'!$B$62,+'5.Variables'!$D71,+IF(P$18='5.Variables'!$B$76,+'5.Variables'!$D85,+IF(P$18='5.Variables'!$B$90,+'5.Variables'!$D99,+IF(P$18='5.Variables'!$B$104,+'5.Variables'!$D113,0))))))</f>
        <v>0</v>
      </c>
      <c r="Q105" s="245"/>
      <c r="R105" s="558">
        <f t="shared" si="9"/>
        <v>19345516.802032739</v>
      </c>
      <c r="S105" s="265"/>
      <c r="T105" s="245"/>
      <c r="U105" s="245"/>
      <c r="V105" s="245"/>
      <c r="W105" s="245"/>
      <c r="X105" s="245"/>
      <c r="Y105" s="245"/>
      <c r="Z105" s="245"/>
      <c r="AA105" s="245"/>
      <c r="AB105" s="245"/>
      <c r="AC105" s="245"/>
      <c r="AD105" s="245"/>
      <c r="AE105" s="245"/>
      <c r="AF105" s="245"/>
      <c r="AG105" s="245"/>
      <c r="AH105" s="245"/>
      <c r="AI105" s="245"/>
      <c r="AJ105" s="245"/>
      <c r="AK105" s="245"/>
      <c r="AL105" s="245"/>
      <c r="AM105" s="245"/>
    </row>
    <row r="106" spans="1:39" x14ac:dyDescent="0.2">
      <c r="A106" s="503">
        <f t="shared" si="10"/>
        <v>87</v>
      </c>
      <c r="B106" s="262" t="str">
        <f>CONCATENATE('3. Consumption by Rate Class'!B111,"-",'3. Consumption by Rate Class'!C111)</f>
        <v>2012-March</v>
      </c>
      <c r="C106" s="697">
        <v>17771679.620000001</v>
      </c>
      <c r="D106" s="703"/>
      <c r="E106" s="707"/>
      <c r="F106" s="707"/>
      <c r="G106" s="703"/>
      <c r="H106" s="704"/>
      <c r="I106" s="704"/>
      <c r="J106" s="263">
        <f t="shared" si="8"/>
        <v>17771679.620000001</v>
      </c>
      <c r="K106" s="725">
        <f>IF(K$18='5.Variables'!$B$16,+'5.Variables'!$E34,+IF(K$18='5.Variables'!$B$39,+'5.Variables'!$E57,+IF(K$18='5.Variables'!$B$62,+'5.Variables'!$E71,+IF(K$18='5.Variables'!$B$76,+'5.Variables'!$E85,+IF(K$18='5.Variables'!$B$90,+'5.Variables'!$E99,+IF(K$18='5.Variables'!$B$104,+'5.Variables'!$E113,0))))))</f>
        <v>460.3</v>
      </c>
      <c r="L106" s="725">
        <f>IF(L$18='5.Variables'!$B$16,+'5.Variables'!$E33,+IF(L$18='5.Variables'!$B$39,+'5.Variables'!$E57,+IF(L$18='5.Variables'!$B$62,+'5.Variables'!$E71,+IF(L$18='5.Variables'!$B$76,+'5.Variables'!$E85,+IF(L$18='5.Variables'!$B$90,+'5.Variables'!$E99,+IF(L$18='5.Variables'!$B$104,+'5.Variables'!$E113,0))))))</f>
        <v>0</v>
      </c>
      <c r="M106" s="725">
        <f>IF(M$18='5.Variables'!$B$16,+'5.Variables'!$E33,+IF(M$18='5.Variables'!$B$39,+'5.Variables'!$E57,+IF(M$18='5.Variables'!$B$62,+'5.Variables'!$E71,+IF(M$18='5.Variables'!$B$76,+'5.Variables'!$E85,+IF(M$18='5.Variables'!$B$90,+'5.Variables'!$E99,+IF(M$18='5.Variables'!$B$104,+'5.Variables'!$E113,0))))))</f>
        <v>0</v>
      </c>
      <c r="N106" s="725">
        <f>IF(N$18='5.Variables'!$B$16,+'5.Variables'!$E33,+IF(N$18='5.Variables'!$B$39,+'5.Variables'!$E57,+IF(N$18='5.Variables'!$B$62,+'5.Variables'!$E71,+IF(N$18='5.Variables'!$B$76,+'5.Variables'!$E85,+IF(N$18='5.Variables'!$B$90,+'5.Variables'!$E99,+IF(N$18='5.Variables'!$B$104,+'5.Variables'!$E113,0))))))</f>
        <v>1</v>
      </c>
      <c r="O106" s="725">
        <f>IF(O$18='5.Variables'!$B$16,+'5.Variables'!$E33,+IF(O$18='5.Variables'!$B$39,+'5.Variables'!$E57,+IF(O$18='5.Variables'!$B$62,+'5.Variables'!$E71,+IF(O$18='5.Variables'!$B$76,+'5.Variables'!$E85,+IF(O$18='5.Variables'!$B$90,+'5.Variables'!$E99,+IF(O$18='5.Variables'!$B$104,+'5.Variables'!$E113,0))))))</f>
        <v>31</v>
      </c>
      <c r="P106" s="725">
        <f>IF(P$18='5.Variables'!$B$16,+'5.Variables'!$E33,+IF(P$18='5.Variables'!$B$39,+'5.Variables'!$E57,+IF(P$18='5.Variables'!$B$62,+'5.Variables'!$E71,+IF(P$18='5.Variables'!$B$76,+'5.Variables'!$E85,+IF(P$18='5.Variables'!$B$90,+'5.Variables'!$E99,+IF(P$18='5.Variables'!$B$104,+'5.Variables'!$E113,0))))))</f>
        <v>0</v>
      </c>
      <c r="Q106" s="245"/>
      <c r="R106" s="558">
        <f t="shared" si="9"/>
        <v>16363190.953304434</v>
      </c>
      <c r="S106" s="265"/>
      <c r="T106" s="245"/>
      <c r="U106" s="245"/>
      <c r="V106" s="245"/>
      <c r="W106" s="245"/>
      <c r="X106" s="245"/>
      <c r="Y106" s="245"/>
      <c r="Z106" s="245"/>
      <c r="AA106" s="245"/>
      <c r="AB106" s="245"/>
      <c r="AC106" s="245"/>
      <c r="AD106" s="245"/>
      <c r="AE106" s="245"/>
      <c r="AF106" s="245"/>
      <c r="AG106" s="245"/>
      <c r="AH106" s="245"/>
      <c r="AI106" s="245"/>
      <c r="AJ106" s="245"/>
      <c r="AK106" s="245"/>
      <c r="AL106" s="245"/>
      <c r="AM106" s="245"/>
    </row>
    <row r="107" spans="1:39" x14ac:dyDescent="0.2">
      <c r="A107" s="503">
        <f t="shared" si="10"/>
        <v>88</v>
      </c>
      <c r="B107" s="262" t="str">
        <f>CONCATENATE('3. Consumption by Rate Class'!B112,"-",'3. Consumption by Rate Class'!C112)</f>
        <v>2012-April</v>
      </c>
      <c r="C107" s="697">
        <v>14737358.42</v>
      </c>
      <c r="D107" s="703"/>
      <c r="E107" s="707"/>
      <c r="F107" s="707"/>
      <c r="G107" s="703"/>
      <c r="H107" s="704"/>
      <c r="I107" s="704"/>
      <c r="J107" s="263">
        <f t="shared" si="8"/>
        <v>14737358.42</v>
      </c>
      <c r="K107" s="725">
        <f>IF(K$18='5.Variables'!$B$16,+'5.Variables'!$F34,+IF(K$18='5.Variables'!$B$39,+'5.Variables'!$F57,+IF(K$18='5.Variables'!$B$62,+'5.Variables'!$F71,+IF(K$18='5.Variables'!$B$76,+'5.Variables'!$F85,+IF(K$18='5.Variables'!$B$90,+'5.Variables'!$F99,+IF(K$18='5.Variables'!$B$104,+'5.Variables'!$F113,0))))))</f>
        <v>363.3</v>
      </c>
      <c r="L107" s="725">
        <f>IF(L$18='5.Variables'!$B$16,+'5.Variables'!$F33,+IF(L$18='5.Variables'!$B$39,+'5.Variables'!$F57,+IF(L$18='5.Variables'!$B$62,+'5.Variables'!$F71,+IF(L$18='5.Variables'!$B$76,+'5.Variables'!$F85,+IF(L$18='5.Variables'!$B$90,+'5.Variables'!$F99,+IF(L$18='5.Variables'!$B$104,+'5.Variables'!$F113,0))))))</f>
        <v>3.2</v>
      </c>
      <c r="M107" s="725">
        <f>IF(M$18='5.Variables'!$B$16,+'5.Variables'!$F33,+IF(M$18='5.Variables'!$B$39,+'5.Variables'!$F57,+IF(M$18='5.Variables'!$B$62,+'5.Variables'!$F71,+IF(M$18='5.Variables'!$B$76,+'5.Variables'!$F85,+IF(M$18='5.Variables'!$B$90,+'5.Variables'!$F99,+IF(M$18='5.Variables'!$B$104,+'5.Variables'!$F113,0))))))</f>
        <v>0</v>
      </c>
      <c r="N107" s="725">
        <f>IF(N$18='5.Variables'!$B$16,+'5.Variables'!$F33,+IF(N$18='5.Variables'!$B$39,+'5.Variables'!$F57,+IF(N$18='5.Variables'!$B$62,+'5.Variables'!$F71,+IF(N$18='5.Variables'!$B$76,+'5.Variables'!$F85,+IF(N$18='5.Variables'!$B$90,+'5.Variables'!$F99,+IF(N$18='5.Variables'!$B$104,+'5.Variables'!$F113,0))))))</f>
        <v>0</v>
      </c>
      <c r="O107" s="725">
        <f>IF(O$18='5.Variables'!$B$16,+'5.Variables'!$F33,+IF(O$18='5.Variables'!$B$39,+'5.Variables'!$F57,+IF(O$18='5.Variables'!$B$62,+'5.Variables'!$F71,+IF(O$18='5.Variables'!$B$76,+'5.Variables'!$F85,+IF(O$18='5.Variables'!$B$90,+'5.Variables'!$F99,+IF(O$18='5.Variables'!$B$104,+'5.Variables'!$F113,0))))))</f>
        <v>30</v>
      </c>
      <c r="P107" s="725">
        <f>IF(P$18='5.Variables'!$B$16,+'5.Variables'!$F33,+IF(P$18='5.Variables'!$B$39,+'5.Variables'!$F57,+IF(P$18='5.Variables'!$B$62,+'5.Variables'!$F71,+IF(P$18='5.Variables'!$B$76,+'5.Variables'!$F85,+IF(P$18='5.Variables'!$B$90,+'5.Variables'!$F99,+IF(P$18='5.Variables'!$B$104,+'5.Variables'!$F113,0))))))</f>
        <v>0</v>
      </c>
      <c r="Q107" s="245"/>
      <c r="R107" s="558">
        <f t="shared" si="9"/>
        <v>15758609.602015877</v>
      </c>
      <c r="S107" s="265"/>
      <c r="T107" s="245"/>
      <c r="U107" s="245"/>
      <c r="V107" s="245"/>
      <c r="W107" s="245"/>
      <c r="X107" s="245"/>
      <c r="Y107" s="245"/>
      <c r="Z107" s="245"/>
      <c r="AA107" s="245"/>
      <c r="AB107" s="245"/>
      <c r="AC107" s="245"/>
      <c r="AD107" s="245"/>
      <c r="AE107" s="245"/>
      <c r="AF107" s="245"/>
      <c r="AG107" s="245"/>
      <c r="AH107" s="245"/>
      <c r="AI107" s="245"/>
      <c r="AJ107" s="245"/>
      <c r="AK107" s="245"/>
      <c r="AL107" s="245"/>
      <c r="AM107" s="245"/>
    </row>
    <row r="108" spans="1:39" x14ac:dyDescent="0.2">
      <c r="A108" s="503">
        <f t="shared" si="10"/>
        <v>89</v>
      </c>
      <c r="B108" s="262" t="str">
        <f>CONCATENATE('3. Consumption by Rate Class'!B113,"-",'3. Consumption by Rate Class'!C113)</f>
        <v>2012-May</v>
      </c>
      <c r="C108" s="697">
        <v>14470448.540000001</v>
      </c>
      <c r="D108" s="703"/>
      <c r="E108" s="707"/>
      <c r="F108" s="707"/>
      <c r="G108" s="703"/>
      <c r="H108" s="704"/>
      <c r="I108" s="704"/>
      <c r="J108" s="263">
        <f t="shared" si="8"/>
        <v>14470448.540000001</v>
      </c>
      <c r="K108" s="725">
        <f>IF(K$18='5.Variables'!$B$16,+'5.Variables'!$G34,+IF(K$18='5.Variables'!$B$39,+'5.Variables'!$G57,+IF(K$18='5.Variables'!$B$62,+'5.Variables'!$G71,+IF(K$18='5.Variables'!$B$76,+'5.Variables'!$G85,+IF(K$18='5.Variables'!$B$90,+'5.Variables'!$G99,+IF(K$18='5.Variables'!$B$104,+'5.Variables'!$G113,0))))))</f>
        <v>96</v>
      </c>
      <c r="L108" s="725">
        <f>IF(L$18='5.Variables'!$B$16,+'5.Variables'!$G33,+IF(L$18='5.Variables'!$B$39,+'5.Variables'!$G57,+IF(L$18='5.Variables'!$B$62,+'5.Variables'!$G71,+IF(L$18='5.Variables'!$B$76,+'5.Variables'!$G85,+IF(L$18='5.Variables'!$B$90,+'5.Variables'!$G99,+IF(L$18='5.Variables'!$B$104,+'5.Variables'!$G113,0))))))</f>
        <v>21</v>
      </c>
      <c r="M108" s="725">
        <f>IF(M$18='5.Variables'!$B$16,+'5.Variables'!$G33,+IF(M$18='5.Variables'!$B$39,+'5.Variables'!$G57,+IF(M$18='5.Variables'!$B$62,+'5.Variables'!$G71,+IF(M$18='5.Variables'!$B$76,+'5.Variables'!$G85,+IF(M$18='5.Variables'!$B$90,+'5.Variables'!$G99,+IF(M$18='5.Variables'!$B$104,+'5.Variables'!$G113,0))))))</f>
        <v>0</v>
      </c>
      <c r="N108" s="725">
        <f>IF(N$18='5.Variables'!$B$16,+'5.Variables'!$G33,+IF(N$18='5.Variables'!$B$39,+'5.Variables'!$G57,+IF(N$18='5.Variables'!$B$62,+'5.Variables'!$G71,+IF(N$18='5.Variables'!$B$76,+'5.Variables'!$G85,+IF(N$18='5.Variables'!$B$90,+'5.Variables'!$G99,+IF(N$18='5.Variables'!$B$104,+'5.Variables'!$G113,0))))))</f>
        <v>0</v>
      </c>
      <c r="O108" s="725">
        <f>IF(O$18='5.Variables'!$B$16,+'5.Variables'!$G33,+IF(O$18='5.Variables'!$B$39,+'5.Variables'!$G57,+IF(O$18='5.Variables'!$B$62,+'5.Variables'!$G71,+IF(O$18='5.Variables'!$B$76,+'5.Variables'!$G85,+IF(O$18='5.Variables'!$B$90,+'5.Variables'!$G99,+IF(O$18='5.Variables'!$B$104,+'5.Variables'!$G113,0))))))</f>
        <v>31</v>
      </c>
      <c r="P108" s="725">
        <f>IF(P$18='5.Variables'!$B$16,+'5.Variables'!$G33,+IF(P$18='5.Variables'!$B$39,+'5.Variables'!$G57,+IF(P$18='5.Variables'!$B$62,+'5.Variables'!$G71,+IF(P$18='5.Variables'!$B$76,+'5.Variables'!$G85,+IF(P$18='5.Variables'!$B$90,+'5.Variables'!$G99,+IF(P$18='5.Variables'!$B$104,+'5.Variables'!$G113,0))))))</f>
        <v>0</v>
      </c>
      <c r="Q108" s="245"/>
      <c r="R108" s="558">
        <f t="shared" si="9"/>
        <v>14339739.530588677</v>
      </c>
      <c r="S108" s="265"/>
      <c r="T108" s="245"/>
      <c r="U108" s="245"/>
      <c r="V108" s="245"/>
      <c r="W108" s="245"/>
      <c r="X108" s="245"/>
      <c r="Y108" s="245"/>
      <c r="Z108" s="245"/>
      <c r="AA108" s="245"/>
      <c r="AB108" s="245"/>
      <c r="AC108" s="245"/>
      <c r="AD108" s="245"/>
      <c r="AE108" s="245"/>
      <c r="AF108" s="245"/>
      <c r="AG108" s="245"/>
      <c r="AH108" s="245"/>
      <c r="AI108" s="245"/>
      <c r="AJ108" s="245"/>
      <c r="AK108" s="245"/>
      <c r="AL108" s="245"/>
      <c r="AM108" s="245"/>
    </row>
    <row r="109" spans="1:39" x14ac:dyDescent="0.2">
      <c r="A109" s="503">
        <f t="shared" si="10"/>
        <v>90</v>
      </c>
      <c r="B109" s="262" t="str">
        <f>CONCATENATE('3. Consumption by Rate Class'!B114,"-",'3. Consumption by Rate Class'!C114)</f>
        <v>2012-June</v>
      </c>
      <c r="C109" s="697">
        <v>15810906.49</v>
      </c>
      <c r="D109" s="703"/>
      <c r="E109" s="707"/>
      <c r="F109" s="707"/>
      <c r="G109" s="703"/>
      <c r="H109" s="704"/>
      <c r="I109" s="704"/>
      <c r="J109" s="263">
        <f t="shared" si="8"/>
        <v>15810906.49</v>
      </c>
      <c r="K109" s="725">
        <f>IF(K$18='5.Variables'!$B$16,+'5.Variables'!$H34,+IF(K$18='5.Variables'!$B$39,+'5.Variables'!$H57,+IF(K$18='5.Variables'!$B$62,+'5.Variables'!$H71,+IF(K$18='5.Variables'!$B$76,+'5.Variables'!$H85,+IF(K$18='5.Variables'!$B$90,+'5.Variables'!$H99,+IF(K$18='5.Variables'!$B$104,+'5.Variables'!$H113,0))))))</f>
        <v>31.4</v>
      </c>
      <c r="L109" s="725">
        <f>IF(L$18='5.Variables'!$B$16,+'5.Variables'!$H33,+IF(L$18='5.Variables'!$B$39,+'5.Variables'!$H57,+IF(L$18='5.Variables'!$B$62,+'5.Variables'!$H71,+IF(L$18='5.Variables'!$B$76,+'5.Variables'!$H85,+IF(L$18='5.Variables'!$B$90,+'5.Variables'!$H99,+IF(L$18='5.Variables'!$B$104,+'5.Variables'!$H113,0))))))</f>
        <v>70.400000000000006</v>
      </c>
      <c r="M109" s="725">
        <f>IF(M$18='5.Variables'!$B$16,+'5.Variables'!$H33,+IF(M$18='5.Variables'!$B$39,+'5.Variables'!$H57,+IF(M$18='5.Variables'!$B$62,+'5.Variables'!$H71,+IF(M$18='5.Variables'!$B$76,+'5.Variables'!$H85,+IF(M$18='5.Variables'!$B$90,+'5.Variables'!$H99,+IF(M$18='5.Variables'!$B$104,+'5.Variables'!$H113,0))))))</f>
        <v>0</v>
      </c>
      <c r="N109" s="725">
        <f>IF(N$18='5.Variables'!$B$16,+'5.Variables'!$H33,+IF(N$18='5.Variables'!$B$39,+'5.Variables'!$H57,+IF(N$18='5.Variables'!$B$62,+'5.Variables'!$H71,+IF(N$18='5.Variables'!$B$76,+'5.Variables'!$H85,+IF(N$18='5.Variables'!$B$90,+'5.Variables'!$H99,+IF(N$18='5.Variables'!$B$104,+'5.Variables'!$H113,0))))))</f>
        <v>0</v>
      </c>
      <c r="O109" s="725">
        <f>IF(O$18='5.Variables'!$B$16,+'5.Variables'!$H33,+IF(O$18='5.Variables'!$B$39,+'5.Variables'!$H57,+IF(O$18='5.Variables'!$B$62,+'5.Variables'!$H71,+IF(O$18='5.Variables'!$B$76,+'5.Variables'!$H85,+IF(O$18='5.Variables'!$B$90,+'5.Variables'!$H99,+IF(O$18='5.Variables'!$B$104,+'5.Variables'!$H113,0))))))</f>
        <v>30</v>
      </c>
      <c r="P109" s="725">
        <f>IF(P$18='5.Variables'!$B$16,+'5.Variables'!$H33,+IF(P$18='5.Variables'!$B$39,+'5.Variables'!$H57,+IF(P$18='5.Variables'!$B$62,+'5.Variables'!$H71,+IF(P$18='5.Variables'!$B$76,+'5.Variables'!$H85,+IF(P$18='5.Variables'!$B$90,+'5.Variables'!$H99,+IF(P$18='5.Variables'!$B$104,+'5.Variables'!$H113,0))))))</f>
        <v>0</v>
      </c>
      <c r="Q109" s="245"/>
      <c r="R109" s="558">
        <f t="shared" si="9"/>
        <v>15237813.782841586</v>
      </c>
      <c r="S109" s="265"/>
      <c r="T109" s="245"/>
      <c r="U109" s="245"/>
      <c r="V109" s="245"/>
      <c r="W109" s="245"/>
      <c r="X109" s="245"/>
      <c r="Y109" s="245"/>
      <c r="Z109" s="245"/>
      <c r="AA109" s="245"/>
      <c r="AB109" s="245"/>
      <c r="AC109" s="245"/>
      <c r="AD109" s="245"/>
      <c r="AE109" s="245"/>
      <c r="AF109" s="245"/>
      <c r="AG109" s="245"/>
      <c r="AH109" s="245"/>
      <c r="AI109" s="245"/>
      <c r="AJ109" s="245"/>
      <c r="AK109" s="245"/>
      <c r="AL109" s="245"/>
      <c r="AM109" s="245"/>
    </row>
    <row r="110" spans="1:39" x14ac:dyDescent="0.2">
      <c r="A110" s="503">
        <f t="shared" si="10"/>
        <v>91</v>
      </c>
      <c r="B110" s="262" t="str">
        <f>CONCATENATE('3. Consumption by Rate Class'!B115,"-",'3. Consumption by Rate Class'!C115)</f>
        <v>2012-July</v>
      </c>
      <c r="C110" s="697">
        <v>15758011.33</v>
      </c>
      <c r="D110" s="703"/>
      <c r="E110" s="707"/>
      <c r="F110" s="707"/>
      <c r="G110" s="703"/>
      <c r="H110" s="704"/>
      <c r="I110" s="704"/>
      <c r="J110" s="263">
        <f t="shared" si="8"/>
        <v>15758011.33</v>
      </c>
      <c r="K110" s="725">
        <f>IF(K$18='5.Variables'!$B$16,+'5.Variables'!$I34,+IF(K$18='5.Variables'!$B$39,+'5.Variables'!$I57,+IF(K$18='5.Variables'!$B$62,+'5.Variables'!$I71,+IF(K$18='5.Variables'!$B$76,+'5.Variables'!$I85,+IF(K$18='5.Variables'!$B$90,+'5.Variables'!$I99,+IF(K$18='5.Variables'!$B$104,+'5.Variables'!$I113,0))))))</f>
        <v>0</v>
      </c>
      <c r="L110" s="725">
        <f>IF(L$18='5.Variables'!$B$16,+'5.Variables'!$I33,+IF(L$18='5.Variables'!$B$39,+'5.Variables'!$I57,+IF(L$18='5.Variables'!$B$62,+'5.Variables'!$I71,+IF(L$18='5.Variables'!$B$76,+'5.Variables'!$I85,+IF(L$18='5.Variables'!$B$90,+'5.Variables'!$I99,+IF(L$18='5.Variables'!$B$104,+'5.Variables'!$I113,0))))))</f>
        <v>142.19999999999999</v>
      </c>
      <c r="M110" s="725">
        <f>IF(M$18='5.Variables'!$B$16,+'5.Variables'!$I33,+IF(M$18='5.Variables'!$B$39,+'5.Variables'!$I57,+IF(M$18='5.Variables'!$B$62,+'5.Variables'!$I71,+IF(M$18='5.Variables'!$B$76,+'5.Variables'!$I85,+IF(M$18='5.Variables'!$B$90,+'5.Variables'!$I99,+IF(M$18='5.Variables'!$B$104,+'5.Variables'!$I113,0))))))</f>
        <v>0</v>
      </c>
      <c r="N110" s="725">
        <f>IF(N$18='5.Variables'!$B$16,+'5.Variables'!$I33,+IF(N$18='5.Variables'!$B$39,+'5.Variables'!$I57,+IF(N$18='5.Variables'!$B$62,+'5.Variables'!$I71,+IF(N$18='5.Variables'!$B$76,+'5.Variables'!$I85,+IF(N$18='5.Variables'!$B$90,+'5.Variables'!$I99,+IF(N$18='5.Variables'!$B$104,+'5.Variables'!$I113,0))))))</f>
        <v>1</v>
      </c>
      <c r="O110" s="725">
        <f>IF(O$18='5.Variables'!$B$16,+'5.Variables'!$I33,+IF(O$18='5.Variables'!$B$39,+'5.Variables'!$I57,+IF(O$18='5.Variables'!$B$62,+'5.Variables'!$I71,+IF(O$18='5.Variables'!$B$76,+'5.Variables'!$I85,+IF(O$18='5.Variables'!$B$90,+'5.Variables'!$I99,+IF(O$18='5.Variables'!$B$104,+'5.Variables'!$I113,0))))))</f>
        <v>31</v>
      </c>
      <c r="P110" s="725">
        <f>IF(P$18='5.Variables'!$B$16,+'5.Variables'!$I33,+IF(P$18='5.Variables'!$B$39,+'5.Variables'!$I57,+IF(P$18='5.Variables'!$B$62,+'5.Variables'!$I71,+IF(P$18='5.Variables'!$B$76,+'5.Variables'!$I85,+IF(P$18='5.Variables'!$B$90,+'5.Variables'!$I99,+IF(P$18='5.Variables'!$B$104,+'5.Variables'!$I113,0))))))</f>
        <v>0</v>
      </c>
      <c r="Q110" s="245"/>
      <c r="R110" s="558">
        <f t="shared" si="9"/>
        <v>16989343.661832608</v>
      </c>
      <c r="S110" s="265"/>
      <c r="T110" s="245"/>
      <c r="U110" s="245"/>
      <c r="V110" s="245"/>
      <c r="W110" s="245"/>
      <c r="X110" s="245"/>
      <c r="Y110" s="245"/>
      <c r="Z110" s="245"/>
      <c r="AA110" s="245"/>
      <c r="AB110" s="245"/>
      <c r="AC110" s="245"/>
      <c r="AD110" s="245"/>
      <c r="AE110" s="245"/>
      <c r="AF110" s="245"/>
      <c r="AG110" s="245"/>
      <c r="AH110" s="245"/>
      <c r="AI110" s="245"/>
      <c r="AJ110" s="245"/>
      <c r="AK110" s="245"/>
      <c r="AL110" s="245"/>
      <c r="AM110" s="245"/>
    </row>
    <row r="111" spans="1:39" x14ac:dyDescent="0.2">
      <c r="A111" s="503">
        <f t="shared" si="10"/>
        <v>92</v>
      </c>
      <c r="B111" s="262" t="str">
        <f>CONCATENATE('3. Consumption by Rate Class'!B116,"-",'3. Consumption by Rate Class'!C116)</f>
        <v>2012-August</v>
      </c>
      <c r="C111" s="697">
        <v>16774606.08</v>
      </c>
      <c r="D111" s="703"/>
      <c r="E111" s="707"/>
      <c r="F111" s="707"/>
      <c r="G111" s="703"/>
      <c r="H111" s="704"/>
      <c r="I111" s="704"/>
      <c r="J111" s="263">
        <f t="shared" si="8"/>
        <v>16774606.08</v>
      </c>
      <c r="K111" s="725">
        <f>IF(K$18='5.Variables'!$B$16,+'5.Variables'!$J34,+IF(K$18='5.Variables'!$B$39,+'5.Variables'!$J57,+IF(K$18='5.Variables'!$B$62,+'5.Variables'!$J71,+IF(K$18='5.Variables'!$B$76,+'5.Variables'!$J85,+IF(K$18='5.Variables'!$B$90,+'5.Variables'!$J99,+IF(K$18='5.Variables'!$B$104,+'5.Variables'!$J113,0))))))</f>
        <v>8.4</v>
      </c>
      <c r="L111" s="725">
        <f>IF(L$18='5.Variables'!$B$16,+'5.Variables'!$J33,+IF(L$18='5.Variables'!$B$39,+'5.Variables'!$J57,+IF(L$18='5.Variables'!$B$62,+'5.Variables'!$J71,+IF(L$18='5.Variables'!$B$76,+'5.Variables'!$J85,+IF(L$18='5.Variables'!$B$90,+'5.Variables'!$J99,+IF(L$18='5.Variables'!$B$104,+'5.Variables'!$J113,0))))))</f>
        <v>97.6</v>
      </c>
      <c r="M111" s="725">
        <f>IF(M$18='5.Variables'!$B$16,+'5.Variables'!$J33,+IF(M$18='5.Variables'!$B$39,+'5.Variables'!$J57,+IF(M$18='5.Variables'!$B$62,+'5.Variables'!$J71,+IF(M$18='5.Variables'!$B$76,+'5.Variables'!$J85,+IF(M$18='5.Variables'!$B$90,+'5.Variables'!$J99,+IF(M$18='5.Variables'!$B$104,+'5.Variables'!$J113,0))))))</f>
        <v>0</v>
      </c>
      <c r="N111" s="725">
        <f>IF(N$18='5.Variables'!$B$16,+'5.Variables'!$J33,+IF(N$18='5.Variables'!$B$39,+'5.Variables'!$J57,+IF(N$18='5.Variables'!$B$62,+'5.Variables'!$J71,+IF(N$18='5.Variables'!$B$76,+'5.Variables'!$J85,+IF(N$18='5.Variables'!$B$90,+'5.Variables'!$J99,+IF(N$18='5.Variables'!$B$104,+'5.Variables'!$J113,0))))))</f>
        <v>0</v>
      </c>
      <c r="O111" s="725">
        <f>IF(O$18='5.Variables'!$B$16,+'5.Variables'!$J33,+IF(O$18='5.Variables'!$B$39,+'5.Variables'!$J57,+IF(O$18='5.Variables'!$B$62,+'5.Variables'!$J71,+IF(O$18='5.Variables'!$B$76,+'5.Variables'!$J85,+IF(O$18='5.Variables'!$B$90,+'5.Variables'!$J99,+IF(O$18='5.Variables'!$B$104,+'5.Variables'!$J113,0))))))</f>
        <v>31</v>
      </c>
      <c r="P111" s="725">
        <f>IF(P$18='5.Variables'!$B$16,+'5.Variables'!$J33,+IF(P$18='5.Variables'!$B$39,+'5.Variables'!$J57,+IF(P$18='5.Variables'!$B$62,+'5.Variables'!$J71,+IF(P$18='5.Variables'!$B$76,+'5.Variables'!$J85,+IF(P$18='5.Variables'!$B$90,+'5.Variables'!$J99,+IF(P$18='5.Variables'!$B$104,+'5.Variables'!$J113,0))))))</f>
        <v>0</v>
      </c>
      <c r="Q111" s="245"/>
      <c r="R111" s="558">
        <f t="shared" si="9"/>
        <v>15822051.679414894</v>
      </c>
      <c r="S111" s="265"/>
      <c r="T111" s="245"/>
      <c r="U111" s="245"/>
      <c r="V111" s="245"/>
      <c r="W111" s="245"/>
      <c r="X111" s="245"/>
      <c r="Y111" s="245"/>
      <c r="Z111" s="245"/>
      <c r="AA111" s="245"/>
      <c r="AB111" s="245"/>
      <c r="AC111" s="245"/>
      <c r="AD111" s="245"/>
      <c r="AE111" s="245"/>
      <c r="AF111" s="245"/>
      <c r="AG111" s="245"/>
      <c r="AH111" s="245"/>
      <c r="AI111" s="245"/>
      <c r="AJ111" s="245"/>
      <c r="AK111" s="245"/>
      <c r="AL111" s="245"/>
      <c r="AM111" s="245"/>
    </row>
    <row r="112" spans="1:39" x14ac:dyDescent="0.2">
      <c r="A112" s="503">
        <f t="shared" si="10"/>
        <v>93</v>
      </c>
      <c r="B112" s="262" t="str">
        <f>CONCATENATE('3. Consumption by Rate Class'!B117,"-",'3. Consumption by Rate Class'!C117)</f>
        <v>2012-September</v>
      </c>
      <c r="C112" s="697">
        <v>13197164.210000001</v>
      </c>
      <c r="D112" s="703"/>
      <c r="E112" s="707"/>
      <c r="F112" s="707"/>
      <c r="G112" s="703"/>
      <c r="H112" s="704"/>
      <c r="I112" s="704"/>
      <c r="J112" s="263">
        <f t="shared" si="8"/>
        <v>13197164.210000001</v>
      </c>
      <c r="K112" s="725">
        <f>IF(K$18='5.Variables'!$B$16,+'5.Variables'!$K34,+IF(K$18='5.Variables'!$B$39,+'5.Variables'!$K57,+IF(K$18='5.Variables'!$B$62,+'5.Variables'!$K71,+IF(K$18='5.Variables'!$B$76,+'5.Variables'!$K85,+IF(K$18='5.Variables'!$B$90,+'5.Variables'!$K99,+IF(K$18='5.Variables'!$B$104,+'5.Variables'!$K113,0))))))</f>
        <v>127.3</v>
      </c>
      <c r="L112" s="725">
        <f>IF(L$18='5.Variables'!$B$16,+'5.Variables'!$K33,+IF(L$18='5.Variables'!$B$39,+'5.Variables'!$K57,+IF(L$18='5.Variables'!$B$62,+'5.Variables'!$K71,+IF(L$18='5.Variables'!$B$76,+'5.Variables'!$K85,+IF(L$18='5.Variables'!$B$90,+'5.Variables'!$K99,+IF(L$18='5.Variables'!$B$104,+'5.Variables'!$K113,0))))))</f>
        <v>20.6</v>
      </c>
      <c r="M112" s="725">
        <f>IF(M$18='5.Variables'!$B$16,+'5.Variables'!$K33,+IF(M$18='5.Variables'!$B$39,+'5.Variables'!$K57,+IF(M$18='5.Variables'!$B$62,+'5.Variables'!$K71,+IF(M$18='5.Variables'!$B$76,+'5.Variables'!$K85,+IF(M$18='5.Variables'!$B$90,+'5.Variables'!$K99,+IF(M$18='5.Variables'!$B$104,+'5.Variables'!$K113,0))))))</f>
        <v>0</v>
      </c>
      <c r="N112" s="725">
        <f>IF(N$18='5.Variables'!$B$16,+'5.Variables'!$K33,+IF(N$18='5.Variables'!$B$39,+'5.Variables'!$K57,+IF(N$18='5.Variables'!$B$62,+'5.Variables'!$K71,+IF(N$18='5.Variables'!$B$76,+'5.Variables'!$K85,+IF(N$18='5.Variables'!$B$90,+'5.Variables'!$K99,+IF(N$18='5.Variables'!$B$104,+'5.Variables'!$K113,0))))))</f>
        <v>0</v>
      </c>
      <c r="O112" s="725">
        <f>IF(O$18='5.Variables'!$B$16,+'5.Variables'!$K33,+IF(O$18='5.Variables'!$B$39,+'5.Variables'!$K57,+IF(O$18='5.Variables'!$B$62,+'5.Variables'!$K71,+IF(O$18='5.Variables'!$B$76,+'5.Variables'!$K85,+IF(O$18='5.Variables'!$B$90,+'5.Variables'!$K99,+IF(O$18='5.Variables'!$B$104,+'5.Variables'!$K113,0))))))</f>
        <v>30</v>
      </c>
      <c r="P112" s="725">
        <f>IF(P$18='5.Variables'!$B$16,+'5.Variables'!$K33,+IF(P$18='5.Variables'!$B$39,+'5.Variables'!$K57,+IF(P$18='5.Variables'!$B$62,+'5.Variables'!$K71,+IF(P$18='5.Variables'!$B$76,+'5.Variables'!$K85,+IF(P$18='5.Variables'!$B$90,+'5.Variables'!$K99,+IF(P$18='5.Variables'!$B$104,+'5.Variables'!$K113,0))))))</f>
        <v>0</v>
      </c>
      <c r="Q112" s="245"/>
      <c r="R112" s="558">
        <f t="shared" si="9"/>
        <v>14552232.928956937</v>
      </c>
      <c r="S112" s="265"/>
      <c r="T112" s="245"/>
      <c r="U112" s="245"/>
      <c r="V112" s="245"/>
      <c r="W112" s="245"/>
      <c r="X112" s="245"/>
      <c r="Y112" s="245"/>
      <c r="Z112" s="245"/>
      <c r="AA112" s="245"/>
      <c r="AB112" s="245"/>
      <c r="AC112" s="245"/>
      <c r="AD112" s="245"/>
      <c r="AE112" s="245"/>
      <c r="AF112" s="245"/>
      <c r="AG112" s="245"/>
      <c r="AH112" s="245"/>
      <c r="AI112" s="245"/>
      <c r="AJ112" s="245"/>
      <c r="AK112" s="245"/>
      <c r="AL112" s="245"/>
      <c r="AM112" s="245"/>
    </row>
    <row r="113" spans="1:39" x14ac:dyDescent="0.2">
      <c r="A113" s="503">
        <f t="shared" si="10"/>
        <v>94</v>
      </c>
      <c r="B113" s="262" t="str">
        <f>CONCATENATE('3. Consumption by Rate Class'!B118,"-",'3. Consumption by Rate Class'!C118)</f>
        <v>2012-October</v>
      </c>
      <c r="C113" s="697">
        <v>13562663.460000001</v>
      </c>
      <c r="D113" s="703"/>
      <c r="E113" s="707"/>
      <c r="F113" s="707"/>
      <c r="G113" s="703"/>
      <c r="H113" s="704"/>
      <c r="I113" s="704"/>
      <c r="J113" s="263">
        <f t="shared" si="8"/>
        <v>13562663.460000001</v>
      </c>
      <c r="K113" s="725">
        <f>IF(K$18='5.Variables'!$B$16,+'5.Variables'!$L34,+IF(K$18='5.Variables'!$B$39,+'5.Variables'!$L57,+IF(K$18='5.Variables'!$B$62,+'5.Variables'!$L71,+IF(K$18='5.Variables'!$B$76,+'5.Variables'!$L85,+IF(K$18='5.Variables'!$B$90,+'5.Variables'!$L99,+IF(K$18='5.Variables'!$B$104,+'5.Variables'!$L113,0))))))</f>
        <v>243.1</v>
      </c>
      <c r="L113" s="725">
        <f>IF(L$18='5.Variables'!$B$16,+'5.Variables'!$L33,+IF(L$18='5.Variables'!$B$39,+'5.Variables'!$L57,+IF(L$18='5.Variables'!$B$62,+'5.Variables'!$L71,+IF(L$18='5.Variables'!$B$76,+'5.Variables'!$L85,+IF(L$18='5.Variables'!$B$90,+'5.Variables'!$L99,+IF(L$18='5.Variables'!$B$104,+'5.Variables'!$L113,0))))))</f>
        <v>0</v>
      </c>
      <c r="M113" s="725">
        <f>IF(M$18='5.Variables'!$B$16,+'5.Variables'!$L33,+IF(M$18='5.Variables'!$B$39,+'5.Variables'!$L57,+IF(M$18='5.Variables'!$B$62,+'5.Variables'!$L71,+IF(M$18='5.Variables'!$B$76,+'5.Variables'!$L85,+IF(M$18='5.Variables'!$B$90,+'5.Variables'!$L99,+IF(M$18='5.Variables'!$B$104,+'5.Variables'!$L113,0))))))</f>
        <v>0</v>
      </c>
      <c r="N113" s="725">
        <f>IF(N$18='5.Variables'!$B$16,+'5.Variables'!$L33,+IF(N$18='5.Variables'!$B$39,+'5.Variables'!$L57,+IF(N$18='5.Variables'!$B$62,+'5.Variables'!$L71,+IF(N$18='5.Variables'!$B$76,+'5.Variables'!$L85,+IF(N$18='5.Variables'!$B$90,+'5.Variables'!$L99,+IF(N$18='5.Variables'!$B$104,+'5.Variables'!$L113,0))))))</f>
        <v>0</v>
      </c>
      <c r="O113" s="725">
        <f>IF(O$18='5.Variables'!$B$16,+'5.Variables'!$L33,+IF(O$18='5.Variables'!$B$39,+'5.Variables'!$L57,+IF(O$18='5.Variables'!$B$62,+'5.Variables'!$L71,+IF(O$18='5.Variables'!$B$76,+'5.Variables'!$L85,+IF(O$18='5.Variables'!$B$90,+'5.Variables'!$L99,+IF(O$18='5.Variables'!$B$104,+'5.Variables'!$L113,0))))))</f>
        <v>31</v>
      </c>
      <c r="P113" s="725">
        <f>IF(P$18='5.Variables'!$B$16,+'5.Variables'!$L33,+IF(P$18='5.Variables'!$B$39,+'5.Variables'!$L57,+IF(P$18='5.Variables'!$B$62,+'5.Variables'!$L71,+IF(P$18='5.Variables'!$B$76,+'5.Variables'!$L85,+IF(P$18='5.Variables'!$B$90,+'5.Variables'!$L99,+IF(P$18='5.Variables'!$B$104,+'5.Variables'!$L113,0))))))</f>
        <v>0</v>
      </c>
      <c r="Q113" s="245"/>
      <c r="R113" s="558">
        <f t="shared" si="9"/>
        <v>14812255.754446469</v>
      </c>
      <c r="S113" s="265"/>
      <c r="T113" s="245"/>
      <c r="U113" s="245"/>
      <c r="V113" s="245"/>
      <c r="W113" s="245"/>
      <c r="X113" s="245"/>
      <c r="Y113" s="245"/>
      <c r="Z113" s="245"/>
      <c r="AA113" s="245"/>
      <c r="AB113" s="245"/>
      <c r="AC113" s="245"/>
      <c r="AD113" s="245"/>
      <c r="AE113" s="245"/>
      <c r="AF113" s="245"/>
      <c r="AG113" s="245"/>
      <c r="AH113" s="245"/>
      <c r="AI113" s="245"/>
      <c r="AJ113" s="245"/>
      <c r="AK113" s="245"/>
      <c r="AL113" s="245"/>
      <c r="AM113" s="245"/>
    </row>
    <row r="114" spans="1:39" x14ac:dyDescent="0.2">
      <c r="A114" s="503">
        <f t="shared" si="10"/>
        <v>95</v>
      </c>
      <c r="B114" s="262" t="str">
        <f>CONCATENATE('3. Consumption by Rate Class'!B119,"-",'3. Consumption by Rate Class'!C119)</f>
        <v>2012-November</v>
      </c>
      <c r="C114" s="697">
        <v>16710915.369999999</v>
      </c>
      <c r="D114" s="703"/>
      <c r="E114" s="707"/>
      <c r="F114" s="707"/>
      <c r="G114" s="703"/>
      <c r="H114" s="704"/>
      <c r="I114" s="704"/>
      <c r="J114" s="263">
        <f t="shared" si="8"/>
        <v>16710915.369999999</v>
      </c>
      <c r="K114" s="725">
        <f>IF(K$18='5.Variables'!$B$16,+'5.Variables'!$M34,+IF(K$18='5.Variables'!$B$39,+'5.Variables'!$M57,+IF(K$18='5.Variables'!$B$62,+'5.Variables'!$M71,+IF(K$18='5.Variables'!$B$76,+'5.Variables'!$M85,+IF(K$18='5.Variables'!$B$90,+'5.Variables'!$M99,+IF(K$18='5.Variables'!$B$104,+'5.Variables'!$M113,0))))))</f>
        <v>541.70000000000005</v>
      </c>
      <c r="L114" s="725">
        <f>IF(L$18='5.Variables'!$B$16,+'5.Variables'!$M33,+IF(L$18='5.Variables'!$B$39,+'5.Variables'!$M57,+IF(L$18='5.Variables'!$B$62,+'5.Variables'!$M71,+IF(L$18='5.Variables'!$B$76,+'5.Variables'!$M85,+IF(L$18='5.Variables'!$B$90,+'5.Variables'!$M99,+IF(L$18='5.Variables'!$B$104,+'5.Variables'!$M113,0))))))</f>
        <v>0</v>
      </c>
      <c r="M114" s="725">
        <f>IF(M$18='5.Variables'!$B$16,+'5.Variables'!$M33,+IF(M$18='5.Variables'!$B$39,+'5.Variables'!$M57,+IF(M$18='5.Variables'!$B$62,+'5.Variables'!$M71,+IF(M$18='5.Variables'!$B$76,+'5.Variables'!$M85,+IF(M$18='5.Variables'!$B$90,+'5.Variables'!$M99,+IF(M$18='5.Variables'!$B$104,+'5.Variables'!$M113,0))))))</f>
        <v>0</v>
      </c>
      <c r="N114" s="725">
        <f>IF(N$18='5.Variables'!$B$16,+'5.Variables'!$M33,+IF(N$18='5.Variables'!$B$39,+'5.Variables'!$M57,+IF(N$18='5.Variables'!$B$62,+'5.Variables'!$M71,+IF(N$18='5.Variables'!$B$76,+'5.Variables'!$M85,+IF(N$18='5.Variables'!$B$90,+'5.Variables'!$M99,+IF(N$18='5.Variables'!$B$104,+'5.Variables'!$M113,0))))))</f>
        <v>0</v>
      </c>
      <c r="O114" s="725">
        <f>IF(O$18='5.Variables'!$B$16,+'5.Variables'!$M33,+IF(O$18='5.Variables'!$B$39,+'5.Variables'!$M57,+IF(O$18='5.Variables'!$B$62,+'5.Variables'!$M71,+IF(O$18='5.Variables'!$B$76,+'5.Variables'!$M85,+IF(O$18='5.Variables'!$B$90,+'5.Variables'!$M99,+IF(O$18='5.Variables'!$B$104,+'5.Variables'!$M113,0))))))</f>
        <v>30</v>
      </c>
      <c r="P114" s="725">
        <f>IF(P$18='5.Variables'!$B$16,+'5.Variables'!$M33,+IF(P$18='5.Variables'!$B$39,+'5.Variables'!$M57,+IF(P$18='5.Variables'!$B$62,+'5.Variables'!$M71,+IF(P$18='5.Variables'!$B$76,+'5.Variables'!$M85,+IF(P$18='5.Variables'!$B$90,+'5.Variables'!$M99,+IF(P$18='5.Variables'!$B$104,+'5.Variables'!$M113,0))))))</f>
        <v>0</v>
      </c>
      <c r="Q114" s="245"/>
      <c r="R114" s="558">
        <f t="shared" si="9"/>
        <v>16944434.623594668</v>
      </c>
      <c r="S114" s="265"/>
      <c r="T114" s="245"/>
      <c r="U114" s="245"/>
      <c r="V114" s="245"/>
      <c r="W114" s="245"/>
      <c r="X114" s="245"/>
      <c r="Y114" s="245"/>
      <c r="Z114" s="245"/>
      <c r="AA114" s="245"/>
      <c r="AB114" s="245"/>
      <c r="AC114" s="245"/>
      <c r="AD114" s="245"/>
      <c r="AE114" s="245"/>
      <c r="AF114" s="245"/>
      <c r="AG114" s="245"/>
      <c r="AH114" s="245"/>
      <c r="AI114" s="245"/>
      <c r="AJ114" s="245"/>
      <c r="AK114" s="245"/>
      <c r="AL114" s="245"/>
      <c r="AM114" s="245"/>
    </row>
    <row r="115" spans="1:39" x14ac:dyDescent="0.2">
      <c r="A115" s="503">
        <f t="shared" si="10"/>
        <v>96</v>
      </c>
      <c r="B115" s="522" t="str">
        <f>CONCATENATE('3. Consumption by Rate Class'!B120,"-",'3. Consumption by Rate Class'!C120)</f>
        <v>2012-December</v>
      </c>
      <c r="C115" s="698">
        <v>18046844.399999999</v>
      </c>
      <c r="D115" s="705"/>
      <c r="E115" s="705"/>
      <c r="F115" s="705"/>
      <c r="G115" s="705"/>
      <c r="H115" s="706"/>
      <c r="I115" s="706"/>
      <c r="J115" s="263">
        <f t="shared" si="8"/>
        <v>18046844.399999999</v>
      </c>
      <c r="K115" s="725">
        <f>IF(K$18='5.Variables'!$B$16,+'5.Variables'!$N34,+IF(K$18='5.Variables'!$B$39,+'5.Variables'!$N57,+IF(K$18='5.Variables'!$B$62,+'5.Variables'!$N71,+IF(K$18='5.Variables'!$B$76,+'5.Variables'!$N85,+IF(K$18='5.Variables'!$B$90,+'5.Variables'!$N99,+IF(K$18='5.Variables'!$B$104,+'5.Variables'!$N113,0))))))</f>
        <v>680.6</v>
      </c>
      <c r="L115" s="725">
        <f>IF(L$18='5.Variables'!$B$16,+'5.Variables'!$N33,+IF(L$18='5.Variables'!$B$39,+'5.Variables'!$N57,+IF(L$18='5.Variables'!$B$62,+'5.Variables'!$N71,+IF(L$18='5.Variables'!$B$76,+'5.Variables'!$N85,+IF(L$18='5.Variables'!$B$90,+'5.Variables'!$N99,+IF(L$18='5.Variables'!$B$104,+'5.Variables'!$N113,0))))))</f>
        <v>0</v>
      </c>
      <c r="M115" s="725">
        <f>IF(M$18='5.Variables'!$B$16,+'5.Variables'!$N33,+IF(M$18='5.Variables'!$B$39,+'5.Variables'!$N57,+IF(M$18='5.Variables'!$B$62,+'5.Variables'!$N71,+IF(M$18='5.Variables'!$B$76,+'5.Variables'!$N85,+IF(M$18='5.Variables'!$B$90,+'5.Variables'!$N99,+IF(M$18='5.Variables'!$B$104,+'5.Variables'!$N113,0))))))</f>
        <v>1</v>
      </c>
      <c r="N115" s="725">
        <f>IF(N$18='5.Variables'!$B$16,+'5.Variables'!$N33,+IF(N$18='5.Variables'!$B$39,+'5.Variables'!$N57,+IF(N$18='5.Variables'!$B$62,+'5.Variables'!$N71,+IF(N$18='5.Variables'!$B$76,+'5.Variables'!$N85,+IF(N$18='5.Variables'!$B$90,+'5.Variables'!$N99,+IF(N$18='5.Variables'!$B$104,+'5.Variables'!$N113,0))))))</f>
        <v>1</v>
      </c>
      <c r="O115" s="725">
        <f>IF(O$18='5.Variables'!$B$16,+'5.Variables'!$N33,+IF(O$18='5.Variables'!$B$39,+'5.Variables'!$N57,+IF(O$18='5.Variables'!$B$62,+'5.Variables'!$N71,+IF(O$18='5.Variables'!$B$76,+'5.Variables'!$N85,+IF(O$18='5.Variables'!$B$90,+'5.Variables'!$N99,+IF(O$18='5.Variables'!$B$104,+'5.Variables'!$N113,0))))))</f>
        <v>31</v>
      </c>
      <c r="P115" s="725">
        <f>IF(P$18='5.Variables'!$B$16,+'5.Variables'!$N33,+IF(P$18='5.Variables'!$B$39,+'5.Variables'!$N57,+IF(P$18='5.Variables'!$B$62,+'5.Variables'!$N71,+IF(P$18='5.Variables'!$B$76,+'5.Variables'!$N85,+IF(P$18='5.Variables'!$B$90,+'5.Variables'!$N99,+IF(P$18='5.Variables'!$B$104,+'5.Variables'!$N113,0))))))</f>
        <v>0</v>
      </c>
      <c r="Q115" s="245"/>
      <c r="R115" s="558">
        <f t="shared" si="9"/>
        <v>19411210.189829666</v>
      </c>
      <c r="S115" s="265">
        <f>SUM(R104:R115)</f>
        <v>200061553.77745542</v>
      </c>
      <c r="T115" s="245"/>
      <c r="U115" s="245"/>
      <c r="V115" s="245"/>
      <c r="W115" s="245"/>
      <c r="X115" s="245"/>
      <c r="Y115" s="245"/>
      <c r="Z115" s="245"/>
      <c r="AA115" s="245"/>
      <c r="AB115" s="245"/>
      <c r="AC115" s="245"/>
      <c r="AD115" s="245"/>
      <c r="AE115" s="245"/>
      <c r="AF115" s="245"/>
      <c r="AG115" s="245"/>
      <c r="AH115" s="245"/>
      <c r="AI115" s="245"/>
      <c r="AJ115" s="245"/>
      <c r="AK115" s="245"/>
      <c r="AL115" s="245"/>
      <c r="AM115" s="245"/>
    </row>
    <row r="116" spans="1:39" x14ac:dyDescent="0.2">
      <c r="A116" s="503">
        <f t="shared" si="10"/>
        <v>97</v>
      </c>
      <c r="B116" s="262" t="str">
        <f>CONCATENATE('3. Consumption by Rate Class'!B121,"-",'3. Consumption by Rate Class'!C121)</f>
        <v>2013-January</v>
      </c>
      <c r="C116" s="697">
        <v>20811741.748199999</v>
      </c>
      <c r="D116" s="703"/>
      <c r="E116" s="707"/>
      <c r="F116" s="707"/>
      <c r="G116" s="703"/>
      <c r="H116" s="704"/>
      <c r="I116" s="704"/>
      <c r="J116" s="263">
        <f t="shared" si="8"/>
        <v>20811741.748199999</v>
      </c>
      <c r="K116" s="725">
        <f>IF(K$18='5.Variables'!$B$16,+'5.Variables'!$C35,+IF(K$18='5.Variables'!$B$39,+'5.Variables'!$C58,+IF(K$18='5.Variables'!$B$62,+'5.Variables'!$C72,+IF(K$18='5.Variables'!$B$76,+'5.Variables'!$C86,+IF(K$18='5.Variables'!$B$90,+'5.Variables'!$C100,+IF(K$18='5.Variables'!$B$104,+'5.Variables'!$C114,0))))))</f>
        <v>839.9</v>
      </c>
      <c r="L116" s="725">
        <f>IF(L$18='5.Variables'!$B$16,+'5.Variables'!$C34,+IF(L$18='5.Variables'!$B$39,+'5.Variables'!$C58,+IF(L$18='5.Variables'!$B$62,+'5.Variables'!$C72,+IF(L$18='5.Variables'!$B$76,+'5.Variables'!$C86,+IF(L$18='5.Variables'!$B$90,+'5.Variables'!$C100,+IF(L$18='5.Variables'!$B$104,+'5.Variables'!$C114,0))))))</f>
        <v>0</v>
      </c>
      <c r="M116" s="725">
        <f>IF(M$18='5.Variables'!$B$16,+'5.Variables'!$C34,+IF(M$18='5.Variables'!$B$39,+'5.Variables'!$C58,+IF(M$18='5.Variables'!$B$62,+'5.Variables'!$C72,+IF(M$18='5.Variables'!$B$76,+'5.Variables'!$C86,+IF(M$18='5.Variables'!$B$90,+'5.Variables'!$C100,+IF(M$18='5.Variables'!$B$104,+'5.Variables'!$C114,0))))))</f>
        <v>1</v>
      </c>
      <c r="N116" s="725">
        <f>IF(N$18='5.Variables'!$B$16,+'5.Variables'!$C34,+IF(N$18='5.Variables'!$B$39,+'5.Variables'!$C58,+IF(N$18='5.Variables'!$B$62,+'5.Variables'!$C72,+IF(N$18='5.Variables'!$B$76,+'5.Variables'!$C86,+IF(N$18='5.Variables'!$B$90,+'5.Variables'!$C100,+IF(N$18='5.Variables'!$B$104,+'5.Variables'!$C114,0))))))</f>
        <v>1</v>
      </c>
      <c r="O116" s="725">
        <f>IF(O$18='5.Variables'!$B$16,+'5.Variables'!$C34,+IF(O$18='5.Variables'!$B$39,+'5.Variables'!$C58,+IF(O$18='5.Variables'!$B$62,+'5.Variables'!$C72,+IF(O$18='5.Variables'!$B$76,+'5.Variables'!$C86,+IF(O$18='5.Variables'!$B$90,+'5.Variables'!$C100,+IF(O$18='5.Variables'!$B$104,+'5.Variables'!$C114,0))))))</f>
        <v>31</v>
      </c>
      <c r="P116" s="725">
        <f>IF(P$18='5.Variables'!$B$16,+'5.Variables'!$C34,+IF(P$18='5.Variables'!$B$39,+'5.Variables'!$C58,+IF(P$18='5.Variables'!$B$62,+'5.Variables'!$C72,+IF(P$18='5.Variables'!$B$76,+'5.Variables'!$C86,+IF(P$18='5.Variables'!$B$90,+'5.Variables'!$C100,+IF(P$18='5.Variables'!$B$104,+'5.Variables'!$C114,0))))))</f>
        <v>0</v>
      </c>
      <c r="Q116" s="245"/>
      <c r="R116" s="558">
        <f t="shared" si="9"/>
        <v>20548705.480704777</v>
      </c>
      <c r="S116" s="265"/>
      <c r="T116" s="245"/>
      <c r="U116" s="245"/>
      <c r="V116" s="245"/>
      <c r="W116" s="245"/>
      <c r="X116" s="245"/>
      <c r="Y116" s="245"/>
      <c r="Z116" s="245"/>
      <c r="AA116" s="245"/>
      <c r="AB116" s="245"/>
      <c r="AC116" s="245"/>
      <c r="AD116" s="245"/>
      <c r="AE116" s="245"/>
      <c r="AF116" s="245"/>
      <c r="AG116" s="245"/>
      <c r="AH116" s="245"/>
      <c r="AI116" s="245"/>
      <c r="AJ116" s="245"/>
      <c r="AK116" s="245"/>
      <c r="AL116" s="245"/>
      <c r="AM116" s="245"/>
    </row>
    <row r="117" spans="1:39" x14ac:dyDescent="0.2">
      <c r="A117" s="503">
        <f t="shared" si="10"/>
        <v>98</v>
      </c>
      <c r="B117" s="262" t="str">
        <f>CONCATENATE('3. Consumption by Rate Class'!B122,"-",'3. Consumption by Rate Class'!C122)</f>
        <v>2013-February</v>
      </c>
      <c r="C117" s="697">
        <v>18188849.137899999</v>
      </c>
      <c r="D117" s="703"/>
      <c r="E117" s="707"/>
      <c r="F117" s="707"/>
      <c r="G117" s="703"/>
      <c r="H117" s="704"/>
      <c r="I117" s="704"/>
      <c r="J117" s="263">
        <f t="shared" si="8"/>
        <v>18188849.137899999</v>
      </c>
      <c r="K117" s="725">
        <f>IF(K$18='5.Variables'!$B$16,+'5.Variables'!$D35,+IF(K$18='5.Variables'!$B$39,+'5.Variables'!$D58,+IF(K$18='5.Variables'!$B$62,+'5.Variables'!$D72,+IF(K$18='5.Variables'!$B$76,+'5.Variables'!$D86,+IF(K$18='5.Variables'!$B$90,+'5.Variables'!$D100,+IF(K$18='5.Variables'!$B$104,+'5.Variables'!$D114,0))))))</f>
        <v>728.5</v>
      </c>
      <c r="L117" s="725">
        <f>IF(L$18='5.Variables'!$B$16,+'5.Variables'!$D34,+IF(L$18='5.Variables'!$B$39,+'5.Variables'!$D58,+IF(L$18='5.Variables'!$B$62,+'5.Variables'!$D72,+IF(L$18='5.Variables'!$B$76,+'5.Variables'!$D86,+IF(L$18='5.Variables'!$B$90,+'5.Variables'!$D100,+IF(L$18='5.Variables'!$B$104,+'5.Variables'!$D114,0))))))</f>
        <v>0</v>
      </c>
      <c r="M117" s="725">
        <f>IF(M$18='5.Variables'!$B$16,+'5.Variables'!$D34,+IF(M$18='5.Variables'!$B$39,+'5.Variables'!$D58,+IF(M$18='5.Variables'!$B$62,+'5.Variables'!$D72,+IF(M$18='5.Variables'!$B$76,+'5.Variables'!$D86,+IF(M$18='5.Variables'!$B$90,+'5.Variables'!$D100,+IF(M$18='5.Variables'!$B$104,+'5.Variables'!$D114,0))))))</f>
        <v>1</v>
      </c>
      <c r="N117" s="725">
        <f>IF(N$18='5.Variables'!$B$16,+'5.Variables'!$D34,+IF(N$18='5.Variables'!$B$39,+'5.Variables'!$D58,+IF(N$18='5.Variables'!$B$62,+'5.Variables'!$D72,+IF(N$18='5.Variables'!$B$76,+'5.Variables'!$D86,+IF(N$18='5.Variables'!$B$90,+'5.Variables'!$D100,+IF(N$18='5.Variables'!$B$104,+'5.Variables'!$D114,0))))))</f>
        <v>0</v>
      </c>
      <c r="O117" s="725">
        <f>IF(O$18='5.Variables'!$B$16,+'5.Variables'!$D34,+IF(O$18='5.Variables'!$B$39,+'5.Variables'!$D58,+IF(O$18='5.Variables'!$B$62,+'5.Variables'!$D72,+IF(O$18='5.Variables'!$B$76,+'5.Variables'!$D86,+IF(O$18='5.Variables'!$B$90,+'5.Variables'!$D100,+IF(O$18='5.Variables'!$B$104,+'5.Variables'!$D114,0))))))</f>
        <v>28</v>
      </c>
      <c r="P117" s="725">
        <f>IF(P$18='5.Variables'!$B$16,+'5.Variables'!$D34,+IF(P$18='5.Variables'!$B$39,+'5.Variables'!$D58,+IF(P$18='5.Variables'!$B$62,+'5.Variables'!$D72,+IF(P$18='5.Variables'!$B$76,+'5.Variables'!$D86,+IF(P$18='5.Variables'!$B$90,+'5.Variables'!$D100,+IF(P$18='5.Variables'!$B$104,+'5.Variables'!$D114,0))))))</f>
        <v>0</v>
      </c>
      <c r="Q117" s="245"/>
      <c r="R117" s="558">
        <f t="shared" si="9"/>
        <v>19753244.241511513</v>
      </c>
      <c r="S117" s="265"/>
      <c r="T117" s="245"/>
      <c r="U117" s="245"/>
      <c r="V117" s="245"/>
      <c r="W117" s="245"/>
      <c r="X117" s="245"/>
      <c r="Y117" s="245"/>
      <c r="Z117" s="245"/>
      <c r="AA117" s="245"/>
      <c r="AB117" s="245"/>
      <c r="AC117" s="245"/>
      <c r="AD117" s="245"/>
      <c r="AE117" s="245"/>
      <c r="AF117" s="245"/>
      <c r="AG117" s="245"/>
      <c r="AH117" s="245"/>
      <c r="AI117" s="245"/>
      <c r="AJ117" s="245"/>
      <c r="AK117" s="245"/>
      <c r="AL117" s="245"/>
      <c r="AM117" s="245"/>
    </row>
    <row r="118" spans="1:39" x14ac:dyDescent="0.2">
      <c r="A118" s="503">
        <f t="shared" si="10"/>
        <v>99</v>
      </c>
      <c r="B118" s="262" t="str">
        <f>CONCATENATE('3. Consumption by Rate Class'!B123,"-",'3. Consumption by Rate Class'!C123)</f>
        <v>2013-March</v>
      </c>
      <c r="C118" s="697">
        <v>17633486.812399998</v>
      </c>
      <c r="D118" s="703"/>
      <c r="E118" s="707"/>
      <c r="F118" s="707"/>
      <c r="G118" s="703"/>
      <c r="H118" s="704"/>
      <c r="I118" s="704"/>
      <c r="J118" s="263">
        <f t="shared" si="8"/>
        <v>17633486.812399998</v>
      </c>
      <c r="K118" s="725">
        <f>IF(K$18='5.Variables'!$B$16,+'5.Variables'!$E35,+IF(K$18='5.Variables'!$B$39,+'5.Variables'!$E58,+IF(K$18='5.Variables'!$B$62,+'5.Variables'!$E72,+IF(K$18='5.Variables'!$B$76,+'5.Variables'!$E86,+IF(K$18='5.Variables'!$B$90,+'5.Variables'!$E100,+IF(K$18='5.Variables'!$B$104,+'5.Variables'!$E114,0))))))</f>
        <v>579.6</v>
      </c>
      <c r="L118" s="725">
        <f>IF(L$18='5.Variables'!$B$16,+'5.Variables'!$E34,+IF(L$18='5.Variables'!$B$39,+'5.Variables'!$E58,+IF(L$18='5.Variables'!$B$62,+'5.Variables'!$E72,+IF(L$18='5.Variables'!$B$76,+'5.Variables'!$E86,+IF(L$18='5.Variables'!$B$90,+'5.Variables'!$E100,+IF(L$18='5.Variables'!$B$104,+'5.Variables'!$E114,0))))))</f>
        <v>0</v>
      </c>
      <c r="M118" s="725">
        <f>IF(M$18='5.Variables'!$B$16,+'5.Variables'!$E34,+IF(M$18='5.Variables'!$B$39,+'5.Variables'!$E58,+IF(M$18='5.Variables'!$B$62,+'5.Variables'!$E72,+IF(M$18='5.Variables'!$B$76,+'5.Variables'!$E86,+IF(M$18='5.Variables'!$B$90,+'5.Variables'!$E100,+IF(M$18='5.Variables'!$B$104,+'5.Variables'!$E114,0))))))</f>
        <v>0</v>
      </c>
      <c r="N118" s="725">
        <f>IF(N$18='5.Variables'!$B$16,+'5.Variables'!$E34,+IF(N$18='5.Variables'!$B$39,+'5.Variables'!$E58,+IF(N$18='5.Variables'!$B$62,+'5.Variables'!$E72,+IF(N$18='5.Variables'!$B$76,+'5.Variables'!$E86,+IF(N$18='5.Variables'!$B$90,+'5.Variables'!$E100,+IF(N$18='5.Variables'!$B$104,+'5.Variables'!$E114,0))))))</f>
        <v>1</v>
      </c>
      <c r="O118" s="725">
        <f>IF(O$18='5.Variables'!$B$16,+'5.Variables'!$E34,+IF(O$18='5.Variables'!$B$39,+'5.Variables'!$E58,+IF(O$18='5.Variables'!$B$62,+'5.Variables'!$E72,+IF(O$18='5.Variables'!$B$76,+'5.Variables'!$E86,+IF(O$18='5.Variables'!$B$90,+'5.Variables'!$E100,+IF(O$18='5.Variables'!$B$104,+'5.Variables'!$E114,0))))))</f>
        <v>31</v>
      </c>
      <c r="P118" s="725">
        <f>IF(P$18='5.Variables'!$B$16,+'5.Variables'!$E34,+IF(P$18='5.Variables'!$B$39,+'5.Variables'!$E58,+IF(P$18='5.Variables'!$B$62,+'5.Variables'!$E72,+IF(P$18='5.Variables'!$B$76,+'5.Variables'!$E86,+IF(P$18='5.Variables'!$B$90,+'5.Variables'!$E100,+IF(P$18='5.Variables'!$B$104,+'5.Variables'!$E114,0))))))</f>
        <v>0</v>
      </c>
      <c r="Q118" s="245"/>
      <c r="R118" s="558">
        <f t="shared" si="9"/>
        <v>17215062.818975501</v>
      </c>
      <c r="S118" s="265"/>
      <c r="T118" s="245"/>
      <c r="U118" s="245"/>
      <c r="V118" s="245"/>
      <c r="W118" s="245"/>
      <c r="X118" s="245"/>
      <c r="Y118" s="245"/>
      <c r="Z118" s="245"/>
      <c r="AA118" s="245"/>
      <c r="AB118" s="245"/>
      <c r="AC118" s="245"/>
      <c r="AD118" s="245"/>
      <c r="AE118" s="245"/>
      <c r="AF118" s="245"/>
      <c r="AG118" s="245"/>
      <c r="AH118" s="245"/>
      <c r="AI118" s="245"/>
      <c r="AJ118" s="245"/>
      <c r="AK118" s="245"/>
      <c r="AL118" s="245"/>
      <c r="AM118" s="245"/>
    </row>
    <row r="119" spans="1:39" x14ac:dyDescent="0.2">
      <c r="A119" s="503">
        <f t="shared" si="10"/>
        <v>100</v>
      </c>
      <c r="B119" s="262" t="str">
        <f>CONCATENATE('3. Consumption by Rate Class'!B124,"-",'3. Consumption by Rate Class'!C124)</f>
        <v>2013-April</v>
      </c>
      <c r="C119" s="697">
        <v>14561831.641099997</v>
      </c>
      <c r="D119" s="703"/>
      <c r="E119" s="707"/>
      <c r="F119" s="707"/>
      <c r="G119" s="703"/>
      <c r="H119" s="704"/>
      <c r="I119" s="704"/>
      <c r="J119" s="263">
        <f>SUM(C119:I119)</f>
        <v>14561831.641099997</v>
      </c>
      <c r="K119" s="725">
        <f>IF(K$18='5.Variables'!$B$16,+'5.Variables'!$F35,+IF(K$18='5.Variables'!$B$39,+'5.Variables'!$F58,+IF(K$18='5.Variables'!$B$62,+'5.Variables'!$F72,+IF(K$18='5.Variables'!$B$76,+'5.Variables'!$F86,+IF(K$18='5.Variables'!$B$90,+'5.Variables'!$F100,+IF(K$18='5.Variables'!$B$104,+'5.Variables'!$F114,0))))))</f>
        <v>285.5</v>
      </c>
      <c r="L119" s="725">
        <f>IF(L$18='5.Variables'!$B$16,+'5.Variables'!$F34,+IF(L$18='5.Variables'!$B$39,+'5.Variables'!$F58,+IF(L$18='5.Variables'!$B$62,+'5.Variables'!$F72,+IF(L$18='5.Variables'!$B$76,+'5.Variables'!$F86,+IF(L$18='5.Variables'!$B$90,+'5.Variables'!$F100,+IF(L$18='5.Variables'!$B$104,+'5.Variables'!$F114,0))))))</f>
        <v>0</v>
      </c>
      <c r="M119" s="725">
        <f>IF(M$18='5.Variables'!$B$16,+'5.Variables'!$F34,+IF(M$18='5.Variables'!$B$39,+'5.Variables'!$F58,+IF(M$18='5.Variables'!$B$62,+'5.Variables'!$F72,+IF(M$18='5.Variables'!$B$76,+'5.Variables'!$F86,+IF(M$18='5.Variables'!$B$90,+'5.Variables'!$F100,+IF(M$18='5.Variables'!$B$104,+'5.Variables'!$F114,0))))))</f>
        <v>0</v>
      </c>
      <c r="N119" s="725">
        <f>IF(N$18='5.Variables'!$B$16,+'5.Variables'!$F34,+IF(N$18='5.Variables'!$B$39,+'5.Variables'!$F58,+IF(N$18='5.Variables'!$B$62,+'5.Variables'!$F72,+IF(N$18='5.Variables'!$B$76,+'5.Variables'!$F86,+IF(N$18='5.Variables'!$B$90,+'5.Variables'!$F100,+IF(N$18='5.Variables'!$B$104,+'5.Variables'!$F114,0))))))</f>
        <v>0</v>
      </c>
      <c r="O119" s="725">
        <f>IF(O$18='5.Variables'!$B$16,+'5.Variables'!$F34,+IF(O$18='5.Variables'!$B$39,+'5.Variables'!$F58,+IF(O$18='5.Variables'!$B$62,+'5.Variables'!$F72,+IF(O$18='5.Variables'!$B$76,+'5.Variables'!$F86,+IF(O$18='5.Variables'!$B$90,+'5.Variables'!$F100,+IF(O$18='5.Variables'!$B$104,+'5.Variables'!$F114,0))))))</f>
        <v>30</v>
      </c>
      <c r="P119" s="725">
        <f>IF(P$18='5.Variables'!$B$16,+'5.Variables'!$F34,+IF(P$18='5.Variables'!$B$39,+'5.Variables'!$F58,+IF(P$18='5.Variables'!$B$62,+'5.Variables'!$F72,+IF(P$18='5.Variables'!$B$76,+'5.Variables'!$F86,+IF(P$18='5.Variables'!$B$90,+'5.Variables'!$F100,+IF(P$18='5.Variables'!$B$104,+'5.Variables'!$F114,0))))))</f>
        <v>0</v>
      </c>
      <c r="Q119" s="245"/>
      <c r="R119" s="558">
        <f t="shared" si="9"/>
        <v>15115016.585162757</v>
      </c>
      <c r="S119" s="265"/>
      <c r="T119" s="245"/>
      <c r="U119" s="245"/>
      <c r="V119" s="245"/>
      <c r="W119" s="245"/>
      <c r="X119" s="245"/>
      <c r="Y119" s="245"/>
      <c r="Z119" s="245"/>
      <c r="AA119" s="245"/>
      <c r="AB119" s="245"/>
      <c r="AC119" s="245"/>
      <c r="AD119" s="245"/>
      <c r="AE119" s="245"/>
      <c r="AF119" s="245"/>
      <c r="AG119" s="245"/>
      <c r="AH119" s="245"/>
      <c r="AI119" s="245"/>
      <c r="AJ119" s="245"/>
      <c r="AK119" s="245"/>
      <c r="AL119" s="245"/>
      <c r="AM119" s="245"/>
    </row>
    <row r="120" spans="1:39" x14ac:dyDescent="0.2">
      <c r="A120" s="503">
        <f t="shared" si="10"/>
        <v>101</v>
      </c>
      <c r="B120" s="262" t="str">
        <f>CONCATENATE('3. Consumption by Rate Class'!B125,"-",'3. Consumption by Rate Class'!C125)</f>
        <v>2013-May</v>
      </c>
      <c r="C120" s="697">
        <v>13925725.6516</v>
      </c>
      <c r="D120" s="703"/>
      <c r="E120" s="703"/>
      <c r="F120" s="703"/>
      <c r="G120" s="703"/>
      <c r="H120" s="704"/>
      <c r="I120" s="704"/>
      <c r="J120" s="263">
        <f t="shared" si="8"/>
        <v>13925725.6516</v>
      </c>
      <c r="K120" s="725">
        <f>IF(K$18='5.Variables'!$B$16,+'5.Variables'!$G35,+IF(K$18='5.Variables'!$B$39,+'5.Variables'!$G58,+IF(K$18='5.Variables'!$B$62,+'5.Variables'!$G72,+IF(K$18='5.Variables'!$B$76,+'5.Variables'!$G86,+IF(K$18='5.Variables'!$B$90,+'5.Variables'!$G100,+IF(K$18='5.Variables'!$B$104,+'5.Variables'!$G114,0))))))</f>
        <v>105.7</v>
      </c>
      <c r="L120" s="725">
        <f>IF(L$18='5.Variables'!$B$16,+'5.Variables'!$G34,+IF(L$18='5.Variables'!$B$39,+'5.Variables'!$G58,+IF(L$18='5.Variables'!$B$62,+'5.Variables'!$G72,+IF(L$18='5.Variables'!$B$76,+'5.Variables'!$G86,+IF(L$18='5.Variables'!$B$90,+'5.Variables'!$G100,+IF(L$18='5.Variables'!$B$104,+'5.Variables'!$G114,0))))))</f>
        <v>15.3</v>
      </c>
      <c r="M120" s="725">
        <f>IF(M$18='5.Variables'!$B$16,+'5.Variables'!$G34,+IF(M$18='5.Variables'!$B$39,+'5.Variables'!$G58,+IF(M$18='5.Variables'!$B$62,+'5.Variables'!$G72,+IF(M$18='5.Variables'!$B$76,+'5.Variables'!$G86,+IF(M$18='5.Variables'!$B$90,+'5.Variables'!$G100,+IF(M$18='5.Variables'!$B$104,+'5.Variables'!$G114,0))))))</f>
        <v>0</v>
      </c>
      <c r="N120" s="725">
        <f>IF(N$18='5.Variables'!$B$16,+'5.Variables'!$G34,+IF(N$18='5.Variables'!$B$39,+'5.Variables'!$G58,+IF(N$18='5.Variables'!$B$62,+'5.Variables'!$G72,+IF(N$18='5.Variables'!$B$76,+'5.Variables'!$G86,+IF(N$18='5.Variables'!$B$90,+'5.Variables'!$G100,+IF(N$18='5.Variables'!$B$104,+'5.Variables'!$G114,0))))))</f>
        <v>0</v>
      </c>
      <c r="O120" s="725">
        <f>IF(O$18='5.Variables'!$B$16,+'5.Variables'!$G34,+IF(O$18='5.Variables'!$B$39,+'5.Variables'!$G58,+IF(O$18='5.Variables'!$B$62,+'5.Variables'!$G72,+IF(O$18='5.Variables'!$B$76,+'5.Variables'!$G86,+IF(O$18='5.Variables'!$B$90,+'5.Variables'!$G100,+IF(O$18='5.Variables'!$B$104,+'5.Variables'!$G114,0))))))</f>
        <v>31</v>
      </c>
      <c r="P120" s="725">
        <f>IF(P$18='5.Variables'!$B$16,+'5.Variables'!$G34,+IF(P$18='5.Variables'!$B$39,+'5.Variables'!$G58,+IF(P$18='5.Variables'!$B$62,+'5.Variables'!$G72,+IF(P$18='5.Variables'!$B$76,+'5.Variables'!$G86,+IF(P$18='5.Variables'!$B$90,+'5.Variables'!$G100,+IF(P$18='5.Variables'!$B$104,+'5.Variables'!$G114,0))))))</f>
        <v>0</v>
      </c>
      <c r="Q120" s="245"/>
      <c r="R120" s="558">
        <f t="shared" si="9"/>
        <v>14252154.432282493</v>
      </c>
      <c r="S120" s="265"/>
      <c r="T120" s="245"/>
      <c r="U120" s="245"/>
      <c r="V120" s="245"/>
      <c r="W120" s="245"/>
      <c r="X120" s="245"/>
      <c r="Y120" s="245"/>
      <c r="Z120" s="245"/>
      <c r="AA120" s="245"/>
      <c r="AB120" s="245"/>
      <c r="AC120" s="245"/>
      <c r="AD120" s="245"/>
      <c r="AE120" s="245"/>
      <c r="AF120" s="245"/>
      <c r="AG120" s="245"/>
      <c r="AH120" s="245"/>
      <c r="AI120" s="245"/>
      <c r="AJ120" s="245"/>
      <c r="AK120" s="245"/>
      <c r="AL120" s="245"/>
      <c r="AM120" s="245"/>
    </row>
    <row r="121" spans="1:39" x14ac:dyDescent="0.2">
      <c r="A121" s="503">
        <f t="shared" si="10"/>
        <v>102</v>
      </c>
      <c r="B121" s="262" t="str">
        <f>CONCATENATE('3. Consumption by Rate Class'!B126,"-",'3. Consumption by Rate Class'!C126)</f>
        <v>2013-June</v>
      </c>
      <c r="C121" s="697">
        <v>14261991.7149</v>
      </c>
      <c r="D121" s="703"/>
      <c r="E121" s="703"/>
      <c r="F121" s="703"/>
      <c r="G121" s="703"/>
      <c r="H121" s="704"/>
      <c r="I121" s="704"/>
      <c r="J121" s="263">
        <f t="shared" si="8"/>
        <v>14261991.7149</v>
      </c>
      <c r="K121" s="725">
        <f>IF(K$18='5.Variables'!$B$16,+'5.Variables'!$H35,+IF(K$18='5.Variables'!$B$39,+'5.Variables'!$H58,+IF(K$18='5.Variables'!$B$62,+'5.Variables'!$H72,+IF(K$18='5.Variables'!$B$76,+'5.Variables'!$H86,+IF(K$18='5.Variables'!$B$90,+'5.Variables'!$H100,+IF(K$18='5.Variables'!$B$104,+'5.Variables'!$H114,0))))))</f>
        <v>54.1</v>
      </c>
      <c r="L121" s="725">
        <f>IF(L$18='5.Variables'!$B$16,+'5.Variables'!$H34,+IF(L$18='5.Variables'!$B$39,+'5.Variables'!$H58,+IF(L$18='5.Variables'!$B$62,+'5.Variables'!$H72,+IF(L$18='5.Variables'!$B$76,+'5.Variables'!$H86,+IF(L$18='5.Variables'!$B$90,+'5.Variables'!$H100,+IF(L$18='5.Variables'!$B$104,+'5.Variables'!$H114,0))))))</f>
        <v>39.4</v>
      </c>
      <c r="M121" s="725">
        <f>IF(M$18='5.Variables'!$B$16,+'5.Variables'!$H34,+IF(M$18='5.Variables'!$B$39,+'5.Variables'!$H58,+IF(M$18='5.Variables'!$B$62,+'5.Variables'!$H72,+IF(M$18='5.Variables'!$B$76,+'5.Variables'!$H86,+IF(M$18='5.Variables'!$B$90,+'5.Variables'!$H100,+IF(M$18='5.Variables'!$B$104,+'5.Variables'!$H114,0))))))</f>
        <v>0</v>
      </c>
      <c r="N121" s="725">
        <f>IF(N$18='5.Variables'!$B$16,+'5.Variables'!$H34,+IF(N$18='5.Variables'!$B$39,+'5.Variables'!$H58,+IF(N$18='5.Variables'!$B$62,+'5.Variables'!$H72,+IF(N$18='5.Variables'!$B$76,+'5.Variables'!$H86,+IF(N$18='5.Variables'!$B$90,+'5.Variables'!$H100,+IF(N$18='5.Variables'!$B$104,+'5.Variables'!$H114,0))))))</f>
        <v>0</v>
      </c>
      <c r="O121" s="725">
        <f>IF(O$18='5.Variables'!$B$16,+'5.Variables'!$H34,+IF(O$18='5.Variables'!$B$39,+'5.Variables'!$H58,+IF(O$18='5.Variables'!$B$62,+'5.Variables'!$H72,+IF(O$18='5.Variables'!$B$76,+'5.Variables'!$H86,+IF(O$18='5.Variables'!$B$90,+'5.Variables'!$H100,+IF(O$18='5.Variables'!$B$104,+'5.Variables'!$H114,0))))))</f>
        <v>30</v>
      </c>
      <c r="P121" s="725">
        <f>IF(P$18='5.Variables'!$B$16,+'5.Variables'!$H34,+IF(P$18='5.Variables'!$B$39,+'5.Variables'!$H58,+IF(P$18='5.Variables'!$B$62,+'5.Variables'!$H72,+IF(P$18='5.Variables'!$B$76,+'5.Variables'!$H86,+IF(P$18='5.Variables'!$B$90,+'5.Variables'!$H100,+IF(P$18='5.Variables'!$B$104,+'5.Variables'!$H114,0))))))</f>
        <v>0</v>
      </c>
      <c r="Q121" s="245"/>
      <c r="R121" s="558">
        <f t="shared" si="9"/>
        <v>14546867.857967135</v>
      </c>
      <c r="S121" s="265"/>
      <c r="T121" s="245"/>
      <c r="U121" s="245"/>
      <c r="V121" s="245"/>
      <c r="W121" s="245"/>
      <c r="X121" s="245"/>
      <c r="Y121" s="245"/>
      <c r="Z121" s="245"/>
      <c r="AA121" s="245"/>
      <c r="AB121" s="245"/>
      <c r="AC121" s="245"/>
      <c r="AD121" s="245"/>
      <c r="AE121" s="245"/>
      <c r="AF121" s="245"/>
      <c r="AG121" s="245"/>
      <c r="AH121" s="245"/>
      <c r="AI121" s="245"/>
      <c r="AJ121" s="245"/>
      <c r="AK121" s="245"/>
      <c r="AL121" s="245"/>
      <c r="AM121" s="245"/>
    </row>
    <row r="122" spans="1:39" x14ac:dyDescent="0.2">
      <c r="A122" s="503">
        <f t="shared" si="10"/>
        <v>103</v>
      </c>
      <c r="B122" s="262" t="str">
        <f>CONCATENATE('3. Consumption by Rate Class'!B127,"-",'3. Consumption by Rate Class'!C127)</f>
        <v>2013-July</v>
      </c>
      <c r="C122" s="699">
        <v>15840370.5626</v>
      </c>
      <c r="D122" s="703"/>
      <c r="E122" s="703"/>
      <c r="F122" s="703"/>
      <c r="G122" s="703"/>
      <c r="H122" s="704"/>
      <c r="I122" s="704"/>
      <c r="J122" s="263">
        <f t="shared" si="8"/>
        <v>15840370.5626</v>
      </c>
      <c r="K122" s="725">
        <f>IF(K$18='5.Variables'!$B$16,+'5.Variables'!$I35,+IF(K$18='5.Variables'!$B$39,+'5.Variables'!$I58,+IF(K$18='5.Variables'!$B$62,+'5.Variables'!$I72,+IF(K$18='5.Variables'!$B$76,+'5.Variables'!$I86,+IF(K$18='5.Variables'!$B$90,+'5.Variables'!$I100,+IF(K$18='5.Variables'!$B$104,+'5.Variables'!$I114,0))))))</f>
        <v>7.7</v>
      </c>
      <c r="L122" s="725">
        <f>IF(L$18='5.Variables'!$B$16,+'5.Variables'!$I34,+IF(L$18='5.Variables'!$B$39,+'5.Variables'!$I58,+IF(L$18='5.Variables'!$B$62,+'5.Variables'!$I72,+IF(L$18='5.Variables'!$B$76,+'5.Variables'!$I86,+IF(L$18='5.Variables'!$B$90,+'5.Variables'!$I100,+IF(L$18='5.Variables'!$B$104,+'5.Variables'!$I114,0))))))</f>
        <v>111.1</v>
      </c>
      <c r="M122" s="725">
        <f>IF(M$18='5.Variables'!$B$16,+'5.Variables'!$I34,+IF(M$18='5.Variables'!$B$39,+'5.Variables'!$I58,+IF(M$18='5.Variables'!$B$62,+'5.Variables'!$I72,+IF(M$18='5.Variables'!$B$76,+'5.Variables'!$I86,+IF(M$18='5.Variables'!$B$90,+'5.Variables'!$I100,+IF(M$18='5.Variables'!$B$104,+'5.Variables'!$I114,0))))))</f>
        <v>0</v>
      </c>
      <c r="N122" s="725">
        <f>IF(N$18='5.Variables'!$B$16,+'5.Variables'!$I34,+IF(N$18='5.Variables'!$B$39,+'5.Variables'!$I58,+IF(N$18='5.Variables'!$B$62,+'5.Variables'!$I72,+IF(N$18='5.Variables'!$B$76,+'5.Variables'!$I86,+IF(N$18='5.Variables'!$B$90,+'5.Variables'!$I100,+IF(N$18='5.Variables'!$B$104,+'5.Variables'!$I114,0))))))</f>
        <v>1</v>
      </c>
      <c r="O122" s="725">
        <f>IF(O$18='5.Variables'!$B$16,+'5.Variables'!$I34,+IF(O$18='5.Variables'!$B$39,+'5.Variables'!$I58,+IF(O$18='5.Variables'!$B$62,+'5.Variables'!$I72,+IF(O$18='5.Variables'!$B$76,+'5.Variables'!$I86,+IF(O$18='5.Variables'!$B$90,+'5.Variables'!$I100,+IF(O$18='5.Variables'!$B$104,+'5.Variables'!$I114,0))))))</f>
        <v>31</v>
      </c>
      <c r="P122" s="725">
        <f>IF(P$18='5.Variables'!$B$16,+'5.Variables'!$I34,+IF(P$18='5.Variables'!$B$39,+'5.Variables'!$I58,+IF(P$18='5.Variables'!$B$62,+'5.Variables'!$I72,+IF(P$18='5.Variables'!$B$76,+'5.Variables'!$I86,+IF(P$18='5.Variables'!$B$90,+'5.Variables'!$I100,+IF(P$18='5.Variables'!$B$104,+'5.Variables'!$I114,0))))))</f>
        <v>0</v>
      </c>
      <c r="Q122" s="245"/>
      <c r="R122" s="558">
        <f t="shared" si="9"/>
        <v>16188537.219543165</v>
      </c>
      <c r="S122" s="265"/>
      <c r="T122" s="245"/>
      <c r="U122" s="245"/>
      <c r="V122" s="245"/>
      <c r="W122" s="245"/>
      <c r="X122" s="245"/>
      <c r="Y122" s="245"/>
      <c r="Z122" s="245"/>
      <c r="AA122" s="245"/>
      <c r="AB122" s="245"/>
      <c r="AC122" s="245"/>
      <c r="AD122" s="245"/>
      <c r="AE122" s="245"/>
      <c r="AF122" s="245"/>
      <c r="AG122" s="245"/>
      <c r="AH122" s="245"/>
      <c r="AI122" s="245"/>
      <c r="AJ122" s="245"/>
      <c r="AK122" s="245"/>
      <c r="AL122" s="245"/>
      <c r="AM122" s="245"/>
    </row>
    <row r="123" spans="1:39" x14ac:dyDescent="0.2">
      <c r="A123" s="503">
        <f t="shared" si="10"/>
        <v>104</v>
      </c>
      <c r="B123" s="262" t="str">
        <f>CONCATENATE('3. Consumption by Rate Class'!B128,"-",'3. Consumption by Rate Class'!C128)</f>
        <v>2013-August</v>
      </c>
      <c r="C123" s="699">
        <v>15748089.349450001</v>
      </c>
      <c r="D123" s="703"/>
      <c r="E123" s="703"/>
      <c r="F123" s="703"/>
      <c r="G123" s="703"/>
      <c r="H123" s="704"/>
      <c r="I123" s="704"/>
      <c r="J123" s="263">
        <f t="shared" si="8"/>
        <v>15748089.349450001</v>
      </c>
      <c r="K123" s="725">
        <f>IF(K$18='5.Variables'!$B$16,+'5.Variables'!$J35,+IF(K$18='5.Variables'!$B$39,+'5.Variables'!$J58,+IF(K$18='5.Variables'!$B$62,+'5.Variables'!$J72,+IF(K$18='5.Variables'!$B$76,+'5.Variables'!$J86,+IF(K$18='5.Variables'!$B$90,+'5.Variables'!$J100,+IF(K$18='5.Variables'!$B$104,+'5.Variables'!$J114,0))))))</f>
        <v>13.4</v>
      </c>
      <c r="L123" s="725">
        <f>IF(L$18='5.Variables'!$B$16,+'5.Variables'!$J34,+IF(L$18='5.Variables'!$B$39,+'5.Variables'!$J58,+IF(L$18='5.Variables'!$B$62,+'5.Variables'!$J72,+IF(L$18='5.Variables'!$B$76,+'5.Variables'!$J86,+IF(L$18='5.Variables'!$B$90,+'5.Variables'!$J100,+IF(L$18='5.Variables'!$B$104,+'5.Variables'!$J114,0))))))</f>
        <v>57.2</v>
      </c>
      <c r="M123" s="725">
        <f>IF(M$18='5.Variables'!$B$16,+'5.Variables'!$J34,+IF(M$18='5.Variables'!$B$39,+'5.Variables'!$J58,+IF(M$18='5.Variables'!$B$62,+'5.Variables'!$J72,+IF(M$18='5.Variables'!$B$76,+'5.Variables'!$J86,+IF(M$18='5.Variables'!$B$90,+'5.Variables'!$J100,+IF(M$18='5.Variables'!$B$104,+'5.Variables'!$J114,0))))))</f>
        <v>0</v>
      </c>
      <c r="N123" s="725">
        <f>IF(N$18='5.Variables'!$B$16,+'5.Variables'!$J34,+IF(N$18='5.Variables'!$B$39,+'5.Variables'!$J58,+IF(N$18='5.Variables'!$B$62,+'5.Variables'!$J72,+IF(N$18='5.Variables'!$B$76,+'5.Variables'!$J86,+IF(N$18='5.Variables'!$B$90,+'5.Variables'!$J100,+IF(N$18='5.Variables'!$B$104,+'5.Variables'!$J114,0))))))</f>
        <v>0</v>
      </c>
      <c r="O123" s="725">
        <f>IF(O$18='5.Variables'!$B$16,+'5.Variables'!$J34,+IF(O$18='5.Variables'!$B$39,+'5.Variables'!$J58,+IF(O$18='5.Variables'!$B$62,+'5.Variables'!$J72,+IF(O$18='5.Variables'!$B$76,+'5.Variables'!$J86,+IF(O$18='5.Variables'!$B$90,+'5.Variables'!$J100,+IF(O$18='5.Variables'!$B$104,+'5.Variables'!$J114,0))))))</f>
        <v>31</v>
      </c>
      <c r="P123" s="725">
        <f>IF(P$18='5.Variables'!$B$16,+'5.Variables'!$J34,+IF(P$18='5.Variables'!$B$39,+'5.Variables'!$J58,+IF(P$18='5.Variables'!$B$62,+'5.Variables'!$J72,+IF(P$18='5.Variables'!$B$76,+'5.Variables'!$J86,+IF(P$18='5.Variables'!$B$90,+'5.Variables'!$J100,+IF(P$18='5.Variables'!$B$104,+'5.Variables'!$J114,0))))))</f>
        <v>0</v>
      </c>
      <c r="Q123" s="245"/>
      <c r="R123" s="558">
        <f t="shared" si="9"/>
        <v>14746054.490320854</v>
      </c>
      <c r="S123" s="265"/>
      <c r="T123" s="245"/>
      <c r="U123" s="245"/>
      <c r="V123" s="245"/>
      <c r="W123" s="245"/>
      <c r="X123" s="245"/>
      <c r="Y123" s="245"/>
      <c r="Z123" s="245"/>
      <c r="AA123" s="245"/>
      <c r="AB123" s="245"/>
      <c r="AC123" s="245"/>
      <c r="AD123" s="245"/>
      <c r="AE123" s="245"/>
      <c r="AF123" s="245"/>
      <c r="AG123" s="245"/>
      <c r="AH123" s="245"/>
      <c r="AI123" s="245"/>
      <c r="AJ123" s="245"/>
      <c r="AK123" s="245"/>
      <c r="AL123" s="245"/>
      <c r="AM123" s="245"/>
    </row>
    <row r="124" spans="1:39" x14ac:dyDescent="0.2">
      <c r="A124" s="503">
        <f t="shared" si="10"/>
        <v>105</v>
      </c>
      <c r="B124" s="262" t="str">
        <f>CONCATENATE('3. Consumption by Rate Class'!B129,"-",'3. Consumption by Rate Class'!C129)</f>
        <v>2013-September</v>
      </c>
      <c r="C124" s="699">
        <v>13142570.375399999</v>
      </c>
      <c r="D124" s="703"/>
      <c r="E124" s="703"/>
      <c r="F124" s="703"/>
      <c r="G124" s="703"/>
      <c r="H124" s="704"/>
      <c r="I124" s="704"/>
      <c r="J124" s="263">
        <f t="shared" si="8"/>
        <v>13142570.375399999</v>
      </c>
      <c r="K124" s="725">
        <f>IF(K$18='5.Variables'!$B$16,+'5.Variables'!$K35,+IF(K$18='5.Variables'!$B$39,+'5.Variables'!$K58,+IF(K$18='5.Variables'!$B$62,+'5.Variables'!$K72,+IF(K$18='5.Variables'!$B$76,+'5.Variables'!$K86,+IF(K$18='5.Variables'!$B$90,+'5.Variables'!$K100,+IF(K$18='5.Variables'!$B$104,+'5.Variables'!$K114,0))))))</f>
        <v>133.19999999999999</v>
      </c>
      <c r="L124" s="725">
        <f>IF(L$18='5.Variables'!$B$16,+'5.Variables'!$K34,+IF(L$18='5.Variables'!$B$39,+'5.Variables'!$K58,+IF(L$18='5.Variables'!$B$62,+'5.Variables'!$K72,+IF(L$18='5.Variables'!$B$76,+'5.Variables'!$K86,+IF(L$18='5.Variables'!$B$90,+'5.Variables'!$K100,+IF(L$18='5.Variables'!$B$104,+'5.Variables'!$K114,0))))))</f>
        <v>10.1</v>
      </c>
      <c r="M124" s="725">
        <f>IF(M$18='5.Variables'!$B$16,+'5.Variables'!$K34,+IF(M$18='5.Variables'!$B$39,+'5.Variables'!$K58,+IF(M$18='5.Variables'!$B$62,+'5.Variables'!$K72,+IF(M$18='5.Variables'!$B$76,+'5.Variables'!$K86,+IF(M$18='5.Variables'!$B$90,+'5.Variables'!$K100,+IF(M$18='5.Variables'!$B$104,+'5.Variables'!$K114,0))))))</f>
        <v>0</v>
      </c>
      <c r="N124" s="725">
        <f>IF(N$18='5.Variables'!$B$16,+'5.Variables'!$K34,+IF(N$18='5.Variables'!$B$39,+'5.Variables'!$K58,+IF(N$18='5.Variables'!$B$62,+'5.Variables'!$K72,+IF(N$18='5.Variables'!$B$76,+'5.Variables'!$K86,+IF(N$18='5.Variables'!$B$90,+'5.Variables'!$K100,+IF(N$18='5.Variables'!$B$104,+'5.Variables'!$K114,0))))))</f>
        <v>0</v>
      </c>
      <c r="O124" s="725">
        <f>IF(O$18='5.Variables'!$B$16,+'5.Variables'!$K34,+IF(O$18='5.Variables'!$B$39,+'5.Variables'!$K58,+IF(O$18='5.Variables'!$B$62,+'5.Variables'!$K72,+IF(O$18='5.Variables'!$B$76,+'5.Variables'!$K86,+IF(O$18='5.Variables'!$B$90,+'5.Variables'!$K100,+IF(O$18='5.Variables'!$B$104,+'5.Variables'!$K114,0))))))</f>
        <v>30</v>
      </c>
      <c r="P124" s="725">
        <f>IF(P$18='5.Variables'!$B$16,+'5.Variables'!$K34,+IF(P$18='5.Variables'!$B$39,+'5.Variables'!$K58,+IF(P$18='5.Variables'!$B$62,+'5.Variables'!$K72,+IF(P$18='5.Variables'!$B$76,+'5.Variables'!$K86,+IF(P$18='5.Variables'!$B$90,+'5.Variables'!$K100,+IF(P$18='5.Variables'!$B$104,+'5.Variables'!$K114,0))))))</f>
        <v>0</v>
      </c>
      <c r="Q124" s="245"/>
      <c r="R124" s="558">
        <f t="shared" si="9"/>
        <v>14305430.423009491</v>
      </c>
      <c r="S124" s="265"/>
      <c r="T124" s="245"/>
      <c r="U124" s="245"/>
      <c r="V124" s="245"/>
      <c r="W124" s="245"/>
      <c r="X124" s="245"/>
      <c r="Y124" s="245"/>
      <c r="Z124" s="245"/>
      <c r="AA124" s="245"/>
      <c r="AB124" s="245"/>
      <c r="AC124" s="245"/>
      <c r="AD124" s="245"/>
      <c r="AE124" s="245"/>
      <c r="AF124" s="245"/>
      <c r="AG124" s="245"/>
      <c r="AH124" s="245"/>
      <c r="AI124" s="245"/>
      <c r="AJ124" s="245"/>
      <c r="AK124" s="245"/>
      <c r="AL124" s="245"/>
      <c r="AM124" s="245"/>
    </row>
    <row r="125" spans="1:39" x14ac:dyDescent="0.2">
      <c r="A125" s="503">
        <f t="shared" si="10"/>
        <v>106</v>
      </c>
      <c r="B125" s="262" t="str">
        <f>CONCATENATE('3. Consumption by Rate Class'!B130,"-",'3. Consumption by Rate Class'!C130)</f>
        <v>2013-October</v>
      </c>
      <c r="C125" s="699">
        <v>14838362.260899998</v>
      </c>
      <c r="D125" s="703"/>
      <c r="E125" s="703"/>
      <c r="F125" s="703"/>
      <c r="G125" s="703"/>
      <c r="H125" s="704"/>
      <c r="I125" s="704"/>
      <c r="J125" s="263">
        <f t="shared" si="8"/>
        <v>14838362.260899998</v>
      </c>
      <c r="K125" s="725">
        <f>IF(K$18='5.Variables'!$B$16,+'5.Variables'!$L35,+IF(K$18='5.Variables'!$B$39,+'5.Variables'!$L58,+IF(K$18='5.Variables'!$B$62,+'5.Variables'!$L72,+IF(K$18='5.Variables'!$B$76,+'5.Variables'!$L86,+IF(K$18='5.Variables'!$B$90,+'5.Variables'!$L100,+IF(K$18='5.Variables'!$B$104,+'5.Variables'!$L114,0))))))</f>
        <v>235.8</v>
      </c>
      <c r="L125" s="725">
        <f>IF(L$18='5.Variables'!$B$16,+'5.Variables'!$L34,+IF(L$18='5.Variables'!$B$39,+'5.Variables'!$L58,+IF(L$18='5.Variables'!$B$62,+'5.Variables'!$L72,+IF(L$18='5.Variables'!$B$76,+'5.Variables'!$L86,+IF(L$18='5.Variables'!$B$90,+'5.Variables'!$L100,+IF(L$18='5.Variables'!$B$104,+'5.Variables'!$L114,0))))))</f>
        <v>0.7</v>
      </c>
      <c r="M125" s="725">
        <f>IF(M$18='5.Variables'!$B$16,+'5.Variables'!$L34,+IF(M$18='5.Variables'!$B$39,+'5.Variables'!$L58,+IF(M$18='5.Variables'!$B$62,+'5.Variables'!$L72,+IF(M$18='5.Variables'!$B$76,+'5.Variables'!$L86,+IF(M$18='5.Variables'!$B$90,+'5.Variables'!$L100,+IF(M$18='5.Variables'!$B$104,+'5.Variables'!$L114,0))))))</f>
        <v>0</v>
      </c>
      <c r="N125" s="725">
        <f>IF(N$18='5.Variables'!$B$16,+'5.Variables'!$L34,+IF(N$18='5.Variables'!$B$39,+'5.Variables'!$L58,+IF(N$18='5.Variables'!$B$62,+'5.Variables'!$L72,+IF(N$18='5.Variables'!$B$76,+'5.Variables'!$L86,+IF(N$18='5.Variables'!$B$90,+'5.Variables'!$L100,+IF(N$18='5.Variables'!$B$104,+'5.Variables'!$L114,0))))))</f>
        <v>0</v>
      </c>
      <c r="O125" s="725">
        <f>IF(O$18='5.Variables'!$B$16,+'5.Variables'!$L34,+IF(O$18='5.Variables'!$B$39,+'5.Variables'!$L58,+IF(O$18='5.Variables'!$B$62,+'5.Variables'!$L72,+IF(O$18='5.Variables'!$B$76,+'5.Variables'!$L86,+IF(O$18='5.Variables'!$B$90,+'5.Variables'!$L100,+IF(O$18='5.Variables'!$B$104,+'5.Variables'!$L114,0))))))</f>
        <v>31</v>
      </c>
      <c r="P125" s="725">
        <f>IF(P$18='5.Variables'!$B$16,+'5.Variables'!$L34,+IF(P$18='5.Variables'!$B$39,+'5.Variables'!$L58,+IF(P$18='5.Variables'!$B$62,+'5.Variables'!$L72,+IF(P$18='5.Variables'!$B$76,+'5.Variables'!$L86,+IF(P$18='5.Variables'!$B$90,+'5.Variables'!$L100,+IF(P$18='5.Variables'!$B$104,+'5.Variables'!$L114,0))))))</f>
        <v>0</v>
      </c>
      <c r="Q125" s="245"/>
      <c r="R125" s="558">
        <f t="shared" si="9"/>
        <v>14779391.610091066</v>
      </c>
      <c r="S125" s="265"/>
      <c r="T125" s="245"/>
      <c r="U125" s="245"/>
      <c r="V125" s="245"/>
      <c r="W125" s="245"/>
      <c r="X125" s="245"/>
      <c r="Y125" s="245"/>
      <c r="Z125" s="245"/>
      <c r="AA125" s="245"/>
      <c r="AB125" s="245"/>
      <c r="AC125" s="245"/>
      <c r="AD125" s="245"/>
      <c r="AE125" s="245"/>
      <c r="AF125" s="245"/>
      <c r="AG125" s="245"/>
      <c r="AH125" s="245"/>
      <c r="AI125" s="245"/>
      <c r="AJ125" s="245"/>
      <c r="AK125" s="245"/>
      <c r="AL125" s="245"/>
      <c r="AM125" s="245"/>
    </row>
    <row r="126" spans="1:39" x14ac:dyDescent="0.2">
      <c r="A126" s="503">
        <f t="shared" si="10"/>
        <v>107</v>
      </c>
      <c r="B126" s="262" t="str">
        <f>CONCATENATE('3. Consumption by Rate Class'!B131,"-",'3. Consumption by Rate Class'!C131)</f>
        <v>2013-November</v>
      </c>
      <c r="C126" s="699">
        <v>16708052.818849999</v>
      </c>
      <c r="D126" s="703"/>
      <c r="E126" s="703"/>
      <c r="F126" s="703"/>
      <c r="G126" s="703"/>
      <c r="H126" s="704"/>
      <c r="I126" s="704"/>
      <c r="J126" s="263">
        <f t="shared" si="8"/>
        <v>16708052.818849999</v>
      </c>
      <c r="K126" s="725">
        <f>IF(K$18='5.Variables'!$B$16,+'5.Variables'!$M35,+IF(K$18='5.Variables'!$B$39,+'5.Variables'!$M58,+IF(K$18='5.Variables'!$B$62,+'5.Variables'!$M72,+IF(K$18='5.Variables'!$B$76,+'5.Variables'!$M86,+IF(K$18='5.Variables'!$B$90,+'5.Variables'!$M100,+IF(K$18='5.Variables'!$B$104,+'5.Variables'!$M114,0))))))</f>
        <v>560.79999999999995</v>
      </c>
      <c r="L126" s="725">
        <f>IF(L$18='5.Variables'!$B$16,+'5.Variables'!$M34,+IF(L$18='5.Variables'!$B$39,+'5.Variables'!$M58,+IF(L$18='5.Variables'!$B$62,+'5.Variables'!$M72,+IF(L$18='5.Variables'!$B$76,+'5.Variables'!$M86,+IF(L$18='5.Variables'!$B$90,+'5.Variables'!$M100,+IF(L$18='5.Variables'!$B$104,+'5.Variables'!$M114,0))))))</f>
        <v>0</v>
      </c>
      <c r="M126" s="725">
        <f>IF(M$18='5.Variables'!$B$16,+'5.Variables'!$M34,+IF(M$18='5.Variables'!$B$39,+'5.Variables'!$M58,+IF(M$18='5.Variables'!$B$62,+'5.Variables'!$M72,+IF(M$18='5.Variables'!$B$76,+'5.Variables'!$M86,+IF(M$18='5.Variables'!$B$90,+'5.Variables'!$M100,+IF(M$18='5.Variables'!$B$104,+'5.Variables'!$M114,0))))))</f>
        <v>0</v>
      </c>
      <c r="N126" s="725">
        <f>IF(N$18='5.Variables'!$B$16,+'5.Variables'!$M34,+IF(N$18='5.Variables'!$B$39,+'5.Variables'!$M58,+IF(N$18='5.Variables'!$B$62,+'5.Variables'!$M72,+IF(N$18='5.Variables'!$B$76,+'5.Variables'!$M86,+IF(N$18='5.Variables'!$B$90,+'5.Variables'!$M100,+IF(N$18='5.Variables'!$B$104,+'5.Variables'!$M114,0))))))</f>
        <v>0</v>
      </c>
      <c r="O126" s="725">
        <f>IF(O$18='5.Variables'!$B$16,+'5.Variables'!$M34,+IF(O$18='5.Variables'!$B$39,+'5.Variables'!$M58,+IF(O$18='5.Variables'!$B$62,+'5.Variables'!$M72,+IF(O$18='5.Variables'!$B$76,+'5.Variables'!$M86,+IF(O$18='5.Variables'!$B$90,+'5.Variables'!$M100,+IF(O$18='5.Variables'!$B$104,+'5.Variables'!$M114,0))))))</f>
        <v>30</v>
      </c>
      <c r="P126" s="725">
        <f>IF(P$18='5.Variables'!$B$16,+'5.Variables'!$M34,+IF(P$18='5.Variables'!$B$39,+'5.Variables'!$M58,+IF(P$18='5.Variables'!$B$62,+'5.Variables'!$M72,+IF(P$18='5.Variables'!$B$76,+'5.Variables'!$M86,+IF(P$18='5.Variables'!$B$90,+'5.Variables'!$M100,+IF(P$18='5.Variables'!$B$104,+'5.Variables'!$M114,0))))))</f>
        <v>0</v>
      </c>
      <c r="Q126" s="245"/>
      <c r="R126" s="558">
        <f t="shared" si="9"/>
        <v>17080819.809129596</v>
      </c>
      <c r="S126" s="265"/>
      <c r="T126" s="245"/>
      <c r="U126" s="245"/>
      <c r="V126" s="245"/>
      <c r="W126" s="245"/>
      <c r="X126" s="245"/>
      <c r="Y126" s="245"/>
      <c r="Z126" s="245"/>
      <c r="AA126" s="245"/>
      <c r="AB126" s="245"/>
      <c r="AC126" s="245"/>
      <c r="AD126" s="245"/>
      <c r="AE126" s="245"/>
      <c r="AF126" s="245"/>
      <c r="AG126" s="245"/>
      <c r="AH126" s="245"/>
      <c r="AI126" s="245"/>
      <c r="AJ126" s="245"/>
      <c r="AK126" s="245"/>
      <c r="AL126" s="245"/>
      <c r="AM126" s="245"/>
    </row>
    <row r="127" spans="1:39" x14ac:dyDescent="0.2">
      <c r="A127" s="503">
        <f t="shared" si="10"/>
        <v>108</v>
      </c>
      <c r="B127" s="522" t="str">
        <f>CONCATENATE('3. Consumption by Rate Class'!B132,"-",'3. Consumption by Rate Class'!C132)</f>
        <v>2013-December</v>
      </c>
      <c r="C127" s="698">
        <v>22597983.941599999</v>
      </c>
      <c r="D127" s="705"/>
      <c r="E127" s="705"/>
      <c r="F127" s="705"/>
      <c r="G127" s="705"/>
      <c r="H127" s="706"/>
      <c r="I127" s="706"/>
      <c r="J127" s="263">
        <f t="shared" si="8"/>
        <v>22597983.941599999</v>
      </c>
      <c r="K127" s="725">
        <f>IF(K$18='5.Variables'!$B$16,+'5.Variables'!$N35,+IF(K$18='5.Variables'!$B$39,+'5.Variables'!$N58,+IF(K$18='5.Variables'!$B$62,+'5.Variables'!$N72,+IF(K$18='5.Variables'!$B$76,+'5.Variables'!$N86,+IF(K$18='5.Variables'!$B$90,+'5.Variables'!$N100,+IF(K$18='5.Variables'!$B$104,+'5.Variables'!$N114,0))))))</f>
        <v>858.2</v>
      </c>
      <c r="L127" s="725">
        <f>IF(L$18='5.Variables'!$B$16,+'5.Variables'!$N34,+IF(L$18='5.Variables'!$B$39,+'5.Variables'!$N58,+IF(L$18='5.Variables'!$B$62,+'5.Variables'!$N72,+IF(L$18='5.Variables'!$B$76,+'5.Variables'!$N86,+IF(L$18='5.Variables'!$B$90,+'5.Variables'!$N100,+IF(L$18='5.Variables'!$B$104,+'5.Variables'!$N114,0))))))</f>
        <v>0</v>
      </c>
      <c r="M127" s="725">
        <f>IF(M$18='5.Variables'!$B$16,+'5.Variables'!$N34,+IF(M$18='5.Variables'!$B$39,+'5.Variables'!$N58,+IF(M$18='5.Variables'!$B$62,+'5.Variables'!$N72,+IF(M$18='5.Variables'!$B$76,+'5.Variables'!$N86,+IF(M$18='5.Variables'!$B$90,+'5.Variables'!$N100,+IF(M$18='5.Variables'!$B$104,+'5.Variables'!$N114,0))))))</f>
        <v>1</v>
      </c>
      <c r="N127" s="725">
        <f>IF(N$18='5.Variables'!$B$16,+'5.Variables'!$N34,+IF(N$18='5.Variables'!$B$39,+'5.Variables'!$N58,+IF(N$18='5.Variables'!$B$62,+'5.Variables'!$N72,+IF(N$18='5.Variables'!$B$76,+'5.Variables'!$N86,+IF(N$18='5.Variables'!$B$90,+'5.Variables'!$N100,+IF(N$18='5.Variables'!$B$104,+'5.Variables'!$N114,0))))))</f>
        <v>1</v>
      </c>
      <c r="O127" s="725">
        <f>IF(O$18='5.Variables'!$B$16,+'5.Variables'!$N34,+IF(O$18='5.Variables'!$B$39,+'5.Variables'!$N58,+IF(O$18='5.Variables'!$B$62,+'5.Variables'!$N72,+IF(O$18='5.Variables'!$B$76,+'5.Variables'!$N86,+IF(O$18='5.Variables'!$B$90,+'5.Variables'!$N100,+IF(O$18='5.Variables'!$B$104,+'5.Variables'!$N114,0))))))</f>
        <v>31</v>
      </c>
      <c r="P127" s="725">
        <f>IF(P$18='5.Variables'!$B$16,+'5.Variables'!$N34,+IF(P$18='5.Variables'!$B$39,+'5.Variables'!$N58,+IF(P$18='5.Variables'!$B$62,+'5.Variables'!$N72,+IF(P$18='5.Variables'!$B$76,+'5.Variables'!$N86,+IF(P$18='5.Variables'!$B$90,+'5.Variables'!$N100,+IF(P$18='5.Variables'!$B$104,+'5.Variables'!$N114,0))))))</f>
        <v>0</v>
      </c>
      <c r="Q127" s="245"/>
      <c r="R127" s="558">
        <f t="shared" si="9"/>
        <v>20679378.19773563</v>
      </c>
      <c r="S127" s="265">
        <f>SUM(R116:R127)</f>
        <v>199210663.16643396</v>
      </c>
      <c r="T127" s="245"/>
      <c r="U127" s="245"/>
      <c r="V127" s="245"/>
      <c r="W127" s="245"/>
      <c r="X127" s="245"/>
      <c r="Y127" s="245"/>
      <c r="Z127" s="245"/>
      <c r="AA127" s="245"/>
      <c r="AB127" s="245"/>
      <c r="AC127" s="245"/>
      <c r="AD127" s="245"/>
      <c r="AE127" s="245"/>
      <c r="AF127" s="245"/>
      <c r="AG127" s="245"/>
      <c r="AH127" s="245"/>
      <c r="AI127" s="245"/>
      <c r="AJ127" s="245"/>
      <c r="AK127" s="245"/>
      <c r="AL127" s="245"/>
      <c r="AM127" s="245"/>
    </row>
    <row r="128" spans="1:39" x14ac:dyDescent="0.2">
      <c r="A128" s="503">
        <f t="shared" si="10"/>
        <v>109</v>
      </c>
      <c r="B128" s="262" t="str">
        <f>CONCATENATE('3. Consumption by Rate Class'!B133,"-",'3. Consumption by Rate Class'!C133)</f>
        <v>2014-January</v>
      </c>
      <c r="C128" s="699">
        <v>20000992.900000002</v>
      </c>
      <c r="D128" s="703"/>
      <c r="E128" s="703"/>
      <c r="F128" s="703"/>
      <c r="G128" s="703"/>
      <c r="H128" s="704"/>
      <c r="I128" s="704"/>
      <c r="J128" s="263">
        <f t="shared" si="8"/>
        <v>20000992.900000002</v>
      </c>
      <c r="K128" s="725">
        <f>IF(K$18='5.Variables'!$B$16,+'5.Variables'!$C36,+IF(K$18='5.Variables'!$B$39,+'5.Variables'!$C59,+IF(K$18='5.Variables'!$B$62,+'5.Variables'!$C73,+IF(K$18='5.Variables'!$B$76,+'5.Variables'!$C87,+IF(K$18='5.Variables'!$B$90,+'5.Variables'!$C101,+IF(K$18='5.Variables'!$B$104,+'5.Variables'!$C115,0))))))</f>
        <v>918.30000000000007</v>
      </c>
      <c r="L128" s="725">
        <f>IF(L$18='5.Variables'!$B$16,+'5.Variables'!$C35,+IF(L$18='5.Variables'!$B$39,+'5.Variables'!$C59,+IF(L$18='5.Variables'!$B$62,+'5.Variables'!$C73,+IF(L$18='5.Variables'!$B$76,+'5.Variables'!$C87,+IF(L$18='5.Variables'!$B$90,+'5.Variables'!$C101,+IF(L$18='5.Variables'!$B$104,+'5.Variables'!$C115,0))))))</f>
        <v>0</v>
      </c>
      <c r="M128" s="725">
        <f>IF(M$18='5.Variables'!$B$16,+'5.Variables'!$C35,+IF(M$18='5.Variables'!$B$39,+'5.Variables'!$C59,+IF(M$18='5.Variables'!$B$62,+'5.Variables'!$C73,+IF(M$18='5.Variables'!$B$76,+'5.Variables'!$C87,+IF(M$18='5.Variables'!$B$90,+'5.Variables'!$C101,+IF(M$18='5.Variables'!$B$104,+'5.Variables'!$C115,0))))))</f>
        <v>1</v>
      </c>
      <c r="N128" s="725">
        <f>IF(N$18='5.Variables'!$B$16,+'5.Variables'!$C35,+IF(N$18='5.Variables'!$B$39,+'5.Variables'!$C59,+IF(N$18='5.Variables'!$B$62,+'5.Variables'!$C73,+IF(N$18='5.Variables'!$B$76,+'5.Variables'!$C87,+IF(N$18='5.Variables'!$B$90,+'5.Variables'!$C101,+IF(N$18='5.Variables'!$B$104,+'5.Variables'!$C115,0))))))</f>
        <v>1</v>
      </c>
      <c r="O128" s="725">
        <f>IF(O$18='5.Variables'!$B$16,+'5.Variables'!$C35,+IF(O$18='5.Variables'!$B$39,+'5.Variables'!$C59,+IF(O$18='5.Variables'!$B$62,+'5.Variables'!$C73,+IF(O$18='5.Variables'!$B$76,+'5.Variables'!$C87,+IF(O$18='5.Variables'!$B$90,+'5.Variables'!$C101,+IF(O$18='5.Variables'!$B$104,+'5.Variables'!$C115,0))))))</f>
        <v>31</v>
      </c>
      <c r="P128" s="725">
        <f>IF(P$18='5.Variables'!$B$16,+'5.Variables'!$C35,+IF(P$18='5.Variables'!$B$39,+'5.Variables'!$C59,+IF(P$18='5.Variables'!$B$62,+'5.Variables'!$C73,+IF(P$18='5.Variables'!$B$76,+'5.Variables'!$C87,+IF(P$18='5.Variables'!$B$90,+'5.Variables'!$C101,+IF(P$18='5.Variables'!$B$104,+'5.Variables'!$C115,0))))))</f>
        <v>0</v>
      </c>
      <c r="Q128" s="245"/>
      <c r="R128" s="558">
        <f t="shared" si="9"/>
        <v>21108527.394104708</v>
      </c>
      <c r="S128" s="265"/>
      <c r="T128" s="245"/>
      <c r="U128" s="245"/>
      <c r="V128" s="245"/>
      <c r="W128" s="245"/>
      <c r="X128" s="245"/>
      <c r="Y128" s="245"/>
      <c r="Z128" s="245"/>
      <c r="AA128" s="245"/>
      <c r="AB128" s="245"/>
      <c r="AC128" s="245"/>
      <c r="AD128" s="245"/>
      <c r="AE128" s="245"/>
      <c r="AF128" s="245"/>
      <c r="AG128" s="245"/>
      <c r="AH128" s="245"/>
      <c r="AI128" s="245"/>
      <c r="AJ128" s="245"/>
      <c r="AK128" s="245"/>
      <c r="AL128" s="245"/>
      <c r="AM128" s="245"/>
    </row>
    <row r="129" spans="1:39" x14ac:dyDescent="0.2">
      <c r="A129" s="503">
        <f t="shared" si="10"/>
        <v>110</v>
      </c>
      <c r="B129" s="262" t="str">
        <f>CONCATENATE('3. Consumption by Rate Class'!B134,"-",'3. Consumption by Rate Class'!C134)</f>
        <v>2014-February</v>
      </c>
      <c r="C129" s="699">
        <v>19226108.919999998</v>
      </c>
      <c r="D129" s="703"/>
      <c r="E129" s="703"/>
      <c r="F129" s="703"/>
      <c r="G129" s="703"/>
      <c r="H129" s="704"/>
      <c r="I129" s="704"/>
      <c r="J129" s="263">
        <f t="shared" si="8"/>
        <v>19226108.919999998</v>
      </c>
      <c r="K129" s="725">
        <f>IF(K$18='5.Variables'!$B$16,+'5.Variables'!$D36,+IF(K$18='5.Variables'!$B$39,+'5.Variables'!$D59,+IF(K$18='5.Variables'!$B$62,+'5.Variables'!$D73,+IF(K$18='5.Variables'!$B$76,+'5.Variables'!$D87,+IF(K$18='5.Variables'!$B$90,+'5.Variables'!$D101,+IF(K$18='5.Variables'!$B$104,+'5.Variables'!$D115,0))))))</f>
        <v>793.2</v>
      </c>
      <c r="L129" s="725">
        <f>IF(L$18='5.Variables'!$B$16,+'5.Variables'!$D35,+IF(L$18='5.Variables'!$B$39,+'5.Variables'!$D59,+IF(L$18='5.Variables'!$B$62,+'5.Variables'!$D73,+IF(L$18='5.Variables'!$B$76,+'5.Variables'!$D87,+IF(L$18='5.Variables'!$B$90,+'5.Variables'!$D101,+IF(L$18='5.Variables'!$B$104,+'5.Variables'!$D115,0))))))</f>
        <v>0</v>
      </c>
      <c r="M129" s="725">
        <f>IF(M$18='5.Variables'!$B$16,+'5.Variables'!$D35,+IF(M$18='5.Variables'!$B$39,+'5.Variables'!$D59,+IF(M$18='5.Variables'!$B$62,+'5.Variables'!$D73,+IF(M$18='5.Variables'!$B$76,+'5.Variables'!$D87,+IF(M$18='5.Variables'!$B$90,+'5.Variables'!$D101,+IF(M$18='5.Variables'!$B$104,+'5.Variables'!$D115,0))))))</f>
        <v>1</v>
      </c>
      <c r="N129" s="725">
        <f>IF(N$18='5.Variables'!$B$16,+'5.Variables'!$D35,+IF(N$18='5.Variables'!$B$39,+'5.Variables'!$D59,+IF(N$18='5.Variables'!$B$62,+'5.Variables'!$D73,+IF(N$18='5.Variables'!$B$76,+'5.Variables'!$D87,+IF(N$18='5.Variables'!$B$90,+'5.Variables'!$D101,+IF(N$18='5.Variables'!$B$104,+'5.Variables'!$D115,0))))))</f>
        <v>0</v>
      </c>
      <c r="O129" s="725">
        <f>IF(O$18='5.Variables'!$B$16,+'5.Variables'!$D35,+IF(O$18='5.Variables'!$B$39,+'5.Variables'!$D59,+IF(O$18='5.Variables'!$B$62,+'5.Variables'!$D73,+IF(O$18='5.Variables'!$B$76,+'5.Variables'!$D87,+IF(O$18='5.Variables'!$B$90,+'5.Variables'!$D101,+IF(O$18='5.Variables'!$B$104,+'5.Variables'!$D115,0))))))</f>
        <v>28</v>
      </c>
      <c r="P129" s="725">
        <f>IF(P$18='5.Variables'!$B$16,+'5.Variables'!$D35,+IF(P$18='5.Variables'!$B$39,+'5.Variables'!$D59,+IF(P$18='5.Variables'!$B$62,+'5.Variables'!$D73,+IF(P$18='5.Variables'!$B$76,+'5.Variables'!$D87,+IF(P$18='5.Variables'!$B$90,+'5.Variables'!$D101,+IF(P$18='5.Variables'!$B$104,+'5.Variables'!$D115,0))))))</f>
        <v>0</v>
      </c>
      <c r="Q129" s="245"/>
      <c r="R129" s="558">
        <f t="shared" si="9"/>
        <v>20215240.131779056</v>
      </c>
      <c r="S129" s="265"/>
      <c r="T129" s="245"/>
      <c r="U129" s="245"/>
      <c r="V129" s="245"/>
      <c r="W129" s="245"/>
      <c r="X129" s="245"/>
      <c r="Y129" s="245"/>
      <c r="Z129" s="245"/>
      <c r="AA129" s="245"/>
      <c r="AB129" s="245"/>
      <c r="AC129" s="245"/>
      <c r="AD129" s="245"/>
      <c r="AE129" s="245"/>
      <c r="AF129" s="245"/>
      <c r="AG129" s="245"/>
      <c r="AH129" s="245"/>
      <c r="AI129" s="245"/>
      <c r="AJ129" s="245"/>
      <c r="AK129" s="245"/>
      <c r="AL129" s="245"/>
      <c r="AM129" s="245"/>
    </row>
    <row r="130" spans="1:39" x14ac:dyDescent="0.2">
      <c r="A130" s="503">
        <f t="shared" si="10"/>
        <v>111</v>
      </c>
      <c r="B130" s="262" t="str">
        <f>CONCATENATE('3. Consumption by Rate Class'!B135,"-",'3. Consumption by Rate Class'!C135)</f>
        <v>2014-March</v>
      </c>
      <c r="C130" s="699">
        <v>17456699.59</v>
      </c>
      <c r="D130" s="703"/>
      <c r="E130" s="703"/>
      <c r="F130" s="703"/>
      <c r="G130" s="703"/>
      <c r="H130" s="704"/>
      <c r="I130" s="704"/>
      <c r="J130" s="263">
        <f t="shared" si="8"/>
        <v>17456699.59</v>
      </c>
      <c r="K130" s="725">
        <f>IF(K$18='5.Variables'!$B$16,+'5.Variables'!$E36,+IF(K$18='5.Variables'!$B$39,+'5.Variables'!$E59,+IF(K$18='5.Variables'!$B$62,+'5.Variables'!$E73,+IF(K$18='5.Variables'!$B$76,+'5.Variables'!$E87,+IF(K$18='5.Variables'!$B$90,+'5.Variables'!$E101,+IF(K$18='5.Variables'!$B$104,+'5.Variables'!$E115,0))))))</f>
        <v>783.6</v>
      </c>
      <c r="L130" s="725">
        <f>IF(L$18='5.Variables'!$B$16,+'5.Variables'!$E35,+IF(L$18='5.Variables'!$B$39,+'5.Variables'!$E59,+IF(L$18='5.Variables'!$B$62,+'5.Variables'!$E73,+IF(L$18='5.Variables'!$B$76,+'5.Variables'!$E87,+IF(L$18='5.Variables'!$B$90,+'5.Variables'!$E101,+IF(L$18='5.Variables'!$B$104,+'5.Variables'!$E115,0))))))</f>
        <v>0</v>
      </c>
      <c r="M130" s="725">
        <f>IF(M$18='5.Variables'!$B$16,+'5.Variables'!$E35,+IF(M$18='5.Variables'!$B$39,+'5.Variables'!$E59,+IF(M$18='5.Variables'!$B$62,+'5.Variables'!$E73,+IF(M$18='5.Variables'!$B$76,+'5.Variables'!$E87,+IF(M$18='5.Variables'!$B$90,+'5.Variables'!$E101,+IF(M$18='5.Variables'!$B$104,+'5.Variables'!$E115,0))))))</f>
        <v>0</v>
      </c>
      <c r="N130" s="725">
        <f>IF(N$18='5.Variables'!$B$16,+'5.Variables'!$E35,+IF(N$18='5.Variables'!$B$39,+'5.Variables'!$E59,+IF(N$18='5.Variables'!$B$62,+'5.Variables'!$E73,+IF(N$18='5.Variables'!$B$76,+'5.Variables'!$E87,+IF(N$18='5.Variables'!$B$90,+'5.Variables'!$E101,+IF(N$18='5.Variables'!$B$104,+'5.Variables'!$E115,0))))))</f>
        <v>1</v>
      </c>
      <c r="O130" s="725">
        <f>IF(O$18='5.Variables'!$B$16,+'5.Variables'!$E35,+IF(O$18='5.Variables'!$B$39,+'5.Variables'!$E59,+IF(O$18='5.Variables'!$B$62,+'5.Variables'!$E73,+IF(O$18='5.Variables'!$B$76,+'5.Variables'!$E87,+IF(O$18='5.Variables'!$B$90,+'5.Variables'!$E101,+IF(O$18='5.Variables'!$B$104,+'5.Variables'!$E115,0))))))</f>
        <v>31</v>
      </c>
      <c r="P130" s="725">
        <f>IF(P$18='5.Variables'!$B$16,+'5.Variables'!$E35,+IF(P$18='5.Variables'!$B$39,+'5.Variables'!$E59,+IF(P$18='5.Variables'!$B$62,+'5.Variables'!$E73,+IF(P$18='5.Variables'!$B$76,+'5.Variables'!$E87,+IF(P$18='5.Variables'!$B$90,+'5.Variables'!$E101,+IF(P$18='5.Variables'!$B$104,+'5.Variables'!$E115,0))))))</f>
        <v>0</v>
      </c>
      <c r="Q130" s="245"/>
      <c r="R130" s="558">
        <f t="shared" si="9"/>
        <v>18671742.287516132</v>
      </c>
      <c r="S130" s="265"/>
      <c r="T130" s="245"/>
      <c r="U130" s="245"/>
      <c r="V130" s="245"/>
      <c r="W130" s="245"/>
      <c r="X130" s="245"/>
      <c r="Y130" s="245"/>
      <c r="Z130" s="245"/>
      <c r="AA130" s="245"/>
      <c r="AB130" s="245"/>
      <c r="AC130" s="245"/>
      <c r="AD130" s="245"/>
      <c r="AE130" s="245"/>
      <c r="AF130" s="245"/>
      <c r="AG130" s="245"/>
      <c r="AH130" s="245"/>
      <c r="AI130" s="245"/>
      <c r="AJ130" s="245"/>
      <c r="AK130" s="245"/>
      <c r="AL130" s="245"/>
      <c r="AM130" s="245"/>
    </row>
    <row r="131" spans="1:39" x14ac:dyDescent="0.2">
      <c r="A131" s="503">
        <f t="shared" si="10"/>
        <v>112</v>
      </c>
      <c r="B131" s="262" t="str">
        <f>CONCATENATE('3. Consumption by Rate Class'!B136,"-",'3. Consumption by Rate Class'!C136)</f>
        <v>2014-April</v>
      </c>
      <c r="C131" s="699">
        <v>15348468.49</v>
      </c>
      <c r="D131" s="703"/>
      <c r="E131" s="703"/>
      <c r="F131" s="703"/>
      <c r="G131" s="703"/>
      <c r="H131" s="704"/>
      <c r="I131" s="704"/>
      <c r="J131" s="263">
        <f t="shared" si="8"/>
        <v>15348468.49</v>
      </c>
      <c r="K131" s="725">
        <f>IF(K$18='5.Variables'!$B$16,+'5.Variables'!$F36,+IF(K$18='5.Variables'!$B$39,+'5.Variables'!$F59,+IF(K$18='5.Variables'!$B$62,+'5.Variables'!$F73,+IF(K$18='5.Variables'!$B$76,+'5.Variables'!$F87,+IF(K$18='5.Variables'!$B$90,+'5.Variables'!$F101,+IF(K$18='5.Variables'!$B$104,+'5.Variables'!$F115,0))))))</f>
        <v>384.20000000000005</v>
      </c>
      <c r="L131" s="725">
        <f>IF(L$18='5.Variables'!$B$16,+'5.Variables'!$F35,+IF(L$18='5.Variables'!$B$39,+'5.Variables'!$F59,+IF(L$18='5.Variables'!$B$62,+'5.Variables'!$F73,+IF(L$18='5.Variables'!$B$76,+'5.Variables'!$F87,+IF(L$18='5.Variables'!$B$90,+'5.Variables'!$F101,+IF(L$18='5.Variables'!$B$104,+'5.Variables'!$F115,0))))))</f>
        <v>0</v>
      </c>
      <c r="M131" s="725">
        <f>IF(M$18='5.Variables'!$B$16,+'5.Variables'!$F35,+IF(M$18='5.Variables'!$B$39,+'5.Variables'!$F59,+IF(M$18='5.Variables'!$B$62,+'5.Variables'!$F73,+IF(M$18='5.Variables'!$B$76,+'5.Variables'!$F87,+IF(M$18='5.Variables'!$B$90,+'5.Variables'!$F101,+IF(M$18='5.Variables'!$B$104,+'5.Variables'!$F115,0))))))</f>
        <v>0</v>
      </c>
      <c r="N131" s="725">
        <f>IF(N$18='5.Variables'!$B$16,+'5.Variables'!$F35,+IF(N$18='5.Variables'!$B$39,+'5.Variables'!$F59,+IF(N$18='5.Variables'!$B$62,+'5.Variables'!$F73,+IF(N$18='5.Variables'!$B$76,+'5.Variables'!$F87,+IF(N$18='5.Variables'!$B$90,+'5.Variables'!$F101,+IF(N$18='5.Variables'!$B$104,+'5.Variables'!$F115,0))))))</f>
        <v>0</v>
      </c>
      <c r="O131" s="725">
        <f>IF(O$18='5.Variables'!$B$16,+'5.Variables'!$F35,+IF(O$18='5.Variables'!$B$39,+'5.Variables'!$F59,+IF(O$18='5.Variables'!$B$62,+'5.Variables'!$F73,+IF(O$18='5.Variables'!$B$76,+'5.Variables'!$F87,+IF(O$18='5.Variables'!$B$90,+'5.Variables'!$F101,+IF(O$18='5.Variables'!$B$104,+'5.Variables'!$F115,0))))))</f>
        <v>30</v>
      </c>
      <c r="P131" s="725">
        <f>IF(P$18='5.Variables'!$B$16,+'5.Variables'!$F35,+IF(P$18='5.Variables'!$B$39,+'5.Variables'!$F59,+IF(P$18='5.Variables'!$B$62,+'5.Variables'!$F73,+IF(P$18='5.Variables'!$B$76,+'5.Variables'!$F87,+IF(P$18='5.Variables'!$B$90,+'5.Variables'!$F101,+IF(P$18='5.Variables'!$B$104,+'5.Variables'!$F115,0))))))</f>
        <v>0</v>
      </c>
      <c r="Q131" s="245"/>
      <c r="R131" s="558">
        <f t="shared" si="9"/>
        <v>15819792.386853738</v>
      </c>
      <c r="S131" s="265"/>
      <c r="T131" s="245"/>
      <c r="U131" s="245"/>
      <c r="V131" s="245"/>
      <c r="W131" s="245"/>
      <c r="X131" s="245"/>
      <c r="Y131" s="245"/>
      <c r="Z131" s="245"/>
      <c r="AA131" s="245"/>
      <c r="AB131" s="245"/>
      <c r="AC131" s="245"/>
      <c r="AD131" s="245"/>
      <c r="AE131" s="245"/>
      <c r="AF131" s="245"/>
      <c r="AG131" s="245"/>
      <c r="AH131" s="245"/>
      <c r="AI131" s="245"/>
      <c r="AJ131" s="245"/>
      <c r="AK131" s="245"/>
      <c r="AL131" s="245"/>
      <c r="AM131" s="245"/>
    </row>
    <row r="132" spans="1:39" x14ac:dyDescent="0.2">
      <c r="A132" s="503">
        <f t="shared" si="10"/>
        <v>113</v>
      </c>
      <c r="B132" s="262" t="str">
        <f>CONCATENATE('3. Consumption by Rate Class'!B137,"-",'3. Consumption by Rate Class'!C137)</f>
        <v>2014-May</v>
      </c>
      <c r="C132" s="699">
        <v>14153569.25</v>
      </c>
      <c r="D132" s="703"/>
      <c r="E132" s="703"/>
      <c r="F132" s="703"/>
      <c r="G132" s="703"/>
      <c r="H132" s="704"/>
      <c r="I132" s="704"/>
      <c r="J132" s="263">
        <f t="shared" si="8"/>
        <v>14153569.25</v>
      </c>
      <c r="K132" s="725">
        <f>IF(K$18='5.Variables'!$B$16,+'5.Variables'!$G36,+IF(K$18='5.Variables'!$B$39,+'5.Variables'!$G59,+IF(K$18='5.Variables'!$B$62,+'5.Variables'!$G73,+IF(K$18='5.Variables'!$B$76,+'5.Variables'!$G87,+IF(K$18='5.Variables'!$B$90,+'5.Variables'!$G101,+IF(K$18='5.Variables'!$B$104,+'5.Variables'!$G115,0))))))</f>
        <v>127.3</v>
      </c>
      <c r="L132" s="725">
        <f>IF(L$18='5.Variables'!$B$16,+'5.Variables'!$G35,+IF(L$18='5.Variables'!$B$39,+'5.Variables'!$G59,+IF(L$18='5.Variables'!$B$62,+'5.Variables'!$G73,+IF(L$18='5.Variables'!$B$76,+'5.Variables'!$G87,+IF(L$18='5.Variables'!$B$90,+'5.Variables'!$G101,+IF(L$18='5.Variables'!$B$104,+'5.Variables'!$G115,0))))))</f>
        <v>8.8000000000000007</v>
      </c>
      <c r="M132" s="725">
        <f>IF(M$18='5.Variables'!$B$16,+'5.Variables'!$G35,+IF(M$18='5.Variables'!$B$39,+'5.Variables'!$G59,+IF(M$18='5.Variables'!$B$62,+'5.Variables'!$G73,+IF(M$18='5.Variables'!$B$76,+'5.Variables'!$G87,+IF(M$18='5.Variables'!$B$90,+'5.Variables'!$G101,+IF(M$18='5.Variables'!$B$104,+'5.Variables'!$G115,0))))))</f>
        <v>0</v>
      </c>
      <c r="N132" s="725">
        <f>IF(N$18='5.Variables'!$B$16,+'5.Variables'!$G35,+IF(N$18='5.Variables'!$B$39,+'5.Variables'!$G59,+IF(N$18='5.Variables'!$B$62,+'5.Variables'!$G73,+IF(N$18='5.Variables'!$B$76,+'5.Variables'!$G87,+IF(N$18='5.Variables'!$B$90,+'5.Variables'!$G101,+IF(N$18='5.Variables'!$B$104,+'5.Variables'!$G115,0))))))</f>
        <v>0</v>
      </c>
      <c r="O132" s="725">
        <f>IF(O$18='5.Variables'!$B$16,+'5.Variables'!$G35,+IF(O$18='5.Variables'!$B$39,+'5.Variables'!$G59,+IF(O$18='5.Variables'!$B$62,+'5.Variables'!$G73,+IF(O$18='5.Variables'!$B$76,+'5.Variables'!$G87,+IF(O$18='5.Variables'!$B$90,+'5.Variables'!$G101,+IF(O$18='5.Variables'!$B$104,+'5.Variables'!$G115,0))))))</f>
        <v>31</v>
      </c>
      <c r="P132" s="725">
        <f>IF(P$18='5.Variables'!$B$16,+'5.Variables'!$G35,+IF(P$18='5.Variables'!$B$39,+'5.Variables'!$G59,+IF(P$18='5.Variables'!$B$62,+'5.Variables'!$G73,+IF(P$18='5.Variables'!$B$76,+'5.Variables'!$G87,+IF(P$18='5.Variables'!$B$90,+'5.Variables'!$G101,+IF(P$18='5.Variables'!$B$104,+'5.Variables'!$G115,0))))))</f>
        <v>0</v>
      </c>
      <c r="Q132" s="245"/>
      <c r="R132" s="558">
        <f t="shared" si="9"/>
        <v>14227528.439266698</v>
      </c>
      <c r="S132" s="265"/>
      <c r="T132" s="245"/>
      <c r="U132" s="245"/>
      <c r="V132" s="245"/>
      <c r="W132" s="245"/>
      <c r="X132" s="245"/>
      <c r="Y132" s="245"/>
      <c r="Z132" s="245"/>
      <c r="AA132" s="245"/>
      <c r="AB132" s="245"/>
      <c r="AC132" s="245"/>
      <c r="AD132" s="245"/>
      <c r="AE132" s="245"/>
      <c r="AF132" s="245"/>
      <c r="AG132" s="245"/>
      <c r="AH132" s="245"/>
      <c r="AI132" s="245"/>
      <c r="AJ132" s="245"/>
      <c r="AK132" s="245"/>
      <c r="AL132" s="245"/>
      <c r="AM132" s="245"/>
    </row>
    <row r="133" spans="1:39" x14ac:dyDescent="0.2">
      <c r="A133" s="503">
        <f t="shared" si="10"/>
        <v>114</v>
      </c>
      <c r="B133" s="262" t="str">
        <f>CONCATENATE('3. Consumption by Rate Class'!B138,"-",'3. Consumption by Rate Class'!C138)</f>
        <v>2014-June</v>
      </c>
      <c r="C133" s="699">
        <v>15797161.310000001</v>
      </c>
      <c r="D133" s="703"/>
      <c r="E133" s="703"/>
      <c r="F133" s="703"/>
      <c r="G133" s="703"/>
      <c r="H133" s="704"/>
      <c r="I133" s="704"/>
      <c r="J133" s="263">
        <f t="shared" si="8"/>
        <v>15797161.310000001</v>
      </c>
      <c r="K133" s="725">
        <f>IF(K$18='5.Variables'!$B$16,+'5.Variables'!$H36,+IF(K$18='5.Variables'!$B$39,+'5.Variables'!$H59,+IF(K$18='5.Variables'!$B$62,+'5.Variables'!$H73,+IF(K$18='5.Variables'!$B$76,+'5.Variables'!$H87,+IF(K$18='5.Variables'!$B$90,+'5.Variables'!$H101,+IF(K$18='5.Variables'!$B$104,+'5.Variables'!$H115,0))))))</f>
        <v>20.299999999999997</v>
      </c>
      <c r="L133" s="725">
        <f>IF(L$18='5.Variables'!$B$16,+'5.Variables'!$H35,+IF(L$18='5.Variables'!$B$39,+'5.Variables'!$H59,+IF(L$18='5.Variables'!$B$62,+'5.Variables'!$H73,+IF(L$18='5.Variables'!$B$76,+'5.Variables'!$H87,+IF(L$18='5.Variables'!$B$90,+'5.Variables'!$H101,+IF(L$18='5.Variables'!$B$104,+'5.Variables'!$H115,0))))))</f>
        <v>54.9</v>
      </c>
      <c r="M133" s="725">
        <f>IF(M$18='5.Variables'!$B$16,+'5.Variables'!$H35,+IF(M$18='5.Variables'!$B$39,+'5.Variables'!$H59,+IF(M$18='5.Variables'!$B$62,+'5.Variables'!$H73,+IF(M$18='5.Variables'!$B$76,+'5.Variables'!$H87,+IF(M$18='5.Variables'!$B$90,+'5.Variables'!$H101,+IF(M$18='5.Variables'!$B$104,+'5.Variables'!$H115,0))))))</f>
        <v>0</v>
      </c>
      <c r="N133" s="725">
        <f>IF(N$18='5.Variables'!$B$16,+'5.Variables'!$H35,+IF(N$18='5.Variables'!$B$39,+'5.Variables'!$H59,+IF(N$18='5.Variables'!$B$62,+'5.Variables'!$H73,+IF(N$18='5.Variables'!$B$76,+'5.Variables'!$H87,+IF(N$18='5.Variables'!$B$90,+'5.Variables'!$H101,+IF(N$18='5.Variables'!$B$104,+'5.Variables'!$H115,0))))))</f>
        <v>0</v>
      </c>
      <c r="O133" s="725">
        <f>IF(O$18='5.Variables'!$B$16,+'5.Variables'!$H35,+IF(O$18='5.Variables'!$B$39,+'5.Variables'!$H59,+IF(O$18='5.Variables'!$B$62,+'5.Variables'!$H73,+IF(O$18='5.Variables'!$B$76,+'5.Variables'!$H87,+IF(O$18='5.Variables'!$B$90,+'5.Variables'!$H101,+IF(O$18='5.Variables'!$B$104,+'5.Variables'!$H115,0))))))</f>
        <v>30</v>
      </c>
      <c r="P133" s="725">
        <f>IF(P$18='5.Variables'!$B$16,+'5.Variables'!$H35,+IF(P$18='5.Variables'!$B$39,+'5.Variables'!$H59,+IF(P$18='5.Variables'!$B$62,+'5.Variables'!$H73,+IF(P$18='5.Variables'!$B$76,+'5.Variables'!$H87,+IF(P$18='5.Variables'!$B$90,+'5.Variables'!$H101,+IF(P$18='5.Variables'!$B$104,+'5.Variables'!$H115,0))))))</f>
        <v>0</v>
      </c>
      <c r="Q133" s="245"/>
      <c r="R133" s="558">
        <f t="shared" si="9"/>
        <v>14732034.673008591</v>
      </c>
      <c r="S133" s="265"/>
      <c r="T133" s="245"/>
      <c r="U133" s="245"/>
      <c r="V133" s="245"/>
      <c r="W133" s="245"/>
      <c r="X133" s="245"/>
      <c r="Y133" s="245"/>
      <c r="Z133" s="245"/>
      <c r="AA133" s="245"/>
      <c r="AB133" s="245"/>
      <c r="AC133" s="245"/>
      <c r="AD133" s="245"/>
      <c r="AE133" s="245"/>
      <c r="AF133" s="245"/>
      <c r="AG133" s="245"/>
      <c r="AH133" s="245"/>
      <c r="AI133" s="245"/>
      <c r="AJ133" s="245"/>
      <c r="AK133" s="245"/>
      <c r="AL133" s="245"/>
      <c r="AM133" s="245"/>
    </row>
    <row r="134" spans="1:39" x14ac:dyDescent="0.2">
      <c r="A134" s="503">
        <f t="shared" si="10"/>
        <v>115</v>
      </c>
      <c r="B134" s="262" t="str">
        <f>CONCATENATE('3. Consumption by Rate Class'!B139,"-",'3. Consumption by Rate Class'!C139)</f>
        <v>2014-July</v>
      </c>
      <c r="C134" s="699">
        <v>14657239.130000001</v>
      </c>
      <c r="D134" s="703"/>
      <c r="E134" s="703"/>
      <c r="F134" s="703"/>
      <c r="G134" s="703"/>
      <c r="H134" s="704"/>
      <c r="I134" s="704"/>
      <c r="J134" s="263">
        <f t="shared" si="8"/>
        <v>14657239.130000001</v>
      </c>
      <c r="K134" s="725">
        <f>IF(K$18='5.Variables'!$B$16,+'5.Variables'!$I35,+IF(K$18='5.Variables'!$B$39,+'5.Variables'!$I59,+IF(K$18='5.Variables'!$B$62,+'5.Variables'!$I73,+IF(K$18='5.Variables'!$B$76,+'5.Variables'!$I87,+IF(K$18='5.Variables'!$B$90,+'5.Variables'!$I101,+IF(K$18='5.Variables'!$B$104,+'5.Variables'!$I115,0))))))</f>
        <v>7.7</v>
      </c>
      <c r="L134" s="725">
        <f>IF(L$18='5.Variables'!$B$16,+'5.Variables'!$I35,+IF(L$18='5.Variables'!$B$39,+'5.Variables'!$I59,+IF(L$18='5.Variables'!$B$62,+'5.Variables'!$I73,+IF(L$18='5.Variables'!$B$76,+'5.Variables'!$I87,+IF(L$18='5.Variables'!$B$90,+'5.Variables'!$I101,+IF(L$18='5.Variables'!$B$104,+'5.Variables'!$I115,0))))))</f>
        <v>62.800000000000011</v>
      </c>
      <c r="M134" s="725">
        <f>IF(M$18='5.Variables'!$B$16,+'5.Variables'!$I35,+IF(M$18='5.Variables'!$B$39,+'5.Variables'!$I59,+IF(M$18='5.Variables'!$B$62,+'5.Variables'!$I73,+IF(M$18='5.Variables'!$B$76,+'5.Variables'!$I87,+IF(M$18='5.Variables'!$B$90,+'5.Variables'!$I101,+IF(M$18='5.Variables'!$B$104,+'5.Variables'!$I115,0))))))</f>
        <v>0</v>
      </c>
      <c r="N134" s="725">
        <f>IF(N$18='5.Variables'!$B$16,+'5.Variables'!$I35,+IF(N$18='5.Variables'!$B$39,+'5.Variables'!$I59,+IF(N$18='5.Variables'!$B$62,+'5.Variables'!$I73,+IF(N$18='5.Variables'!$B$76,+'5.Variables'!$I87,+IF(N$18='5.Variables'!$B$90,+'5.Variables'!$I101,+IF(N$18='5.Variables'!$B$104,+'5.Variables'!$I115,0))))))</f>
        <v>1</v>
      </c>
      <c r="O134" s="725">
        <f>IF(O$18='5.Variables'!$B$16,+'5.Variables'!$I35,+IF(O$18='5.Variables'!$B$39,+'5.Variables'!$I59,+IF(O$18='5.Variables'!$B$62,+'5.Variables'!$I73,+IF(O$18='5.Variables'!$B$76,+'5.Variables'!$I87,+IF(O$18='5.Variables'!$B$90,+'5.Variables'!$I101,+IF(O$18='5.Variables'!$B$104,+'5.Variables'!$I115,0))))))</f>
        <v>31</v>
      </c>
      <c r="P134" s="725">
        <f>IF(P$18='5.Variables'!$B$16,+'5.Variables'!$I35,+IF(P$18='5.Variables'!$B$39,+'5.Variables'!$I59,+IF(P$18='5.Variables'!$B$62,+'5.Variables'!$I73,+IF(P$18='5.Variables'!$B$76,+'5.Variables'!$I87,+IF(P$18='5.Variables'!$B$90,+'5.Variables'!$I101,+IF(P$18='5.Variables'!$B$104,+'5.Variables'!$I115,0))))))</f>
        <v>0</v>
      </c>
      <c r="Q134" s="245"/>
      <c r="R134" s="558">
        <f t="shared" si="9"/>
        <v>14859450.198183967</v>
      </c>
      <c r="S134" s="265"/>
      <c r="T134" s="245"/>
      <c r="U134" s="245"/>
      <c r="V134" s="245"/>
      <c r="W134" s="245"/>
      <c r="X134" s="245"/>
      <c r="Y134" s="245"/>
      <c r="Z134" s="245"/>
      <c r="AA134" s="245"/>
      <c r="AB134" s="245"/>
      <c r="AC134" s="245"/>
      <c r="AD134" s="245"/>
      <c r="AE134" s="245"/>
      <c r="AF134" s="245"/>
      <c r="AG134" s="245"/>
      <c r="AH134" s="245"/>
      <c r="AI134" s="245"/>
      <c r="AJ134" s="245"/>
      <c r="AK134" s="245"/>
      <c r="AL134" s="245"/>
      <c r="AM134" s="245"/>
    </row>
    <row r="135" spans="1:39" x14ac:dyDescent="0.2">
      <c r="A135" s="503">
        <f t="shared" si="10"/>
        <v>116</v>
      </c>
      <c r="B135" s="262" t="str">
        <f>CONCATENATE('3. Consumption by Rate Class'!B140,"-",'3. Consumption by Rate Class'!C140)</f>
        <v>2014-August</v>
      </c>
      <c r="C135" s="699">
        <v>14519949.390000001</v>
      </c>
      <c r="D135" s="703"/>
      <c r="E135" s="703"/>
      <c r="F135" s="703"/>
      <c r="G135" s="703"/>
      <c r="H135" s="704"/>
      <c r="I135" s="704"/>
      <c r="J135" s="263">
        <f t="shared" si="8"/>
        <v>14519949.390000001</v>
      </c>
      <c r="K135" s="725">
        <f>IF(K$18='5.Variables'!$B$16,+'5.Variables'!$J36,+IF(K$18='5.Variables'!$B$39,+'5.Variables'!$J59,+IF(K$18='5.Variables'!$B$62,+'5.Variables'!$J73,+IF(K$18='5.Variables'!$B$76,+'5.Variables'!$J87,+IF(K$18='5.Variables'!$B$90,+'5.Variables'!$J101,+IF(K$18='5.Variables'!$B$104,+'5.Variables'!$J115,0))))))</f>
        <v>21.400000000000002</v>
      </c>
      <c r="L135" s="725">
        <f>IF(L$18='5.Variables'!$B$16,+'5.Variables'!$J35,+IF(L$18='5.Variables'!$B$39,+'5.Variables'!$J59,+IF(L$18='5.Variables'!$B$62,+'5.Variables'!$J73,+IF(L$18='5.Variables'!$B$76,+'5.Variables'!$J87,+IF(L$18='5.Variables'!$B$90,+'5.Variables'!$J101,+IF(L$18='5.Variables'!$B$104,+'5.Variables'!$J115,0))))))</f>
        <v>55.800000000000004</v>
      </c>
      <c r="M135" s="725">
        <f>IF(M$18='5.Variables'!$B$16,+'5.Variables'!$J35,+IF(M$18='5.Variables'!$B$39,+'5.Variables'!$J59,+IF(M$18='5.Variables'!$B$62,+'5.Variables'!$J73,+IF(M$18='5.Variables'!$B$76,+'5.Variables'!$J87,+IF(M$18='5.Variables'!$B$90,+'5.Variables'!$J101,+IF(M$18='5.Variables'!$B$104,+'5.Variables'!$J115,0))))))</f>
        <v>0</v>
      </c>
      <c r="N135" s="725">
        <f>IF(N$18='5.Variables'!$B$16,+'5.Variables'!$J35,+IF(N$18='5.Variables'!$B$39,+'5.Variables'!$J59,+IF(N$18='5.Variables'!$B$62,+'5.Variables'!$J73,+IF(N$18='5.Variables'!$B$76,+'5.Variables'!$J87,+IF(N$18='5.Variables'!$B$90,+'5.Variables'!$J101,+IF(N$18='5.Variables'!$B$104,+'5.Variables'!$J115,0))))))</f>
        <v>0</v>
      </c>
      <c r="O135" s="725">
        <f>IF(O$18='5.Variables'!$B$16,+'5.Variables'!$J35,+IF(O$18='5.Variables'!$B$39,+'5.Variables'!$J59,+IF(O$18='5.Variables'!$B$62,+'5.Variables'!$J73,+IF(O$18='5.Variables'!$B$76,+'5.Variables'!$J87,+IF(O$18='5.Variables'!$B$90,+'5.Variables'!$J101,+IF(O$18='5.Variables'!$B$104,+'5.Variables'!$J115,0))))))</f>
        <v>31</v>
      </c>
      <c r="P135" s="725">
        <f>IF(P$18='5.Variables'!$B$16,+'5.Variables'!$J35,+IF(P$18='5.Variables'!$B$39,+'5.Variables'!$J59,+IF(P$18='5.Variables'!$B$62,+'5.Variables'!$J73,+IF(P$18='5.Variables'!$B$76,+'5.Variables'!$J87,+IF(P$18='5.Variables'!$B$90,+'5.Variables'!$J101,+IF(P$18='5.Variables'!$B$104,+'5.Variables'!$J115,0))))))</f>
        <v>0</v>
      </c>
      <c r="Q135" s="245"/>
      <c r="R135" s="558">
        <f t="shared" si="9"/>
        <v>14764654.913872991</v>
      </c>
      <c r="S135" s="265"/>
      <c r="T135" s="245"/>
      <c r="U135" s="245"/>
      <c r="V135" s="245"/>
      <c r="W135" s="245"/>
      <c r="X135" s="245"/>
      <c r="Y135" s="245"/>
      <c r="Z135" s="245"/>
      <c r="AA135" s="245"/>
      <c r="AB135" s="245"/>
      <c r="AC135" s="245"/>
      <c r="AD135" s="245"/>
      <c r="AE135" s="245"/>
      <c r="AF135" s="245"/>
      <c r="AG135" s="245"/>
      <c r="AH135" s="245"/>
      <c r="AI135" s="245"/>
      <c r="AJ135" s="245"/>
      <c r="AK135" s="245"/>
      <c r="AL135" s="245"/>
      <c r="AM135" s="245"/>
    </row>
    <row r="136" spans="1:39" x14ac:dyDescent="0.2">
      <c r="A136" s="503">
        <f t="shared" si="10"/>
        <v>117</v>
      </c>
      <c r="B136" s="262" t="str">
        <f>CONCATENATE('3. Consumption by Rate Class'!B141,"-",'3. Consumption by Rate Class'!C141)</f>
        <v>2014-September</v>
      </c>
      <c r="C136" s="699">
        <v>11739127.049999999</v>
      </c>
      <c r="D136" s="703"/>
      <c r="E136" s="703"/>
      <c r="F136" s="703"/>
      <c r="G136" s="703"/>
      <c r="H136" s="704"/>
      <c r="I136" s="704"/>
      <c r="J136" s="263">
        <f t="shared" si="8"/>
        <v>11739127.049999999</v>
      </c>
      <c r="K136" s="725">
        <f>IF(K$18='5.Variables'!$B$16,+'5.Variables'!$K36,+IF(K$18='5.Variables'!$B$39,+'5.Variables'!$K59,+IF(K$18='5.Variables'!$B$62,+'5.Variables'!$K73,+IF(K$18='5.Variables'!$B$76,+'5.Variables'!$K87,+IF(K$18='5.Variables'!$B$90,+'5.Variables'!$K101,+IF(K$18='5.Variables'!$B$104,+'5.Variables'!$K115,0))))))</f>
        <v>110.3</v>
      </c>
      <c r="L136" s="725">
        <f>IF(L$18='5.Variables'!$B$16,+'5.Variables'!$K35,+IF(L$18='5.Variables'!$B$39,+'5.Variables'!$K59,+IF(L$18='5.Variables'!$B$62,+'5.Variables'!$K73,+IF(L$18='5.Variables'!$B$76,+'5.Variables'!$K87,+IF(L$18='5.Variables'!$B$90,+'5.Variables'!$K101,+IF(L$18='5.Variables'!$B$104,+'5.Variables'!$K115,0))))))</f>
        <v>21.600000000000005</v>
      </c>
      <c r="M136" s="725">
        <f>IF(M$18='5.Variables'!$B$16,+'5.Variables'!$K35,+IF(M$18='5.Variables'!$B$39,+'5.Variables'!$K59,+IF(M$18='5.Variables'!$B$62,+'5.Variables'!$K73,+IF(M$18='5.Variables'!$B$76,+'5.Variables'!$K87,+IF(M$18='5.Variables'!$B$90,+'5.Variables'!$K101,+IF(M$18='5.Variables'!$B$104,+'5.Variables'!$K115,0))))))</f>
        <v>0</v>
      </c>
      <c r="N136" s="725">
        <f>IF(N$18='5.Variables'!$B$16,+'5.Variables'!$K35,+IF(N$18='5.Variables'!$B$39,+'5.Variables'!$K59,+IF(N$18='5.Variables'!$B$62,+'5.Variables'!$K73,+IF(N$18='5.Variables'!$B$76,+'5.Variables'!$K87,+IF(N$18='5.Variables'!$B$90,+'5.Variables'!$K101,+IF(N$18='5.Variables'!$B$104,+'5.Variables'!$K115,0))))))</f>
        <v>0</v>
      </c>
      <c r="O136" s="725">
        <f>IF(O$18='5.Variables'!$B$16,+'5.Variables'!$K35,+IF(O$18='5.Variables'!$B$39,+'5.Variables'!$K59,+IF(O$18='5.Variables'!$B$62,+'5.Variables'!$K73,+IF(O$18='5.Variables'!$B$76,+'5.Variables'!$K87,+IF(O$18='5.Variables'!$B$90,+'5.Variables'!$K101,+IF(O$18='5.Variables'!$B$104,+'5.Variables'!$K115,0))))))</f>
        <v>30</v>
      </c>
      <c r="P136" s="725">
        <f>IF(P$18='5.Variables'!$B$16,+'5.Variables'!$K35,+IF(P$18='5.Variables'!$B$39,+'5.Variables'!$K59,+IF(P$18='5.Variables'!$B$62,+'5.Variables'!$K73,+IF(P$18='5.Variables'!$B$76,+'5.Variables'!$K87,+IF(P$18='5.Variables'!$B$90,+'5.Variables'!$K101,+IF(P$18='5.Variables'!$B$104,+'5.Variables'!$K115,0))))))</f>
        <v>0</v>
      </c>
      <c r="Q136" s="245"/>
      <c r="R136" s="558">
        <f t="shared" si="9"/>
        <v>14458360.302879984</v>
      </c>
      <c r="S136" s="265"/>
      <c r="T136" s="245"/>
      <c r="U136" s="245"/>
      <c r="V136" s="245"/>
      <c r="W136" s="245"/>
      <c r="X136" s="245"/>
      <c r="Y136" s="245"/>
      <c r="Z136" s="245"/>
      <c r="AA136" s="245"/>
      <c r="AB136" s="245"/>
      <c r="AC136" s="245"/>
      <c r="AD136" s="245"/>
      <c r="AE136" s="245"/>
      <c r="AF136" s="245"/>
      <c r="AG136" s="245"/>
      <c r="AH136" s="245"/>
      <c r="AI136" s="245"/>
      <c r="AJ136" s="245"/>
      <c r="AK136" s="245"/>
      <c r="AL136" s="245"/>
      <c r="AM136" s="245"/>
    </row>
    <row r="137" spans="1:39" x14ac:dyDescent="0.2">
      <c r="A137" s="503">
        <f t="shared" si="10"/>
        <v>118</v>
      </c>
      <c r="B137" s="262" t="str">
        <f>CONCATENATE('3. Consumption by Rate Class'!B142,"-",'3. Consumption by Rate Class'!C142)</f>
        <v>2014-October</v>
      </c>
      <c r="C137" s="699">
        <v>14153187.039999999</v>
      </c>
      <c r="D137" s="703"/>
      <c r="E137" s="703"/>
      <c r="F137" s="703"/>
      <c r="G137" s="703"/>
      <c r="H137" s="704"/>
      <c r="I137" s="704"/>
      <c r="J137" s="263">
        <f t="shared" si="8"/>
        <v>14153187.039999999</v>
      </c>
      <c r="K137" s="725">
        <f>IF(K$18='5.Variables'!$B$16,+'5.Variables'!$L36,+IF(K$18='5.Variables'!$B$39,+'5.Variables'!$L59,+IF(K$18='5.Variables'!$B$62,+'5.Variables'!$L73,+IF(K$18='5.Variables'!$B$76,+'5.Variables'!$L87,+IF(K$18='5.Variables'!$B$90,+'5.Variables'!$L101,+IF(K$18='5.Variables'!$B$104,+'5.Variables'!$L115,0))))))</f>
        <v>257.90000000000003</v>
      </c>
      <c r="L137" s="725">
        <f>IF(L$18='5.Variables'!$B$16,+'5.Variables'!$L35,+IF(L$18='5.Variables'!$B$39,+'5.Variables'!$L59,+IF(L$18='5.Variables'!$B$62,+'5.Variables'!$L73,+IF(L$18='5.Variables'!$B$76,+'5.Variables'!$L87,+IF(L$18='5.Variables'!$B$90,+'5.Variables'!$L101,+IF(L$18='5.Variables'!$B$104,+'5.Variables'!$L115,0))))))</f>
        <v>3.1</v>
      </c>
      <c r="M137" s="725">
        <f>IF(M$18='5.Variables'!$B$16,+'5.Variables'!$L35,+IF(M$18='5.Variables'!$B$39,+'5.Variables'!$L59,+IF(M$18='5.Variables'!$B$62,+'5.Variables'!$L73,+IF(M$18='5.Variables'!$B$76,+'5.Variables'!$L87,+IF(M$18='5.Variables'!$B$90,+'5.Variables'!$L101,+IF(M$18='5.Variables'!$B$104,+'5.Variables'!$L115,0))))))</f>
        <v>0</v>
      </c>
      <c r="N137" s="725">
        <f>IF(N$18='5.Variables'!$B$16,+'5.Variables'!$L35,+IF(N$18='5.Variables'!$B$39,+'5.Variables'!$L59,+IF(N$18='5.Variables'!$B$62,+'5.Variables'!$L73,+IF(N$18='5.Variables'!$B$76,+'5.Variables'!$L87,+IF(N$18='5.Variables'!$B$90,+'5.Variables'!$L101,+IF(N$18='5.Variables'!$B$104,+'5.Variables'!$L115,0))))))</f>
        <v>0</v>
      </c>
      <c r="O137" s="725">
        <f>IF(O$18='5.Variables'!$B$16,+'5.Variables'!$L35,+IF(O$18='5.Variables'!$B$39,+'5.Variables'!$L59,+IF(O$18='5.Variables'!$B$62,+'5.Variables'!$L73,+IF(O$18='5.Variables'!$B$76,+'5.Variables'!$L87,+IF(O$18='5.Variables'!$B$90,+'5.Variables'!$L101,+IF(O$18='5.Variables'!$B$104,+'5.Variables'!$L115,0))))))</f>
        <v>31</v>
      </c>
      <c r="P137" s="725">
        <f>IF(P$18='5.Variables'!$B$16,+'5.Variables'!$L35,+IF(P$18='5.Variables'!$B$39,+'5.Variables'!$L59,+IF(P$18='5.Variables'!$B$62,+'5.Variables'!$L73,+IF(P$18='5.Variables'!$B$76,+'5.Variables'!$L87,+IF(P$18='5.Variables'!$B$90,+'5.Variables'!$L101,+IF(P$18='5.Variables'!$B$104,+'5.Variables'!$L115,0))))))</f>
        <v>0</v>
      </c>
      <c r="Q137" s="245"/>
      <c r="R137" s="558">
        <f t="shared" si="9"/>
        <v>15003240.14363974</v>
      </c>
      <c r="S137" s="265"/>
      <c r="T137" s="245"/>
      <c r="U137" s="245"/>
      <c r="V137" s="245"/>
      <c r="W137" s="245"/>
      <c r="X137" s="245"/>
      <c r="Y137" s="245"/>
      <c r="Z137" s="245"/>
      <c r="AA137" s="245"/>
      <c r="AB137" s="245"/>
      <c r="AC137" s="245"/>
      <c r="AD137" s="245"/>
      <c r="AE137" s="245"/>
      <c r="AF137" s="245"/>
      <c r="AG137" s="245"/>
      <c r="AH137" s="245"/>
      <c r="AI137" s="245"/>
      <c r="AJ137" s="245"/>
      <c r="AK137" s="245"/>
      <c r="AL137" s="245"/>
      <c r="AM137" s="245"/>
    </row>
    <row r="138" spans="1:39" x14ac:dyDescent="0.2">
      <c r="A138" s="503">
        <f t="shared" si="10"/>
        <v>119</v>
      </c>
      <c r="B138" s="262" t="str">
        <f>CONCATENATE('3. Consumption by Rate Class'!B143,"-",'3. Consumption by Rate Class'!C143)</f>
        <v>2014-November</v>
      </c>
      <c r="C138" s="699">
        <v>16001153.539999999</v>
      </c>
      <c r="D138" s="703"/>
      <c r="E138" s="703"/>
      <c r="F138" s="703"/>
      <c r="G138" s="703"/>
      <c r="H138" s="704"/>
      <c r="I138" s="704"/>
      <c r="J138" s="263">
        <f t="shared" si="8"/>
        <v>16001153.539999999</v>
      </c>
      <c r="K138" s="725">
        <f>IF(K$18='5.Variables'!$B$16,+'5.Variables'!$M36,+IF(K$18='5.Variables'!$B$39,+'5.Variables'!$M59,+IF(K$18='5.Variables'!$B$62,+'5.Variables'!$M73,+IF(K$18='5.Variables'!$B$76,+'5.Variables'!$M87,+IF(K$18='5.Variables'!$B$90,+'5.Variables'!$M101,+IF(K$18='5.Variables'!$B$104,+'5.Variables'!$M115,0))))))</f>
        <v>510.6</v>
      </c>
      <c r="L138" s="725">
        <f>IF(L$18='5.Variables'!$B$16,+'5.Variables'!$M35,+IF(L$18='5.Variables'!$B$39,+'5.Variables'!$M59,+IF(L$18='5.Variables'!$B$62,+'5.Variables'!$M73,+IF(L$18='5.Variables'!$B$76,+'5.Variables'!$M87,+IF(L$18='5.Variables'!$B$90,+'5.Variables'!$M101,+IF(L$18='5.Variables'!$B$104,+'5.Variables'!$M115,0))))))</f>
        <v>0</v>
      </c>
      <c r="M138" s="725">
        <f>IF(M$18='5.Variables'!$B$16,+'5.Variables'!$M35,+IF(M$18='5.Variables'!$B$39,+'5.Variables'!$M59,+IF(M$18='5.Variables'!$B$62,+'5.Variables'!$M73,+IF(M$18='5.Variables'!$B$76,+'5.Variables'!$M87,+IF(M$18='5.Variables'!$B$90,+'5.Variables'!$M101,+IF(M$18='5.Variables'!$B$104,+'5.Variables'!$M115,0))))))</f>
        <v>0</v>
      </c>
      <c r="N138" s="725">
        <f>IF(N$18='5.Variables'!$B$16,+'5.Variables'!$M35,+IF(N$18='5.Variables'!$B$39,+'5.Variables'!$M59,+IF(N$18='5.Variables'!$B$62,+'5.Variables'!$M73,+IF(N$18='5.Variables'!$B$76,+'5.Variables'!$M87,+IF(N$18='5.Variables'!$B$90,+'5.Variables'!$M101,+IF(N$18='5.Variables'!$B$104,+'5.Variables'!$M115,0))))))</f>
        <v>0</v>
      </c>
      <c r="O138" s="725">
        <f>IF(O$18='5.Variables'!$B$16,+'5.Variables'!$M35,+IF(O$18='5.Variables'!$B$39,+'5.Variables'!$M59,+IF(O$18='5.Variables'!$B$62,+'5.Variables'!$M73,+IF(O$18='5.Variables'!$B$76,+'5.Variables'!$M87,+IF(O$18='5.Variables'!$B$90,+'5.Variables'!$M101,+IF(O$18='5.Variables'!$B$104,+'5.Variables'!$M115,0))))))</f>
        <v>30</v>
      </c>
      <c r="P138" s="725">
        <f>IF(P$18='5.Variables'!$B$16,+'5.Variables'!$M35,+IF(P$18='5.Variables'!$B$39,+'5.Variables'!$M59,+IF(P$18='5.Variables'!$B$62,+'5.Variables'!$M73,+IF(P$18='5.Variables'!$B$76,+'5.Variables'!$M87,+IF(P$18='5.Variables'!$B$90,+'5.Variables'!$M101,+IF(P$18='5.Variables'!$B$104,+'5.Variables'!$M115,0))))))</f>
        <v>0</v>
      </c>
      <c r="Q138" s="245"/>
      <c r="R138" s="558">
        <f t="shared" si="9"/>
        <v>16722362.410498522</v>
      </c>
      <c r="S138" s="265"/>
      <c r="T138" s="245"/>
      <c r="U138" s="245"/>
      <c r="V138" s="245"/>
      <c r="W138" s="245"/>
      <c r="X138" s="245"/>
      <c r="Y138" s="245"/>
      <c r="Z138" s="245"/>
      <c r="AA138" s="245"/>
      <c r="AB138" s="245"/>
      <c r="AC138" s="245"/>
      <c r="AD138" s="245"/>
      <c r="AE138" s="245"/>
      <c r="AF138" s="245"/>
      <c r="AG138" s="245"/>
      <c r="AH138" s="245"/>
      <c r="AI138" s="245"/>
      <c r="AJ138" s="245"/>
      <c r="AK138" s="245"/>
      <c r="AL138" s="245"/>
      <c r="AM138" s="245"/>
    </row>
    <row r="139" spans="1:39" x14ac:dyDescent="0.2">
      <c r="A139" s="503">
        <f t="shared" si="10"/>
        <v>120</v>
      </c>
      <c r="B139" s="522" t="str">
        <f>CONCATENATE('3. Consumption by Rate Class'!B144,"-",'3. Consumption by Rate Class'!C144)</f>
        <v>2014-December</v>
      </c>
      <c r="C139" s="698">
        <v>18583491.75</v>
      </c>
      <c r="D139" s="705"/>
      <c r="E139" s="705"/>
      <c r="F139" s="705"/>
      <c r="G139" s="705"/>
      <c r="H139" s="706"/>
      <c r="I139" s="706"/>
      <c r="J139" s="263">
        <f t="shared" si="8"/>
        <v>18583491.75</v>
      </c>
      <c r="K139" s="725">
        <f>IF(K$18='5.Variables'!$B$16,+'5.Variables'!$N36,+IF(K$18='5.Variables'!$B$39,+'5.Variables'!$N59,+IF(K$18='5.Variables'!$B$62,+'5.Variables'!$N73,+IF(K$18='5.Variables'!$B$76,+'5.Variables'!$N87,+IF(K$18='5.Variables'!$B$90,+'5.Variables'!$N101,+IF(K$18='5.Variables'!$B$104,+'5.Variables'!$N115,0))))))</f>
        <v>696.39999999999986</v>
      </c>
      <c r="L139" s="725">
        <f>IF(L$18='5.Variables'!$B$16,+'5.Variables'!$N35,+IF(L$18='5.Variables'!$B$39,+'5.Variables'!$N59,+IF(L$18='5.Variables'!$B$62,+'5.Variables'!$N73,+IF(L$18='5.Variables'!$B$76,+'5.Variables'!$N87,+IF(L$18='5.Variables'!$B$90,+'5.Variables'!$N101,+IF(L$18='5.Variables'!$B$104,+'5.Variables'!$N115,0))))))</f>
        <v>0</v>
      </c>
      <c r="M139" s="725">
        <f>IF(M$18='5.Variables'!$B$16,+'5.Variables'!$N35,+IF(M$18='5.Variables'!$B$39,+'5.Variables'!$N59,+IF(M$18='5.Variables'!$B$62,+'5.Variables'!$N73,+IF(M$18='5.Variables'!$B$76,+'5.Variables'!$N87,+IF(M$18='5.Variables'!$B$90,+'5.Variables'!$N101,+IF(M$18='5.Variables'!$B$104,+'5.Variables'!$N115,0))))))</f>
        <v>1</v>
      </c>
      <c r="N139" s="725">
        <f>IF(N$18='5.Variables'!$B$16,+'5.Variables'!$N35,+IF(N$18='5.Variables'!$B$39,+'5.Variables'!$N59,+IF(N$18='5.Variables'!$B$62,+'5.Variables'!$N73,+IF(N$18='5.Variables'!$B$76,+'5.Variables'!$N87,+IF(N$18='5.Variables'!$B$90,+'5.Variables'!$N101,+IF(N$18='5.Variables'!$B$104,+'5.Variables'!$N115,0))))))</f>
        <v>1</v>
      </c>
      <c r="O139" s="725">
        <f>IF(O$18='5.Variables'!$B$16,+'5.Variables'!$N35,+IF(O$18='5.Variables'!$B$39,+'5.Variables'!$N59,+IF(O$18='5.Variables'!$B$62,+'5.Variables'!$N73,+IF(O$18='5.Variables'!$B$76,+'5.Variables'!$N87,+IF(O$18='5.Variables'!$B$90,+'5.Variables'!$N101,+IF(O$18='5.Variables'!$B$104,+'5.Variables'!$N115,0))))))</f>
        <v>31</v>
      </c>
      <c r="P139" s="725">
        <f>IF(P$18='5.Variables'!$B$16,+'5.Variables'!$N35,+IF(P$18='5.Variables'!$B$39,+'5.Variables'!$N59,+IF(P$18='5.Variables'!$B$62,+'5.Variables'!$N73,+IF(P$18='5.Variables'!$B$76,+'5.Variables'!$N87,+IF(P$18='5.Variables'!$B$90,+'5.Variables'!$N101,+IF(P$18='5.Variables'!$B$104,+'5.Variables'!$N115,0))))))</f>
        <v>0</v>
      </c>
      <c r="Q139" s="245"/>
      <c r="R139" s="558">
        <f t="shared" si="9"/>
        <v>19524031.442785263</v>
      </c>
      <c r="S139" s="265">
        <f>SUM(R128:R139)</f>
        <v>200106964.7243894</v>
      </c>
      <c r="T139" s="245"/>
      <c r="U139" s="245"/>
      <c r="V139" s="245"/>
      <c r="W139" s="245"/>
      <c r="X139" s="245"/>
      <c r="Y139" s="245"/>
      <c r="Z139" s="245"/>
      <c r="AA139" s="245"/>
      <c r="AB139" s="245"/>
      <c r="AC139" s="245"/>
      <c r="AD139" s="245"/>
      <c r="AE139" s="245"/>
      <c r="AF139" s="245"/>
      <c r="AG139" s="245"/>
      <c r="AH139" s="245"/>
      <c r="AI139" s="245"/>
      <c r="AJ139" s="245"/>
      <c r="AK139" s="245"/>
      <c r="AL139" s="245"/>
      <c r="AM139" s="245"/>
    </row>
    <row r="140" spans="1:39" x14ac:dyDescent="0.2">
      <c r="A140" s="503">
        <f t="shared" si="10"/>
        <v>121</v>
      </c>
      <c r="B140" s="262" t="str">
        <f>CONCATENATE('3. Consumption by Rate Class'!B145,"-",'3. Consumption by Rate Class'!C145)</f>
        <v>2015-January</v>
      </c>
      <c r="C140" s="699"/>
      <c r="D140" s="703"/>
      <c r="E140" s="703"/>
      <c r="F140" s="703"/>
      <c r="G140" s="703"/>
      <c r="H140" s="704"/>
      <c r="I140" s="704"/>
      <c r="J140" s="263"/>
      <c r="K140" s="744">
        <f>IF(K$19=$B$169,+AVERAGE(K20,K32,K44,K56,K68,K80,K92,K104,K116,K128),+IF(K$19=$B$170,+(EXP((LN(+'4. Customer Growth'!$W$42)/12))*$K139),IF($K$19=$B$171,+$A140*$C$176+$D$176,0)))</f>
        <v>845.20999999999981</v>
      </c>
      <c r="L140" s="744">
        <f>IF(L$19=$B$169,+AVERAGE(L20,L32,L44,L56,L68,L80,L92,L104,L116,L128),+IF(L$19=$B$170,+(EXP((LN(+'4. Customer Growth'!$W$42)/12))*$K139),IF($L$19=$B$171,+$A140*$C$177+$D$177,0)))</f>
        <v>0</v>
      </c>
      <c r="M140" s="744">
        <f>IF(M$19=$B$169,+AVERAGE(M20,M32,M44,M56,M68,M80,M92,M104,M116,M128),+IF(M$19=$B$170,+(EXP((LN(+'4. Customer Growth'!$W$42)/12))*$K139),IF($M$19=$B$171,+$A140*$C$178+$D$178,0)))</f>
        <v>1</v>
      </c>
      <c r="N140" s="744">
        <f>IF(N$19=$B$169,+AVERAGE(N20,N32,N44,N56,N68,N80,N92,N104,N116,N128),+IF(N$19=$B$170,+(EXP((LN(+'4. Customer Growth'!$W$42)/12))*$K139),IF($N$19=$B$171,+$A140*$C$179+$D$179,0)))</f>
        <v>1</v>
      </c>
      <c r="O140" s="744">
        <f>IF(O$19=$B$169,+AVERAGE(O20,O32,O44,O56,O68,O80,O92,O104,O116,O128),+IF(O$19=$B$170,+(EXP((LN(+'4. Customer Growth'!$W$42)/12))*$O139),IF($O$19=$B$171,+$A140*$C$180+$D$180,0)))</f>
        <v>31</v>
      </c>
      <c r="P140" s="744">
        <f>IF(P$19=$B$169,+AVERAGE(P20,P32,P44,P56,P68,P80,P92,P104,P116,P128),+IF(P$19=$B$170,+(EXP((LN(+'4. Customer Growth'!$W$42)/12))*$P139),IF($P$19=$B$171,+$A140*$C$181+$D$181,0)))</f>
        <v>0</v>
      </c>
      <c r="Q140" s="245"/>
      <c r="R140" s="558">
        <f t="shared" si="9"/>
        <v>20586621.990400612</v>
      </c>
      <c r="S140" s="265"/>
      <c r="T140" s="245"/>
      <c r="U140" s="245"/>
      <c r="V140" s="245"/>
      <c r="W140" s="245"/>
      <c r="X140" s="245"/>
      <c r="Y140" s="245"/>
      <c r="Z140" s="245"/>
      <c r="AA140" s="245"/>
      <c r="AB140" s="245"/>
      <c r="AC140" s="245"/>
      <c r="AD140" s="245"/>
      <c r="AE140" s="245"/>
      <c r="AF140" s="245"/>
      <c r="AG140" s="245"/>
      <c r="AH140" s="245"/>
      <c r="AI140" s="245"/>
      <c r="AJ140" s="245"/>
      <c r="AK140" s="245"/>
      <c r="AL140" s="245"/>
      <c r="AM140" s="245"/>
    </row>
    <row r="141" spans="1:39" x14ac:dyDescent="0.2">
      <c r="A141" s="503">
        <f t="shared" si="10"/>
        <v>122</v>
      </c>
      <c r="B141" s="262" t="str">
        <f>CONCATENATE('3. Consumption by Rate Class'!B146,"-",'3. Consumption by Rate Class'!C146)</f>
        <v>2015-February</v>
      </c>
      <c r="C141" s="699"/>
      <c r="D141" s="703"/>
      <c r="E141" s="703"/>
      <c r="F141" s="703"/>
      <c r="G141" s="703"/>
      <c r="H141" s="704"/>
      <c r="I141" s="704"/>
      <c r="J141" s="263"/>
      <c r="K141" s="744">
        <f>IF(K$19=$B$169,+AVERAGE(K21,K33,K45,K57,K69,K81,K93,K105,K117,K129),+IF(K$19=$B$170,+(EXP((LN(+'4. Customer Growth'!$W$42)/12))*$K140),IF($K$19=$B$171,+$A141*$C$176+$D$176,0)))</f>
        <v>730.78</v>
      </c>
      <c r="L141" s="744">
        <f>IF(L$19=$B$169,+AVERAGE(L21,L33,L45,L57,L69,L81,L93,L105,L117,L129),+IF(L$19=$B$170,+(EXP((LN(+'4. Customer Growth'!$W$42)/12))*$K140),IF($L$19=$B$171,+$A141*$C$177+$D$177,0)))</f>
        <v>0</v>
      </c>
      <c r="M141" s="744">
        <f>IF(M$19=$B$169,+AVERAGE(M21,M33,M45,M57,M69,M81,M93,M105,M117,M129),+IF(M$19=$B$170,+(EXP((LN(+'4. Customer Growth'!$W$42)/12))*$K140),IF($M$19=$B$171,+$A141*$C$178+$D$178,0)))</f>
        <v>1</v>
      </c>
      <c r="N141" s="744">
        <f>IF(N$19=$B$169,+AVERAGE(N21,N33,N45,N57,N69,N81,N93,N105,N117,N129),+IF(N$19=$B$170,+(EXP((LN(+'4. Customer Growth'!$W$42)/12))*$K140),IF($N$19=$B$171,+$A141*$C$179+$D$179,0)))</f>
        <v>0</v>
      </c>
      <c r="O141" s="744">
        <f>IF(O$19=$B$169,+AVERAGE(O21,O33,O45,O57,O69,O81,O93,O105,O117,O129),+IF(O$19=$B$170,+(EXP((LN(+'4. Customer Growth'!$W$42)/12))*$O140),IF($O$19=$B$171,+$A141*$C$180+$D$180,0)))</f>
        <v>28.2</v>
      </c>
      <c r="P141" s="744">
        <f>IF(P$19=$B$169,+AVERAGE(P21,P33,P45,P57,P69,P81,P93,P105,P117,P129),+IF(P$19=$B$170,+(EXP((LN(+'4. Customer Growth'!$W$42)/12))*$P140),IF($P$19=$B$171,+$A141*$C$181+$D$181,0)))</f>
        <v>0</v>
      </c>
      <c r="Q141" s="245"/>
      <c r="R141" s="558">
        <f t="shared" si="9"/>
        <v>19769524.776748143</v>
      </c>
      <c r="S141" s="265"/>
      <c r="T141" s="245"/>
      <c r="U141" s="245"/>
      <c r="V141" s="245"/>
      <c r="W141" s="245"/>
      <c r="X141" s="245"/>
      <c r="Y141" s="245"/>
      <c r="Z141" s="245"/>
      <c r="AA141" s="245"/>
      <c r="AB141" s="245"/>
      <c r="AC141" s="245"/>
      <c r="AD141" s="245"/>
      <c r="AE141" s="245"/>
      <c r="AF141" s="245"/>
      <c r="AG141" s="245"/>
      <c r="AH141" s="245"/>
      <c r="AI141" s="245"/>
      <c r="AJ141" s="245"/>
      <c r="AK141" s="245"/>
      <c r="AL141" s="245"/>
      <c r="AM141" s="245"/>
    </row>
    <row r="142" spans="1:39" x14ac:dyDescent="0.2">
      <c r="A142" s="503">
        <f t="shared" si="10"/>
        <v>123</v>
      </c>
      <c r="B142" s="262" t="str">
        <f>CONCATENATE('3. Consumption by Rate Class'!B147,"-",'3. Consumption by Rate Class'!C147)</f>
        <v>2015-March</v>
      </c>
      <c r="C142" s="699"/>
      <c r="D142" s="703"/>
      <c r="E142" s="703"/>
      <c r="F142" s="703"/>
      <c r="G142" s="703"/>
      <c r="H142" s="704"/>
      <c r="I142" s="704"/>
      <c r="J142" s="263"/>
      <c r="K142" s="744">
        <f>IF(K$19=$B$169,+AVERAGE(K22,K34,K46,K58,K70,K82,K94,K106,K118,K130),+IF(K$19=$B$170,+(EXP((LN(+'4. Customer Growth'!$W$42)/12))*$K141),IF($K$19=$B$171,+$A142*$C$176+$D$176,0)))</f>
        <v>615.04000000000008</v>
      </c>
      <c r="L142" s="744">
        <f>IF(L$19=$B$169,+AVERAGE(L22,L34,L46,L58,L70,L82,L94,L106,L118,L130),+IF(L$19=$B$170,+(EXP((LN(+'4. Customer Growth'!$W$42)/12))*$K141),IF($L$19=$B$171,+$A142*$C$177+$D$177,0)))</f>
        <v>0</v>
      </c>
      <c r="M142" s="744">
        <f>IF(M$19=$B$169,+AVERAGE(M22,M34,M46,M58,M70,M82,M94,M106,M118,M130),+IF(M$19=$B$170,+(EXP((LN(+'4. Customer Growth'!$W$42)/12))*$K141),IF($M$19=$B$171,+$A142*$C$178+$D$178,0)))</f>
        <v>0</v>
      </c>
      <c r="N142" s="744">
        <f>IF(N$19=$B$169,+AVERAGE(N22,N34,N46,N58,N70,N82,N94,N106,N118,N130),+IF(N$19=$B$170,+(EXP((LN(+'4. Customer Growth'!$W$42)/12))*$K141),IF($N$19=$B$171,+$A142*$C$179+$D$179,0)))</f>
        <v>1</v>
      </c>
      <c r="O142" s="744">
        <f>IF(O$19=$B$169,+AVERAGE(O22,O34,O46,O58,O70,O82,O94,O106,O118,O130),+IF(O$19=$B$170,+(EXP((LN(+'4. Customer Growth'!$W$42)/12))*$O141),IF($O$19=$B$171,+$A142*$C$180+$D$180,0)))</f>
        <v>31</v>
      </c>
      <c r="P142" s="744">
        <f>IF(P$19=$B$169,+AVERAGE(P22,P34,P46,P58,P70,P82,P94,P106,P118,P130),+IF(P$19=$B$170,+(EXP((LN(+'4. Customer Growth'!$W$42)/12))*$P141),IF($P$19=$B$171,+$A142*$C$181+$D$181,0)))</f>
        <v>0</v>
      </c>
      <c r="Q142" s="245"/>
      <c r="R142" s="558">
        <f t="shared" si="9"/>
        <v>17468125.173706286</v>
      </c>
      <c r="S142" s="265"/>
      <c r="T142" s="245"/>
      <c r="U142" s="245"/>
      <c r="V142" s="245"/>
      <c r="W142" s="245"/>
      <c r="X142" s="245"/>
      <c r="Y142" s="245"/>
      <c r="Z142" s="245"/>
      <c r="AA142" s="245"/>
      <c r="AB142" s="245"/>
      <c r="AC142" s="245"/>
      <c r="AD142" s="245"/>
      <c r="AE142" s="245"/>
      <c r="AF142" s="245"/>
      <c r="AG142" s="245"/>
      <c r="AH142" s="245"/>
      <c r="AI142" s="245"/>
      <c r="AJ142" s="245"/>
      <c r="AK142" s="245"/>
      <c r="AL142" s="245"/>
      <c r="AM142" s="245"/>
    </row>
    <row r="143" spans="1:39" x14ac:dyDescent="0.2">
      <c r="A143" s="503">
        <f t="shared" si="10"/>
        <v>124</v>
      </c>
      <c r="B143" s="262" t="str">
        <f>CONCATENATE('3. Consumption by Rate Class'!B148,"-",'3. Consumption by Rate Class'!C148)</f>
        <v>2015-April</v>
      </c>
      <c r="C143" s="699"/>
      <c r="D143" s="703"/>
      <c r="E143" s="703"/>
      <c r="F143" s="703"/>
      <c r="G143" s="703"/>
      <c r="H143" s="704"/>
      <c r="I143" s="704"/>
      <c r="J143" s="263"/>
      <c r="K143" s="744">
        <f>IF(K$19=$B$169,+AVERAGE(K23,K35,K47,K59,K71,K83,K95,K107,K119,K131),+IF(K$19=$B$170,+(EXP((LN(+'4. Customer Growth'!$W$42)/12))*$K142),IF($K$19=$B$171,+$A143*$C$176+$D$176,0)))</f>
        <v>327.99000000000007</v>
      </c>
      <c r="L143" s="744">
        <f>IF(L$19=$B$169,+AVERAGE(L23,L35,L47,L59,L71,L83,L95,L107,L119,L131),+IF(L$19=$B$170,+(EXP((LN(+'4. Customer Growth'!$W$42)/12))*$K142),IF($L$19=$B$171,+$A143*$C$177+$D$177,0)))</f>
        <v>0.73</v>
      </c>
      <c r="M143" s="744">
        <f>IF(M$19=$B$169,+AVERAGE(M23,M35,M47,M59,M71,M83,M95,M107,M119,M131),+IF(M$19=$B$170,+(EXP((LN(+'4. Customer Growth'!$W$42)/12))*$K142),IF($M$19=$B$171,+$A143*$C$178+$D$178,0)))</f>
        <v>0</v>
      </c>
      <c r="N143" s="744">
        <f>IF(N$19=$B$169,+AVERAGE(N23,N35,N47,N59,N71,N83,N95,N107,N119,N131),+IF(N$19=$B$170,+(EXP((LN(+'4. Customer Growth'!$W$42)/12))*$K142),IF($N$19=$B$171,+$A143*$C$179+$D$179,0)))</f>
        <v>0</v>
      </c>
      <c r="O143" s="744">
        <f>IF(O$19=$B$169,+AVERAGE(O23,O35,O47,O59,O71,O83,O95,O107,O119,O131),+IF(O$19=$B$170,+(EXP((LN(+'4. Customer Growth'!$W$42)/12))*$O142),IF($O$19=$B$171,+$A143*$C$180+$D$180,0)))</f>
        <v>30</v>
      </c>
      <c r="P143" s="744">
        <f>IF(P$19=$B$169,+AVERAGE(P23,P35,P47,P59,P71,P83,P95,P107,P119,P131),+IF(P$19=$B$170,+(EXP((LN(+'4. Customer Growth'!$W$42)/12))*$P142),IF($P$19=$B$171,+$A143*$C$181+$D$181,0)))</f>
        <v>0</v>
      </c>
      <c r="Q143" s="245"/>
      <c r="R143" s="558">
        <f t="shared" si="9"/>
        <v>15438507.719219133</v>
      </c>
      <c r="S143" s="265"/>
      <c r="T143" s="245"/>
      <c r="U143" s="245"/>
      <c r="V143" s="245"/>
      <c r="W143" s="245"/>
      <c r="X143" s="245"/>
      <c r="Y143" s="245"/>
      <c r="Z143" s="245"/>
      <c r="AA143" s="245"/>
      <c r="AB143" s="245"/>
      <c r="AC143" s="245"/>
      <c r="AD143" s="245"/>
      <c r="AE143" s="245"/>
      <c r="AF143" s="245"/>
      <c r="AG143" s="245"/>
      <c r="AH143" s="245"/>
      <c r="AI143" s="245"/>
      <c r="AJ143" s="245"/>
      <c r="AK143" s="245"/>
      <c r="AL143" s="245"/>
      <c r="AM143" s="245"/>
    </row>
    <row r="144" spans="1:39" x14ac:dyDescent="0.2">
      <c r="A144" s="503">
        <f t="shared" si="10"/>
        <v>125</v>
      </c>
      <c r="B144" s="262" t="str">
        <f>CONCATENATE('3. Consumption by Rate Class'!B149,"-",'3. Consumption by Rate Class'!C149)</f>
        <v>2015-May</v>
      </c>
      <c r="C144" s="699"/>
      <c r="D144" s="703"/>
      <c r="E144" s="703"/>
      <c r="F144" s="703"/>
      <c r="G144" s="703"/>
      <c r="H144" s="704"/>
      <c r="I144" s="704"/>
      <c r="J144" s="263"/>
      <c r="K144" s="744">
        <f>IF(K$19=$B$169,+AVERAGE(K24,K36,K48,K60,K72,K84,K96,K108,K120,K132),+IF(K$19=$B$170,+(EXP((LN(+'4. Customer Growth'!$W$42)/12))*$K143),IF($K$19=$B$171,+$A144*$C$176+$D$176,0)))</f>
        <v>144.16</v>
      </c>
      <c r="L144" s="744">
        <f>IF(L$19=$B$169,+AVERAGE(L24,L36,L48,L60,L72,L84,L96,L108,L120,L132),+IF(L$19=$B$170,+(EXP((LN(+'4. Customer Growth'!$W$42)/12))*$K143),IF($L$19=$B$171,+$A144*$C$177+$D$177,0)))</f>
        <v>13.930000000000001</v>
      </c>
      <c r="M144" s="744">
        <f>IF(M$19=$B$169,+AVERAGE(M24,M36,M48,M60,M72,M84,M96,M108,M120,M132),+IF(M$19=$B$170,+(EXP((LN(+'4. Customer Growth'!$W$42)/12))*$K143),IF($M$19=$B$171,+$A144*$C$178+$D$178,0)))</f>
        <v>0</v>
      </c>
      <c r="N144" s="744">
        <f>IF(N$19=$B$169,+AVERAGE(N24,N36,N48,N60,N72,N84,N96,N108,N120,N132),+IF(N$19=$B$170,+(EXP((LN(+'4. Customer Growth'!$W$42)/12))*$K143),IF($N$19=$B$171,+$A144*$C$179+$D$179,0)))</f>
        <v>0</v>
      </c>
      <c r="O144" s="744">
        <f>IF(O$19=$B$169,+AVERAGE(O24,O36,O48,O60,O72,O84,O96,O108,O120,O132),+IF(O$19=$B$170,+(EXP((LN(+'4. Customer Growth'!$W$42)/12))*$O143),IF($O$19=$B$171,+$A144*$C$180+$D$180,0)))</f>
        <v>31</v>
      </c>
      <c r="P144" s="744">
        <f>IF(P$19=$B$169,+AVERAGE(P24,P36,P48,P60,P72,P84,P96,P108,P120,P132),+IF(P$19=$B$170,+(EXP((LN(+'4. Customer Growth'!$W$42)/12))*$P143),IF($P$19=$B$171,+$A144*$C$181+$D$181,0)))</f>
        <v>0</v>
      </c>
      <c r="Q144" s="245"/>
      <c r="R144" s="558">
        <f t="shared" si="9"/>
        <v>14489082.614016553</v>
      </c>
      <c r="S144" s="265"/>
      <c r="T144" s="245"/>
      <c r="U144" s="245"/>
      <c r="V144" s="245"/>
      <c r="W144" s="245"/>
      <c r="X144" s="245"/>
      <c r="Y144" s="245"/>
      <c r="Z144" s="245"/>
      <c r="AA144" s="245"/>
      <c r="AB144" s="245"/>
      <c r="AC144" s="245"/>
      <c r="AD144" s="245"/>
      <c r="AE144" s="245"/>
      <c r="AF144" s="245"/>
      <c r="AG144" s="245"/>
      <c r="AH144" s="245"/>
      <c r="AI144" s="245"/>
      <c r="AJ144" s="245"/>
      <c r="AK144" s="245"/>
      <c r="AL144" s="245"/>
      <c r="AM144" s="245"/>
    </row>
    <row r="145" spans="1:39" x14ac:dyDescent="0.2">
      <c r="A145" s="503">
        <f t="shared" si="10"/>
        <v>126</v>
      </c>
      <c r="B145" s="262" t="str">
        <f>CONCATENATE('3. Consumption by Rate Class'!B150,"-",'3. Consumption by Rate Class'!C150)</f>
        <v>2015-June</v>
      </c>
      <c r="C145" s="699"/>
      <c r="D145" s="703"/>
      <c r="E145" s="703"/>
      <c r="F145" s="703"/>
      <c r="G145" s="703"/>
      <c r="H145" s="704"/>
      <c r="I145" s="704"/>
      <c r="J145" s="263"/>
      <c r="K145" s="744">
        <f>IF(K$19=$B$169,+AVERAGE(K25,K37,K49,K61,K73,K85,K97,K109,K121,K133),+IF(K$19=$B$170,+(EXP((LN(+'4. Customer Growth'!$W$42)/12))*$K144),IF($K$19=$B$171,+$A145*$C$176+$D$176,0)))</f>
        <v>31.26</v>
      </c>
      <c r="L145" s="744">
        <f>IF(L$19=$B$169,+AVERAGE(L25,L37,L49,L61,L73,L85,L97,L109,L121,L133),+IF(L$19=$B$170,+(EXP((LN(+'4. Customer Growth'!$W$42)/12))*$K144),IF($L$19=$B$171,+$A145*$C$177+$D$177,0)))</f>
        <v>58.929999999999993</v>
      </c>
      <c r="M145" s="744">
        <f>IF(M$19=$B$169,+AVERAGE(M25,M37,M49,M61,M73,M85,M97,M109,M121,M133),+IF(M$19=$B$170,+(EXP((LN(+'4. Customer Growth'!$W$42)/12))*$K144),IF($M$19=$B$171,+$A145*$C$178+$D$178,0)))</f>
        <v>0</v>
      </c>
      <c r="N145" s="744">
        <f>IF(N$19=$B$169,+AVERAGE(N25,N37,N49,N61,N73,N85,N97,N109,N121,N133),+IF(N$19=$B$170,+(EXP((LN(+'4. Customer Growth'!$W$42)/12))*$K144),IF($N$19=$B$171,+$A145*$C$179+$D$179,0)))</f>
        <v>0</v>
      </c>
      <c r="O145" s="744">
        <f>IF(O$19=$B$169,+AVERAGE(O25,O37,O49,O61,O73,O85,O97,O109,O121,O133),+IF(O$19=$B$170,+(EXP((LN(+'4. Customer Growth'!$W$42)/12))*$O144),IF($O$19=$B$171,+$A145*$C$180+$D$180,0)))</f>
        <v>30</v>
      </c>
      <c r="P145" s="744">
        <f>IF(P$19=$B$169,+AVERAGE(P25,P37,P49,P61,P73,P85,P97,P109,P121,P133),+IF(P$19=$B$170,+(EXP((LN(+'4. Customer Growth'!$W$42)/12))*$P144),IF($P$19=$B$171,+$A145*$C$181+$D$181,0)))</f>
        <v>0</v>
      </c>
      <c r="Q145" s="245"/>
      <c r="R145" s="558">
        <f t="shared" si="9"/>
        <v>14921190.329942605</v>
      </c>
      <c r="S145" s="265"/>
      <c r="T145" s="245"/>
      <c r="U145" s="245"/>
      <c r="V145" s="245"/>
      <c r="W145" s="245"/>
      <c r="X145" s="276"/>
      <c r="Y145" s="245"/>
      <c r="Z145" s="245"/>
      <c r="AA145" s="245"/>
      <c r="AB145" s="245"/>
      <c r="AC145" s="245"/>
      <c r="AD145" s="245"/>
      <c r="AE145" s="245"/>
      <c r="AF145" s="245"/>
      <c r="AG145" s="245"/>
      <c r="AH145" s="245"/>
      <c r="AI145" s="245"/>
      <c r="AJ145" s="245"/>
      <c r="AK145" s="245"/>
      <c r="AL145" s="245"/>
      <c r="AM145" s="245"/>
    </row>
    <row r="146" spans="1:39" x14ac:dyDescent="0.2">
      <c r="A146" s="503">
        <f t="shared" si="10"/>
        <v>127</v>
      </c>
      <c r="B146" s="262" t="str">
        <f>CONCATENATE('3. Consumption by Rate Class'!B151,"-",'3. Consumption by Rate Class'!C151)</f>
        <v>2015-July</v>
      </c>
      <c r="C146" s="699"/>
      <c r="D146" s="703"/>
      <c r="E146" s="703"/>
      <c r="F146" s="703"/>
      <c r="G146" s="703"/>
      <c r="H146" s="704"/>
      <c r="I146" s="704"/>
      <c r="J146" s="263"/>
      <c r="K146" s="744">
        <f>IF(K$19=$B$169,+AVERAGE(K26,K38,K50,K62,K74,K86,K98,K110,K122,K134),+IF(K$19=$B$170,+(EXP((LN(+'4. Customer Growth'!$W$42)/12))*$K145),IF($K$19=$B$171,+$A146*$C$176+$D$176,0)))</f>
        <v>4.83</v>
      </c>
      <c r="L146" s="744">
        <f>IF(L$19=$B$169,+AVERAGE(L26,L38,L50,L62,L74,L86,L98,L110,L122,L134),+IF(L$19=$B$170,+(EXP((LN(+'4. Customer Growth'!$W$42)/12))*$K145),IF($L$19=$B$171,+$A146*$C$177+$D$177,0)))</f>
        <v>105.05</v>
      </c>
      <c r="M146" s="744">
        <f>IF(M$19=$B$169,+AVERAGE(M26,M38,M50,M62,M74,M86,M98,M110,M122,M134),+IF(M$19=$B$170,+(EXP((LN(+'4. Customer Growth'!$W$42)/12))*$K145),IF($M$19=$B$171,+$A146*$C$178+$D$178,0)))</f>
        <v>0</v>
      </c>
      <c r="N146" s="744">
        <f>IF(N$19=$B$169,+AVERAGE(N26,N38,N50,N62,N74,N86,N98,N110,N122,N134),+IF(N$19=$B$170,+(EXP((LN(+'4. Customer Growth'!$W$42)/12))*$K145),IF($N$19=$B$171,+$A146*$C$179+$D$179,0)))</f>
        <v>1</v>
      </c>
      <c r="O146" s="744">
        <f>IF(O$19=$B$169,+AVERAGE(O26,O38,O50,O62,O74,O86,O98,O110,O122,O134),+IF(O$19=$B$170,+(EXP((LN(+'4. Customer Growth'!$W$42)/12))*$O145),IF($O$19=$B$171,+$A146*$C$180+$D$180,0)))</f>
        <v>31</v>
      </c>
      <c r="P146" s="744">
        <f>IF(P$19=$B$169,+AVERAGE(P26,P38,P50,P62,P74,P86,P98,P110,P122,P134),+IF(P$19=$B$170,+(EXP((LN(+'4. Customer Growth'!$W$42)/12))*$P145),IF($P$19=$B$171,+$A146*$C$181+$D$181,0)))</f>
        <v>0</v>
      </c>
      <c r="Q146" s="245"/>
      <c r="R146" s="558">
        <f t="shared" si="9"/>
        <v>16001563.89449444</v>
      </c>
      <c r="S146" s="265"/>
      <c r="T146" s="245"/>
      <c r="U146" s="245"/>
      <c r="V146" s="245"/>
      <c r="W146" s="245"/>
      <c r="X146" s="245"/>
      <c r="Y146" s="245"/>
      <c r="Z146" s="245"/>
      <c r="AA146" s="245"/>
      <c r="AB146" s="245"/>
      <c r="AC146" s="245"/>
      <c r="AD146" s="245"/>
      <c r="AE146" s="245"/>
      <c r="AF146" s="245"/>
      <c r="AG146" s="245"/>
      <c r="AH146" s="245"/>
      <c r="AI146" s="245"/>
      <c r="AJ146" s="245"/>
      <c r="AK146" s="245"/>
      <c r="AL146" s="245"/>
      <c r="AM146" s="245"/>
    </row>
    <row r="147" spans="1:39" x14ac:dyDescent="0.2">
      <c r="A147" s="503">
        <f t="shared" si="10"/>
        <v>128</v>
      </c>
      <c r="B147" s="262" t="str">
        <f>CONCATENATE('3. Consumption by Rate Class'!B152,"-",'3. Consumption by Rate Class'!C152)</f>
        <v>2015-August</v>
      </c>
      <c r="C147" s="699"/>
      <c r="D147" s="703"/>
      <c r="E147" s="703"/>
      <c r="F147" s="703"/>
      <c r="G147" s="703"/>
      <c r="H147" s="704"/>
      <c r="I147" s="704"/>
      <c r="J147" s="263"/>
      <c r="K147" s="744">
        <f>IF(K$19=$B$169,+AVERAGE(K27,K39,K51,K63,K75,K87,K99,K111,K123,K135),+IF(K$19=$B$170,+(EXP((LN(+'4. Customer Growth'!$W$42)/12))*$K146),IF($K$19=$B$171,+$A147*$C$176+$D$176,0)))</f>
        <v>14.74</v>
      </c>
      <c r="L147" s="744">
        <f>IF(L$19=$B$169,+AVERAGE(L27,L39,L51,L63,L75,L87,L99,L111,L123,L135),+IF(L$19=$B$170,+(EXP((LN(+'4. Customer Growth'!$W$42)/12))*$K146),IF($L$19=$B$171,+$A147*$C$177+$D$177,0)))</f>
        <v>78.03</v>
      </c>
      <c r="M147" s="744">
        <f>IF(M$19=$B$169,+AVERAGE(M27,M39,M51,M63,M75,M87,M99,M111,M123,M135),+IF(M$19=$B$170,+(EXP((LN(+'4. Customer Growth'!$W$42)/12))*$K146),IF($M$19=$B$171,+$A147*$C$178+$D$178,0)))</f>
        <v>0</v>
      </c>
      <c r="N147" s="744">
        <f>IF(N$19=$B$169,+AVERAGE(N27,N39,N51,N63,N75,N87,N99,N111,N123,N135),+IF(N$19=$B$170,+(EXP((LN(+'4. Customer Growth'!$W$42)/12))*$K146),IF($N$19=$B$171,+$A147*$C$179+$D$179,0)))</f>
        <v>0</v>
      </c>
      <c r="O147" s="744">
        <f>IF(O$19=$B$169,+AVERAGE(O27,O39,O51,O63,O75,O87,O99,O111,O123,O135),+IF(O$19=$B$170,+(EXP((LN(+'4. Customer Growth'!$W$42)/12))*$O146),IF($O$19=$B$171,+$A147*$C$180+$D$180,0)))</f>
        <v>31</v>
      </c>
      <c r="P147" s="744">
        <f>IF(P$19=$B$169,+AVERAGE(P27,P39,P51,P63,P75,P87,P99,P111,P123,P135),+IF(P$19=$B$170,+(EXP((LN(+'4. Customer Growth'!$W$42)/12))*$P146),IF($P$19=$B$171,+$A147*$C$181+$D$181,0)))</f>
        <v>0</v>
      </c>
      <c r="Q147" s="245"/>
      <c r="R147" s="558">
        <f t="shared" si="9"/>
        <v>15328808.851357365</v>
      </c>
      <c r="S147" s="265"/>
      <c r="T147" s="245"/>
      <c r="U147" s="245"/>
      <c r="V147" s="245"/>
      <c r="W147" s="245"/>
      <c r="X147" s="245"/>
      <c r="Y147" s="245"/>
      <c r="Z147" s="245"/>
      <c r="AA147" s="245"/>
      <c r="AB147" s="245"/>
      <c r="AC147" s="245"/>
      <c r="AD147" s="245"/>
      <c r="AE147" s="245"/>
      <c r="AF147" s="245"/>
      <c r="AG147" s="245"/>
      <c r="AH147" s="245"/>
      <c r="AI147" s="245"/>
      <c r="AJ147" s="245"/>
      <c r="AK147" s="245"/>
      <c r="AL147" s="245"/>
      <c r="AM147" s="245"/>
    </row>
    <row r="148" spans="1:39" x14ac:dyDescent="0.2">
      <c r="A148" s="503">
        <f t="shared" si="10"/>
        <v>129</v>
      </c>
      <c r="B148" s="262" t="str">
        <f>CONCATENATE('3. Consumption by Rate Class'!B153,"-",'3. Consumption by Rate Class'!C153)</f>
        <v>2015-September</v>
      </c>
      <c r="C148" s="699"/>
      <c r="D148" s="703"/>
      <c r="E148" s="703"/>
      <c r="F148" s="703"/>
      <c r="G148" s="703"/>
      <c r="H148" s="704"/>
      <c r="I148" s="704"/>
      <c r="J148" s="263"/>
      <c r="K148" s="744">
        <f>IF(K$19=$B$169,+AVERAGE(K28,K40,K52,K64,K76,K88,K100,K112,K124,K136),+IF(K$19=$B$170,+(EXP((LN(+'4. Customer Growth'!$W$42)/12))*$K147),IF($K$19=$B$171,+$A148*$C$176+$D$176,0)))</f>
        <v>99.63</v>
      </c>
      <c r="L148" s="744">
        <f>IF(L$19=$B$169,+AVERAGE(L28,L40,L52,L64,L76,L88,L100,L112,L124,L136),+IF(L$19=$B$170,+(EXP((LN(+'4. Customer Growth'!$W$42)/12))*$K147),IF($L$19=$B$171,+$A148*$C$177+$D$177,0)))</f>
        <v>20.549999999999997</v>
      </c>
      <c r="M148" s="744">
        <f>IF(M$19=$B$169,+AVERAGE(M28,M40,M52,M64,M76,M88,M100,M112,M124,M136),+IF(M$19=$B$170,+(EXP((LN(+'4. Customer Growth'!$W$42)/12))*$K147),IF($M$19=$B$171,+$A148*$C$178+$D$178,0)))</f>
        <v>0</v>
      </c>
      <c r="N148" s="744">
        <f>IF(N$19=$B$169,+AVERAGE(N28,N40,N52,N64,N76,N88,N100,N112,N124,N136),+IF(N$19=$B$170,+(EXP((LN(+'4. Customer Growth'!$W$42)/12))*$K147),IF($N$19=$B$171,+$A148*$C$179+$D$179,0)))</f>
        <v>0</v>
      </c>
      <c r="O148" s="744">
        <f>IF(O$19=$B$169,+AVERAGE(O28,O40,O52,O64,O76,O88,O100,O112,O124,O136),+IF(O$19=$B$170,+(EXP((LN(+'4. Customer Growth'!$W$42)/12))*$O147),IF($O$19=$B$171,+$A148*$C$180+$D$180,0)))</f>
        <v>30</v>
      </c>
      <c r="P148" s="744">
        <f>IF(P$19=$B$169,+AVERAGE(P28,P40,P52,P64,P76,P88,P100,P112,P124,P136),+IF(P$19=$B$170,+(EXP((LN(+'4. Customer Growth'!$W$42)/12))*$P147),IF($P$19=$B$171,+$A148*$C$181+$D$181,0)))</f>
        <v>0</v>
      </c>
      <c r="Q148" s="245"/>
      <c r="R148" s="558">
        <f t="shared" si="9"/>
        <v>14353277.058090301</v>
      </c>
      <c r="S148" s="265"/>
      <c r="T148" s="245"/>
      <c r="U148" s="245"/>
      <c r="V148" s="245"/>
      <c r="W148" s="245"/>
      <c r="X148" s="245"/>
      <c r="Y148" s="245"/>
      <c r="Z148" s="245"/>
      <c r="AA148" s="245"/>
      <c r="AB148" s="245"/>
      <c r="AC148" s="245"/>
      <c r="AD148" s="245"/>
      <c r="AE148" s="245"/>
      <c r="AF148" s="245"/>
      <c r="AG148" s="245"/>
      <c r="AH148" s="245"/>
      <c r="AI148" s="245"/>
      <c r="AJ148" s="245"/>
      <c r="AK148" s="245"/>
      <c r="AL148" s="245"/>
      <c r="AM148" s="245"/>
    </row>
    <row r="149" spans="1:39" x14ac:dyDescent="0.2">
      <c r="A149" s="503">
        <f t="shared" si="10"/>
        <v>130</v>
      </c>
      <c r="B149" s="262" t="str">
        <f>CONCATENATE('3. Consumption by Rate Class'!B154,"-",'3. Consumption by Rate Class'!C154)</f>
        <v>2015-October</v>
      </c>
      <c r="C149" s="699"/>
      <c r="D149" s="703"/>
      <c r="E149" s="703"/>
      <c r="F149" s="703"/>
      <c r="G149" s="703"/>
      <c r="H149" s="704"/>
      <c r="I149" s="704"/>
      <c r="J149" s="263"/>
      <c r="K149" s="744">
        <f>IF(K$19=$B$169,+AVERAGE(K29,K41,K53,K65,K77,K89,K101,K113,K125,K137),+IF(K$19=$B$170,+(EXP((LN(+'4. Customer Growth'!$W$42)/12))*$K148),IF($K$19=$B$171,+$A149*$C$176+$D$176,0)))</f>
        <v>281.71000000000004</v>
      </c>
      <c r="L149" s="744">
        <f>IF(L$19=$B$169,+AVERAGE(L29,L41,L53,L65,L77,L89,L101,L113,L125,L137),+IF(L$19=$B$170,+(EXP((LN(+'4. Customer Growth'!$W$42)/12))*$K148),IF($L$19=$B$171,+$A149*$C$177+$D$177,0)))</f>
        <v>1.35</v>
      </c>
      <c r="M149" s="744">
        <f>IF(M$19=$B$169,+AVERAGE(M29,M41,M53,M65,M77,M89,M101,M113,M125,M137),+IF(M$19=$B$170,+(EXP((LN(+'4. Customer Growth'!$W$42)/12))*$K148),IF($M$19=$B$171,+$A149*$C$178+$D$178,0)))</f>
        <v>0</v>
      </c>
      <c r="N149" s="744">
        <f>IF(N$19=$B$169,+AVERAGE(N29,N41,N53,N65,N77,N89,N101,N113,N125,N137),+IF(N$19=$B$170,+(EXP((LN(+'4. Customer Growth'!$W$42)/12))*$K148),IF($N$19=$B$171,+$A149*$C$179+$D$179,0)))</f>
        <v>0</v>
      </c>
      <c r="O149" s="744">
        <f>IF(O$19=$B$169,+AVERAGE(O29,O41,O53,O65,O77,O89,O101,O113,O125,O137),+IF(O$19=$B$170,+(EXP((LN(+'4. Customer Growth'!$W$42)/12))*$O148),IF($O$19=$B$171,+$A149*$C$180+$D$180,0)))</f>
        <v>31</v>
      </c>
      <c r="P149" s="744">
        <f>IF(P$19=$B$169,+AVERAGE(P29,P41,P53,P65,P77,P89,P101,P113,P125,P137),+IF(P$19=$B$170,+(EXP((LN(+'4. Customer Growth'!$W$42)/12))*$P148),IF($P$19=$B$171,+$A149*$C$181+$D$181,0)))</f>
        <v>0</v>
      </c>
      <c r="Q149" s="245"/>
      <c r="R149" s="558">
        <f t="shared" ref="R149:R163" si="11">$V$34+(K149*$V$35)+(L149*$V$36)+(M149*$V$37)+(N149*$V$38)+(O149*$V$39)</f>
        <v>15125102.160631608</v>
      </c>
      <c r="S149" s="265"/>
      <c r="T149" s="245"/>
      <c r="U149" s="245"/>
      <c r="V149" s="245"/>
      <c r="W149" s="245"/>
      <c r="X149" s="245"/>
      <c r="Y149" s="245"/>
      <c r="Z149" s="245"/>
      <c r="AA149" s="245"/>
      <c r="AB149" s="245"/>
      <c r="AC149" s="245"/>
      <c r="AD149" s="245"/>
      <c r="AE149" s="245"/>
      <c r="AF149" s="245"/>
      <c r="AG149" s="245"/>
      <c r="AH149" s="245"/>
      <c r="AI149" s="245"/>
      <c r="AJ149" s="245"/>
      <c r="AK149" s="245"/>
      <c r="AL149" s="245"/>
      <c r="AM149" s="245"/>
    </row>
    <row r="150" spans="1:39" x14ac:dyDescent="0.2">
      <c r="A150" s="503">
        <f t="shared" ref="A150:A163" si="12">+A149+1</f>
        <v>131</v>
      </c>
      <c r="B150" s="262" t="str">
        <f>CONCATENATE('3. Consumption by Rate Class'!B155,"-",'3. Consumption by Rate Class'!C155)</f>
        <v>2015-November</v>
      </c>
      <c r="C150" s="699"/>
      <c r="D150" s="703"/>
      <c r="E150" s="703"/>
      <c r="F150" s="703"/>
      <c r="G150" s="703"/>
      <c r="H150" s="704"/>
      <c r="I150" s="704"/>
      <c r="J150" s="263"/>
      <c r="K150" s="744">
        <f>IF(K$19=$B$169,+AVERAGE(K30,K42,K54,K66,K78,K90,K102,K114,K126,K138),+IF(K$19=$B$170,+(EXP((LN(+'4. Customer Growth'!$W$42)/12))*$K149),IF($K$19=$B$171,+$A150*$C$176+$D$176,0)))</f>
        <v>483.63</v>
      </c>
      <c r="L150" s="744">
        <f>IF(L$19=$B$169,+AVERAGE(L30,L42,L54,L66,L78,L90,L102,L114,L126,L138),+IF(L$19=$B$170,+(EXP((LN(+'4. Customer Growth'!$W$42)/12))*$K149),IF($L$19=$B$171,+$A150*$C$177+$D$177,0)))</f>
        <v>0</v>
      </c>
      <c r="M150" s="744">
        <f>IF(M$19=$B$169,+AVERAGE(M30,M42,M54,M66,M78,M90,M102,M114,M126,M138),+IF(M$19=$B$170,+(EXP((LN(+'4. Customer Growth'!$W$42)/12))*$K149),IF($M$19=$B$171,+$A150*$C$178+$D$178,0)))</f>
        <v>0</v>
      </c>
      <c r="N150" s="744">
        <f>IF(N$19=$B$169,+AVERAGE(N30,N42,N54,N66,N78,N90,N102,N114,N126,N138),+IF(N$19=$B$170,+(EXP((LN(+'4. Customer Growth'!$W$42)/12))*$K149),IF($N$19=$B$171,+$A150*$C$179+$D$179,0)))</f>
        <v>0</v>
      </c>
      <c r="O150" s="744">
        <f>IF(O$19=$B$169,+AVERAGE(O30,O42,O54,O66,O78,O90,O102,O114,O126,O138),+IF(O$19=$B$170,+(EXP((LN(+'4. Customer Growth'!$W$42)/12))*$O149),IF($O$19=$B$171,+$A150*$C$180+$D$180,0)))</f>
        <v>30</v>
      </c>
      <c r="P150" s="744">
        <f>IF(P$19=$B$169,+AVERAGE(P30,P42,P54,P66,P78,P90,P102,P114,P126,P138),+IF(P$19=$B$170,+(EXP((LN(+'4. Customer Growth'!$W$42)/12))*$P149),IF($P$19=$B$171,+$A150*$C$181+$D$181,0)))</f>
        <v>0</v>
      </c>
      <c r="Q150" s="245"/>
      <c r="R150" s="558">
        <f t="shared" si="11"/>
        <v>16529780.816054694</v>
      </c>
      <c r="S150" s="265"/>
      <c r="T150" s="245"/>
      <c r="U150" s="245"/>
      <c r="V150" s="245"/>
      <c r="W150" s="245"/>
      <c r="X150" s="245"/>
      <c r="Y150" s="245"/>
      <c r="Z150" s="245"/>
      <c r="AA150" s="245"/>
      <c r="AB150" s="245"/>
      <c r="AC150" s="245"/>
      <c r="AD150" s="245"/>
      <c r="AE150" s="245"/>
      <c r="AF150" s="245"/>
      <c r="AG150" s="245"/>
      <c r="AH150" s="245"/>
      <c r="AI150" s="245"/>
      <c r="AJ150" s="245"/>
      <c r="AK150" s="245"/>
      <c r="AL150" s="245"/>
      <c r="AM150" s="245"/>
    </row>
    <row r="151" spans="1:39" x14ac:dyDescent="0.2">
      <c r="A151" s="503">
        <f t="shared" si="12"/>
        <v>132</v>
      </c>
      <c r="B151" s="522" t="str">
        <f>CONCATENATE('3. Consumption by Rate Class'!B156,"-",'3. Consumption by Rate Class'!C156)</f>
        <v>2015-December</v>
      </c>
      <c r="C151" s="698"/>
      <c r="D151" s="705"/>
      <c r="E151" s="705"/>
      <c r="F151" s="705"/>
      <c r="G151" s="705"/>
      <c r="H151" s="706"/>
      <c r="I151" s="706"/>
      <c r="J151" s="263"/>
      <c r="K151" s="744">
        <f>IF(K$19=$B$169,+AVERAGE(K31,K43,K55,K67,K79,K91,K103,K115,K127,K139),+IF(K$19=$B$170,+(EXP((LN(+'4. Customer Growth'!$W$42)/12))*$K150),IF($K$19=$B$171,+$A151*$C$176+$D$176,0)))</f>
        <v>693.87999999999988</v>
      </c>
      <c r="L151" s="744">
        <f>IF(L$19=$B$169,+AVERAGE(L31,L43,L55,L67,L79,L91,L103,L115,L127,L139),+IF(L$19=$B$170,+(EXP((LN(+'4. Customer Growth'!$W$42)/12))*$K150),IF($L$19=$B$171,+$A151*$C$177+$D$177,0)))</f>
        <v>0</v>
      </c>
      <c r="M151" s="744">
        <f>IF(M$19=$B$169,+AVERAGE(M31,M43,M55,M67,M79,M91,M103,M115,M127,M139),+IF(M$19=$B$170,+(EXP((LN(+'4. Customer Growth'!$W$42)/12))*$K150),IF($M$19=$B$171,+$A151*$C$178+$D$178,0)))</f>
        <v>1</v>
      </c>
      <c r="N151" s="744">
        <f>IF(N$19=$B$169,+AVERAGE(N31,N43,N55,N67,N79,N91,N103,N115,N127,N139),+IF(N$19=$B$170,+(EXP((LN(+'4. Customer Growth'!$W$42)/12))*$K150),IF($N$19=$B$171,+$A151*$C$179+$D$179,0)))</f>
        <v>1</v>
      </c>
      <c r="O151" s="744">
        <f>IF(O$19=$B$169,+AVERAGE(O31,O43,O55,O67,O79,O91,O103,O115,O127,O139),+IF(O$19=$B$170,+(EXP((LN(+'4. Customer Growth'!$W$42)/12))*$O150),IF($O$19=$B$171,+$A151*$C$180+$D$180,0)))</f>
        <v>31</v>
      </c>
      <c r="P151" s="744">
        <f>IF(P$19=$B$169,+AVERAGE(P31,P43,P55,P67,P79,P91,P103,P115,P127,P139),+IF(P$19=$B$170,+(EXP((LN(+'4. Customer Growth'!$W$42)/12))*$P150),IF($P$19=$B$171,+$A151*$C$181+$D$181,0)))</f>
        <v>0</v>
      </c>
      <c r="Q151" s="245"/>
      <c r="R151" s="558">
        <f t="shared" si="11"/>
        <v>19506037.16699741</v>
      </c>
      <c r="S151" s="265">
        <f>SUM(R140:R151)</f>
        <v>199517622.55165914</v>
      </c>
      <c r="T151" s="245"/>
      <c r="U151" s="245"/>
      <c r="V151" s="245"/>
      <c r="W151" s="245"/>
      <c r="X151" s="245"/>
      <c r="Y151" s="245"/>
      <c r="Z151" s="245"/>
      <c r="AA151" s="245"/>
      <c r="AB151" s="245"/>
      <c r="AC151" s="245"/>
      <c r="AD151" s="245"/>
      <c r="AE151" s="245"/>
      <c r="AF151" s="245"/>
      <c r="AG151" s="245"/>
      <c r="AH151" s="245"/>
      <c r="AI151" s="245"/>
      <c r="AJ151" s="245"/>
      <c r="AK151" s="245"/>
      <c r="AL151" s="245"/>
      <c r="AM151" s="245"/>
    </row>
    <row r="152" spans="1:39" x14ac:dyDescent="0.2">
      <c r="A152" s="503">
        <f t="shared" si="12"/>
        <v>133</v>
      </c>
      <c r="B152" s="262" t="str">
        <f>CONCATENATE('3. Consumption by Rate Class'!B157,"-",'3. Consumption by Rate Class'!C157)</f>
        <v>2016-January</v>
      </c>
      <c r="C152" s="715"/>
      <c r="D152" s="275"/>
      <c r="E152" s="275"/>
      <c r="F152" s="275"/>
      <c r="G152" s="275"/>
      <c r="H152" s="275"/>
      <c r="I152" s="275"/>
      <c r="J152" s="246"/>
      <c r="K152" s="744">
        <f>IF(K$19=$B$169,+AVERAGE(K32,K44,K56,K68,K80,K92,K104,K116,K128,K140),+IF(K$19=$B$170,+(EXP((LN(+'4. Customer Growth'!$W$43)/12))*$K151),IF($K$19=$B$171,+$A152*$C$176+$D$176,0)))</f>
        <v>837.66099999999983</v>
      </c>
      <c r="L152" s="744">
        <f>IF(L$19=$B$169,+AVERAGE(L32,L44,L56,L68,L80,L92,L104,L116,L128,L140),+IF(L$19=$B$170,+(EXP((LN(+'4. Customer Growth'!$W$43)/12))*$K151),IF($L$19=$B$171,+$A152*$C$177+$D$177,0)))</f>
        <v>0</v>
      </c>
      <c r="M152" s="744">
        <f>IF(M$19=$B$169,+AVERAGE(M32,M44,M56,M68,M80,M92,M104,M116,M128,M140),+IF(M$19=$B$170,+(EXP((LN(+'4. Customer Growth'!$W$43)/12))*$K151),IF($M$19=$B$171,+$A152*$C$178+$D$178,0)))</f>
        <v>1</v>
      </c>
      <c r="N152" s="744">
        <f>IF(N$19=$B$169,+AVERAGE(N32,N44,N56,N68,N80,N92,N104,N116,N128,N140),+IF(N$19=$B$170,+(EXP((LN(+'4. Customer Growth'!$W$43)/12))*$K151),IF($N$19=$B$171,+$A152*$C$179+$D$179,0)))</f>
        <v>1</v>
      </c>
      <c r="O152" s="744">
        <f>IF(O$19=$B$169,+AVERAGE(O32,O44,O56,O68,O80,O92,O104,O116,O128,O140),+IF(O$19=$B$170,+(EXP((LN(+'4. Customer Growth'!$W$43)/12))*$O151),IF($O$19=$B$171,+$A152*$C$180+$D$180,0)))</f>
        <v>31</v>
      </c>
      <c r="P152" s="744">
        <f>IF(P$19=$B$169,+AVERAGE(P32,P44,P56,P68,P80,P92,P104,P116,P128,P140),+IF(P$19=$B$170,+(EXP((LN(+'4. Customer Growth'!$W$43)/12))*$P151),IF($P$19=$B$171,+$A152*$C$181+$D$181,0)))</f>
        <v>0</v>
      </c>
      <c r="Q152" s="245"/>
      <c r="R152" s="558">
        <f t="shared" si="11"/>
        <v>20532717.709478982</v>
      </c>
      <c r="S152" s="265"/>
      <c r="T152" s="245"/>
      <c r="U152" s="245"/>
      <c r="V152" s="245"/>
      <c r="W152" s="245"/>
      <c r="X152" s="245"/>
      <c r="Y152" s="245"/>
      <c r="Z152" s="245"/>
      <c r="AA152" s="245"/>
      <c r="AB152" s="245"/>
      <c r="AC152" s="245"/>
      <c r="AD152" s="245"/>
      <c r="AE152" s="245"/>
      <c r="AF152" s="245"/>
      <c r="AG152" s="245"/>
      <c r="AH152" s="245"/>
      <c r="AI152" s="245"/>
      <c r="AJ152" s="245"/>
      <c r="AK152" s="245"/>
      <c r="AL152" s="245"/>
      <c r="AM152" s="245"/>
    </row>
    <row r="153" spans="1:39" x14ac:dyDescent="0.2">
      <c r="A153" s="503">
        <f t="shared" si="12"/>
        <v>134</v>
      </c>
      <c r="B153" s="262" t="str">
        <f>CONCATENATE('3. Consumption by Rate Class'!B158,"-",'3. Consumption by Rate Class'!C158)</f>
        <v>2016-February</v>
      </c>
      <c r="C153" s="715"/>
      <c r="D153" s="275"/>
      <c r="E153" s="275"/>
      <c r="F153" s="275"/>
      <c r="G153" s="275"/>
      <c r="H153" s="275"/>
      <c r="I153" s="275"/>
      <c r="J153" s="246"/>
      <c r="K153" s="744">
        <f>IF(K$19=$B$169,+AVERAGE(K33,K45,K57,K69,K81,K93,K105,K117,K129,K141),+IF(K$19=$B$170,+(EXP((LN(+'4. Customer Growth'!$W$43)/12))*$K152),IF($K$19=$B$171,+$A153*$C$176+$D$176,0)))</f>
        <v>733.798</v>
      </c>
      <c r="L153" s="744">
        <f>IF(L$19=$B$169,+AVERAGE(L33,L45,L57,L69,L81,L93,L105,L117,L129,L141),+IF(L$19=$B$170,+(EXP((LN(+'4. Customer Growth'!$W$43)/12))*$K152),IF($L$19=$B$171,+$A153*$C$177+$D$177,0)))</f>
        <v>0</v>
      </c>
      <c r="M153" s="744">
        <f>IF(M$19=$B$169,+AVERAGE(M33,M45,M57,M69,M81,M93,M105,M117,M129,M141),+IF(M$19=$B$170,+(EXP((LN(+'4. Customer Growth'!$W$43)/12))*$K152),IF($M$19=$B$171,+$A153*$C$178+$D$178,0)))</f>
        <v>1</v>
      </c>
      <c r="N153" s="744">
        <f>IF(N$19=$B$169,+AVERAGE(N33,N45,N57,N69,N81,N93,N105,N117,N129,N141),+IF(N$19=$B$170,+(EXP((LN(+'4. Customer Growth'!$W$43)/12))*$K152),IF($N$19=$B$171,+$A153*$C$179+$D$179,0)))</f>
        <v>0</v>
      </c>
      <c r="O153" s="744">
        <f>IF(O$19=$B$169,+AVERAGE(O33,O45,O57,O69,O81,O93,O105,O117,O129,O141),+IF(O$19=$B$170,+(EXP((LN(+'4. Customer Growth'!$W$43)/12))*$O152),IF($O$19=$B$171,+$A153*$C$180+$D$180,0)))</f>
        <v>28.22</v>
      </c>
      <c r="P153" s="744">
        <f>IF(P$19=$B$169,+AVERAGE(P33,P45,P57,P69,P81,P93,P105,P117,P129,P141),+IF(P$19=$B$170,+(EXP((LN(+'4. Customer Growth'!$W$43)/12))*$P152),IF($P$19=$B$171,+$A153*$C$181+$D$181,0)))</f>
        <v>0</v>
      </c>
      <c r="Q153" s="245"/>
      <c r="R153" s="558">
        <f t="shared" si="11"/>
        <v>19791075.064179786</v>
      </c>
      <c r="S153" s="265"/>
      <c r="T153" s="245"/>
      <c r="U153" s="245"/>
      <c r="V153" s="245"/>
      <c r="W153" s="245"/>
      <c r="X153" s="245"/>
      <c r="Y153" s="245"/>
      <c r="Z153" s="245"/>
      <c r="AA153" s="245"/>
      <c r="AB153" s="245"/>
      <c r="AC153" s="245"/>
      <c r="AD153" s="245"/>
      <c r="AE153" s="245"/>
      <c r="AF153" s="245"/>
      <c r="AG153" s="245"/>
      <c r="AH153" s="245"/>
      <c r="AI153" s="245"/>
      <c r="AJ153" s="245"/>
      <c r="AK153" s="245"/>
      <c r="AL153" s="245"/>
      <c r="AM153" s="245"/>
    </row>
    <row r="154" spans="1:39" x14ac:dyDescent="0.2">
      <c r="A154" s="503">
        <f t="shared" si="12"/>
        <v>135</v>
      </c>
      <c r="B154" s="262" t="str">
        <f>CONCATENATE('3. Consumption by Rate Class'!B159,"-",'3. Consumption by Rate Class'!C159)</f>
        <v>2016-March</v>
      </c>
      <c r="C154" s="715"/>
      <c r="D154" s="275"/>
      <c r="E154" s="275"/>
      <c r="F154" s="275"/>
      <c r="G154" s="275"/>
      <c r="H154" s="275"/>
      <c r="I154" s="275"/>
      <c r="J154" s="246"/>
      <c r="K154" s="744">
        <f>IF(K$19=$B$169,+AVERAGE(K34,K46,K58,K70,K82,K94,K106,K118,K130,K142),+IF(K$19=$B$170,+(EXP((LN(+'4. Customer Growth'!$W$43)/12))*$K153),IF($K$19=$B$171,+$A154*$C$176+$D$176,0)))</f>
        <v>609.66399999999999</v>
      </c>
      <c r="L154" s="744">
        <f>IF(L$19=$B$169,+AVERAGE(L34,L46,L58,L70,L82,L94,L106,L118,L130,L142),+IF(L$19=$B$170,+(EXP((LN(+'4. Customer Growth'!$W$43)/12))*$K153),IF($L$19=$B$171,+$A154*$C$177+$D$177,0)))</f>
        <v>0</v>
      </c>
      <c r="M154" s="744">
        <f>IF(M$19=$B$169,+AVERAGE(M34,M46,M58,M70,M82,M94,M106,M118,M130,M142),+IF(M$19=$B$170,+(EXP((LN(+'4. Customer Growth'!$W$43)/12))*$K153),IF($M$19=$B$171,+$A154*$C$178+$D$178,0)))</f>
        <v>0</v>
      </c>
      <c r="N154" s="744">
        <f>IF(N$19=$B$169,+AVERAGE(N34,N46,N58,N70,N82,N94,N106,N118,N130,N142),+IF(N$19=$B$170,+(EXP((LN(+'4. Customer Growth'!$W$43)/12))*$K153),IF($N$19=$B$171,+$A154*$C$179+$D$179,0)))</f>
        <v>1</v>
      </c>
      <c r="O154" s="744">
        <f>IF(O$19=$B$169,+AVERAGE(O34,O46,O58,O70,O82,O94,O106,O118,O130,O142),+IF(O$19=$B$170,+(EXP((LN(+'4. Customer Growth'!$W$43)/12))*$O153),IF($O$19=$B$171,+$A154*$C$180+$D$180,0)))</f>
        <v>31</v>
      </c>
      <c r="P154" s="744">
        <f>IF(P$19=$B$169,+AVERAGE(P34,P46,P58,P70,P82,P94,P106,P118,P130,P142),+IF(P$19=$B$170,+(EXP((LN(+'4. Customer Growth'!$W$43)/12))*$P153),IF($P$19=$B$171,+$A154*$C$181+$D$181,0)))</f>
        <v>0</v>
      </c>
      <c r="Q154" s="245"/>
      <c r="R154" s="558">
        <f t="shared" si="11"/>
        <v>17429737.385358859</v>
      </c>
      <c r="S154" s="265"/>
      <c r="T154" s="245"/>
      <c r="U154" s="245"/>
      <c r="V154" s="245"/>
      <c r="W154" s="245"/>
      <c r="X154" s="245"/>
      <c r="Y154" s="245"/>
      <c r="Z154" s="245"/>
      <c r="AA154" s="245"/>
      <c r="AB154" s="245"/>
      <c r="AC154" s="245"/>
      <c r="AD154" s="245"/>
      <c r="AE154" s="245"/>
      <c r="AF154" s="245"/>
      <c r="AG154" s="245"/>
      <c r="AH154" s="245"/>
      <c r="AI154" s="245"/>
      <c r="AJ154" s="245"/>
      <c r="AK154" s="245"/>
      <c r="AL154" s="245"/>
      <c r="AM154" s="245"/>
    </row>
    <row r="155" spans="1:39" x14ac:dyDescent="0.2">
      <c r="A155" s="503">
        <f t="shared" si="12"/>
        <v>136</v>
      </c>
      <c r="B155" s="262" t="str">
        <f>CONCATENATE('3. Consumption by Rate Class'!B160,"-",'3. Consumption by Rate Class'!C160)</f>
        <v>2016-April</v>
      </c>
      <c r="C155" s="715"/>
      <c r="D155" s="275"/>
      <c r="E155" s="275"/>
      <c r="F155" s="275"/>
      <c r="G155" s="275"/>
      <c r="H155" s="275"/>
      <c r="I155" s="275"/>
      <c r="J155" s="246"/>
      <c r="K155" s="744">
        <f>IF(K$19=$B$169,+AVERAGE(K35,K47,K59,K71,K83,K95,K107,K119,K131,K143),+IF(K$19=$B$170,+(EXP((LN(+'4. Customer Growth'!$W$43)/12))*$K154),IF($K$19=$B$171,+$A155*$C$176+$D$176,0)))</f>
        <v>328.30900000000008</v>
      </c>
      <c r="L155" s="744">
        <f>IF(L$19=$B$169,+AVERAGE(L35,L47,L59,L71,L83,L95,L107,L119,L131,L143),+IF(L$19=$B$170,+(EXP((LN(+'4. Customer Growth'!$W$43)/12))*$K154),IF($L$19=$B$171,+$A155*$C$177+$D$177,0)))</f>
        <v>0.80299999999999994</v>
      </c>
      <c r="M155" s="744">
        <f>IF(M$19=$B$169,+AVERAGE(M35,M47,M59,M71,M83,M95,M107,M119,M131,M143),+IF(M$19=$B$170,+(EXP((LN(+'4. Customer Growth'!$W$43)/12))*$K154),IF($M$19=$B$171,+$A155*$C$178+$D$178,0)))</f>
        <v>0</v>
      </c>
      <c r="N155" s="744">
        <f>IF(N$19=$B$169,+AVERAGE(N35,N47,N59,N71,N83,N95,N107,N119,N131,N143),+IF(N$19=$B$170,+(EXP((LN(+'4. Customer Growth'!$W$43)/12))*$K154),IF($N$19=$B$171,+$A155*$C$179+$D$179,0)))</f>
        <v>0</v>
      </c>
      <c r="O155" s="744">
        <f>IF(O$19=$B$169,+AVERAGE(O35,O47,O59,O71,O83,O95,O107,O119,O131,O143),+IF(O$19=$B$170,+(EXP((LN(+'4. Customer Growth'!$W$43)/12))*$O154),IF($O$19=$B$171,+$A155*$C$180+$D$180,0)))</f>
        <v>30</v>
      </c>
      <c r="P155" s="744">
        <f>IF(P$19=$B$169,+AVERAGE(P35,P47,P59,P71,P83,P95,P107,P119,P131,P143),+IF(P$19=$B$170,+(EXP((LN(+'4. Customer Growth'!$W$43)/12))*$P154),IF($P$19=$B$171,+$A155*$C$181+$D$181,0)))</f>
        <v>0</v>
      </c>
      <c r="Q155" s="245"/>
      <c r="R155" s="558">
        <f t="shared" si="11"/>
        <v>15442794.331098475</v>
      </c>
      <c r="S155" s="265"/>
      <c r="T155" s="245"/>
      <c r="U155" s="245"/>
      <c r="V155" s="245"/>
      <c r="W155" s="245"/>
      <c r="X155" s="245"/>
      <c r="Y155" s="245"/>
      <c r="Z155" s="245"/>
      <c r="AA155" s="245"/>
      <c r="AB155" s="245"/>
      <c r="AC155" s="245"/>
      <c r="AD155" s="245"/>
      <c r="AE155" s="245"/>
      <c r="AF155" s="245"/>
      <c r="AG155" s="245"/>
      <c r="AH155" s="245"/>
      <c r="AI155" s="245"/>
      <c r="AJ155" s="245"/>
      <c r="AK155" s="245"/>
      <c r="AL155" s="245"/>
      <c r="AM155" s="245"/>
    </row>
    <row r="156" spans="1:39" x14ac:dyDescent="0.2">
      <c r="A156" s="503">
        <f t="shared" si="12"/>
        <v>137</v>
      </c>
      <c r="B156" s="262" t="str">
        <f>CONCATENATE('3. Consumption by Rate Class'!B161,"-",'3. Consumption by Rate Class'!C161)</f>
        <v>2016-May</v>
      </c>
      <c r="C156" s="715"/>
      <c r="D156" s="275"/>
      <c r="E156" s="275"/>
      <c r="F156" s="275"/>
      <c r="G156" s="275"/>
      <c r="H156" s="275"/>
      <c r="I156" s="275"/>
      <c r="J156" s="246"/>
      <c r="K156" s="744">
        <f>IF(K$19=$B$169,+AVERAGE(K36,K48,K60,K72,K84,K96,K108,K120,K132,K144),+IF(K$19=$B$170,+(EXP((LN(+'4. Customer Growth'!$W$43)/12))*$K155),IF($K$19=$B$171,+$A156*$C$176+$D$176,0)))</f>
        <v>138.07599999999999</v>
      </c>
      <c r="L156" s="744">
        <f>IF(L$19=$B$169,+AVERAGE(L36,L48,L60,L72,L84,L96,L108,L120,L132,L144),+IF(L$19=$B$170,+(EXP((LN(+'4. Customer Growth'!$W$43)/12))*$K155),IF($L$19=$B$171,+$A156*$C$177+$D$177,0)))</f>
        <v>15.133000000000004</v>
      </c>
      <c r="M156" s="744">
        <f>IF(M$19=$B$169,+AVERAGE(M36,M48,M60,M72,M84,M96,M108,M120,M132,M144),+IF(M$19=$B$170,+(EXP((LN(+'4. Customer Growth'!$W$43)/12))*$K155),IF($M$19=$B$171,+$A156*$C$178+$D$178,0)))</f>
        <v>0</v>
      </c>
      <c r="N156" s="744">
        <f>IF(N$19=$B$169,+AVERAGE(N36,N48,N60,N72,N84,N96,N108,N120,N132,N144),+IF(N$19=$B$170,+(EXP((LN(+'4. Customer Growth'!$W$43)/12))*$K155),IF($N$19=$B$171,+$A156*$C$179+$D$179,0)))</f>
        <v>0</v>
      </c>
      <c r="O156" s="744">
        <f>IF(O$19=$B$169,+AVERAGE(O36,O48,O60,O72,O84,O96,O108,O120,O132,O144),+IF(O$19=$B$170,+(EXP((LN(+'4. Customer Growth'!$W$43)/12))*$O155),IF($O$19=$B$171,+$A156*$C$180+$D$180,0)))</f>
        <v>31</v>
      </c>
      <c r="P156" s="744">
        <f>IF(P$19=$B$169,+AVERAGE(P36,P48,P60,P72,P84,P96,P108,P120,P132,P144),+IF(P$19=$B$170,+(EXP((LN(+'4. Customer Growth'!$W$43)/12))*$P155),IF($P$19=$B$171,+$A156*$C$181+$D$181,0)))</f>
        <v>0</v>
      </c>
      <c r="Q156" s="245"/>
      <c r="R156" s="558">
        <f t="shared" si="11"/>
        <v>14478742.63859364</v>
      </c>
      <c r="S156" s="265"/>
      <c r="T156" s="245"/>
      <c r="U156" s="245"/>
      <c r="V156" s="245"/>
      <c r="W156" s="245"/>
      <c r="X156" s="245"/>
      <c r="Y156" s="245"/>
      <c r="Z156" s="245"/>
      <c r="AA156" s="245"/>
      <c r="AB156" s="245"/>
      <c r="AC156" s="245"/>
      <c r="AD156" s="245"/>
      <c r="AE156" s="245"/>
      <c r="AF156" s="245"/>
      <c r="AG156" s="245"/>
      <c r="AH156" s="245"/>
      <c r="AI156" s="245"/>
      <c r="AJ156" s="245"/>
      <c r="AK156" s="245"/>
      <c r="AL156" s="245"/>
      <c r="AM156" s="245"/>
    </row>
    <row r="157" spans="1:39" x14ac:dyDescent="0.2">
      <c r="A157" s="503">
        <f t="shared" si="12"/>
        <v>138</v>
      </c>
      <c r="B157" s="262" t="str">
        <f>CONCATENATE('3. Consumption by Rate Class'!B162,"-",'3. Consumption by Rate Class'!C162)</f>
        <v>2016-June</v>
      </c>
      <c r="C157" s="715"/>
      <c r="D157" s="275"/>
      <c r="E157" s="275"/>
      <c r="F157" s="275"/>
      <c r="G157" s="275"/>
      <c r="H157" s="275"/>
      <c r="I157" s="275"/>
      <c r="J157" s="246"/>
      <c r="K157" s="744">
        <f>IF(K$19=$B$169,+AVERAGE(K37,K49,K61,K73,K85,K97,K109,K121,K133,K145),+IF(K$19=$B$170,+(EXP((LN(+'4. Customer Growth'!$W$43)/12))*$K156),IF($K$19=$B$171,+$A157*$C$176+$D$176,0)))</f>
        <v>32.775999999999996</v>
      </c>
      <c r="L157" s="744">
        <f>IF(L$19=$B$169,+AVERAGE(L37,L49,L61,L73,L85,L97,L109,L121,L133,L145),+IF(L$19=$B$170,+(EXP((LN(+'4. Customer Growth'!$W$43)/12))*$K156),IF($L$19=$B$171,+$A157*$C$177+$D$177,0)))</f>
        <v>53.662999999999997</v>
      </c>
      <c r="M157" s="744">
        <f>IF(M$19=$B$169,+AVERAGE(M37,M49,M61,M73,M85,M97,M109,M121,M133,M145),+IF(M$19=$B$170,+(EXP((LN(+'4. Customer Growth'!$W$43)/12))*$K156),IF($M$19=$B$171,+$A157*$C$178+$D$178,0)))</f>
        <v>0</v>
      </c>
      <c r="N157" s="744">
        <f>IF(N$19=$B$169,+AVERAGE(N37,N49,N61,N73,N85,N97,N109,N121,N133,N145),+IF(N$19=$B$170,+(EXP((LN(+'4. Customer Growth'!$W$43)/12))*$K156),IF($N$19=$B$171,+$A157*$C$179+$D$179,0)))</f>
        <v>0</v>
      </c>
      <c r="O157" s="744">
        <f>IF(O$19=$B$169,+AVERAGE(O37,O49,O61,O73,O85,O97,O109,O121,O133,O145),+IF(O$19=$B$170,+(EXP((LN(+'4. Customer Growth'!$W$43)/12))*$O156),IF($O$19=$B$171,+$A157*$C$180+$D$180,0)))</f>
        <v>30</v>
      </c>
      <c r="P157" s="744">
        <f>IF(P$19=$B$169,+AVERAGE(P37,P49,P61,P73,P85,P97,P109,P121,P133,P145),+IF(P$19=$B$170,+(EXP((LN(+'4. Customer Growth'!$W$43)/12))*$P156),IF($P$19=$B$171,+$A157*$C$181+$D$181,0)))</f>
        <v>0</v>
      </c>
      <c r="Q157" s="245"/>
      <c r="R157" s="558">
        <f t="shared" si="11"/>
        <v>14787081.682571525</v>
      </c>
      <c r="S157" s="265"/>
      <c r="T157" s="245"/>
      <c r="U157" s="245"/>
      <c r="V157" s="245"/>
      <c r="W157" s="245"/>
      <c r="X157" s="245"/>
      <c r="Y157" s="245"/>
      <c r="Z157" s="245"/>
      <c r="AA157" s="245"/>
      <c r="AB157" s="245"/>
      <c r="AC157" s="245"/>
      <c r="AD157" s="245"/>
      <c r="AE157" s="245"/>
      <c r="AF157" s="245"/>
      <c r="AG157" s="245"/>
      <c r="AH157" s="245"/>
      <c r="AI157" s="245"/>
      <c r="AJ157" s="245"/>
      <c r="AK157" s="245"/>
      <c r="AL157" s="245"/>
      <c r="AM157" s="245"/>
    </row>
    <row r="158" spans="1:39" x14ac:dyDescent="0.2">
      <c r="A158" s="503">
        <f t="shared" si="12"/>
        <v>139</v>
      </c>
      <c r="B158" s="262" t="str">
        <f>CONCATENATE('3. Consumption by Rate Class'!B163,"-",'3. Consumption by Rate Class'!C163)</f>
        <v>2016-July</v>
      </c>
      <c r="C158" s="715"/>
      <c r="D158" s="275"/>
      <c r="E158" s="275"/>
      <c r="F158" s="275"/>
      <c r="G158" s="275"/>
      <c r="H158" s="275"/>
      <c r="I158" s="275"/>
      <c r="J158" s="246"/>
      <c r="K158" s="744">
        <f>IF(K$19=$B$169,+AVERAGE(K38,K50,K62,K74,K86,K98,K110,K122,K134,K146),+IF(K$19=$B$170,+(EXP((LN(+'4. Customer Growth'!$W$43)/12))*$K157),IF($K$19=$B$171,+$A158*$C$176+$D$176,0)))</f>
        <v>5.0230000000000006</v>
      </c>
      <c r="L158" s="744">
        <f>IF(L$19=$B$169,+AVERAGE(L38,L50,L62,L74,L86,L98,L110,L122,L134,L146),+IF(L$19=$B$170,+(EXP((LN(+'4. Customer Growth'!$W$43)/12))*$K157),IF($L$19=$B$171,+$A158*$C$177+$D$177,0)))</f>
        <v>102.69500000000001</v>
      </c>
      <c r="M158" s="744">
        <f>IF(M$19=$B$169,+AVERAGE(M38,M50,M62,M74,M86,M98,M110,M122,M134,M146),+IF(M$19=$B$170,+(EXP((LN(+'4. Customer Growth'!$W$43)/12))*$K157),IF($M$19=$B$171,+$A158*$C$178+$D$178,0)))</f>
        <v>0</v>
      </c>
      <c r="N158" s="744">
        <f>IF(N$19=$B$169,+AVERAGE(N38,N50,N62,N74,N86,N98,N110,N122,N134,N146),+IF(N$19=$B$170,+(EXP((LN(+'4. Customer Growth'!$W$43)/12))*$K157),IF($N$19=$B$171,+$A158*$C$179+$D$179,0)))</f>
        <v>1</v>
      </c>
      <c r="O158" s="744">
        <f>IF(O$19=$B$169,+AVERAGE(O38,O50,O62,O74,O86,O98,O110,O122,O134,O146),+IF(O$19=$B$170,+(EXP((LN(+'4. Customer Growth'!$W$43)/12))*$O157),IF($O$19=$B$171,+$A158*$C$180+$D$180,0)))</f>
        <v>31</v>
      </c>
      <c r="P158" s="744">
        <f>IF(P$19=$B$169,+AVERAGE(P38,P50,P62,P74,P86,P98,P110,P122,P134,P146),+IF(P$19=$B$170,+(EXP((LN(+'4. Customer Growth'!$W$43)/12))*$P157),IF($P$19=$B$171,+$A158*$C$181+$D$181,0)))</f>
        <v>0</v>
      </c>
      <c r="Q158" s="245"/>
      <c r="R158" s="558">
        <f t="shared" si="11"/>
        <v>15938138.716231177</v>
      </c>
      <c r="S158" s="265"/>
      <c r="T158" s="245"/>
      <c r="U158" s="245"/>
      <c r="V158" s="245"/>
      <c r="W158" s="245"/>
      <c r="X158" s="245"/>
      <c r="Y158" s="245"/>
      <c r="Z158" s="245"/>
      <c r="AA158" s="245"/>
      <c r="AB158" s="245"/>
      <c r="AC158" s="245"/>
      <c r="AD158" s="245"/>
      <c r="AE158" s="245"/>
      <c r="AF158" s="245"/>
      <c r="AG158" s="245"/>
      <c r="AH158" s="245"/>
      <c r="AI158" s="245"/>
      <c r="AJ158" s="245"/>
      <c r="AK158" s="245"/>
      <c r="AL158" s="245"/>
      <c r="AM158" s="245"/>
    </row>
    <row r="159" spans="1:39" x14ac:dyDescent="0.2">
      <c r="A159" s="503">
        <f t="shared" si="12"/>
        <v>140</v>
      </c>
      <c r="B159" s="262" t="str">
        <f>CONCATENATE('3. Consumption by Rate Class'!B164,"-",'3. Consumption by Rate Class'!C164)</f>
        <v>2016-August</v>
      </c>
      <c r="C159" s="715"/>
      <c r="D159" s="275"/>
      <c r="E159" s="275"/>
      <c r="F159" s="275"/>
      <c r="G159" s="275"/>
      <c r="H159" s="275"/>
      <c r="I159" s="275"/>
      <c r="J159" s="246"/>
      <c r="K159" s="744">
        <f>IF(K$19=$B$169,+AVERAGE(K39,K51,K63,K75,K87,K99,K111,K123,K135,K147),+IF(K$19=$B$170,+(EXP((LN(+'4. Customer Growth'!$W$43)/12))*$K158),IF($K$19=$B$171,+$A159*$C$176+$D$176,0)))</f>
        <v>15.374000000000001</v>
      </c>
      <c r="L159" s="744">
        <f>IF(L$19=$B$169,+AVERAGE(L39,L51,L63,L75,L87,L99,L111,L123,L135,L147),+IF(L$19=$B$170,+(EXP((LN(+'4. Customer Growth'!$W$43)/12))*$K158),IF($L$19=$B$171,+$A159*$C$177+$D$177,0)))</f>
        <v>74.292999999999992</v>
      </c>
      <c r="M159" s="744">
        <f>IF(M$19=$B$169,+AVERAGE(M39,M51,M63,M75,M87,M99,M111,M123,M135,M147),+IF(M$19=$B$170,+(EXP((LN(+'4. Customer Growth'!$W$43)/12))*$K158),IF($M$19=$B$171,+$A159*$C$178+$D$178,0)))</f>
        <v>0</v>
      </c>
      <c r="N159" s="744">
        <f>IF(N$19=$B$169,+AVERAGE(N39,N51,N63,N75,N87,N99,N111,N123,N135,N147),+IF(N$19=$B$170,+(EXP((LN(+'4. Customer Growth'!$W$43)/12))*$K158),IF($N$19=$B$171,+$A159*$C$179+$D$179,0)))</f>
        <v>0</v>
      </c>
      <c r="O159" s="744">
        <f>IF(O$19=$B$169,+AVERAGE(O39,O51,O63,O75,O87,O99,O111,O123,O135,O147),+IF(O$19=$B$170,+(EXP((LN(+'4. Customer Growth'!$W$43)/12))*$O158),IF($O$19=$B$171,+$A159*$C$180+$D$180,0)))</f>
        <v>31</v>
      </c>
      <c r="P159" s="744">
        <f>IF(P$19=$B$169,+AVERAGE(P39,P51,P63,P75,P87,P99,P111,P123,P135,P147),+IF(P$19=$B$170,+(EXP((LN(+'4. Customer Growth'!$W$43)/12))*$P158),IF($P$19=$B$171,+$A159*$C$181+$D$181,0)))</f>
        <v>0</v>
      </c>
      <c r="Q159" s="245"/>
      <c r="R159" s="558">
        <f t="shared" si="11"/>
        <v>15230503.721801728</v>
      </c>
      <c r="S159" s="265"/>
      <c r="T159" s="245"/>
      <c r="U159" s="245"/>
      <c r="V159" s="245"/>
      <c r="W159" s="245"/>
      <c r="X159" s="245"/>
      <c r="Y159" s="245"/>
      <c r="Z159" s="245"/>
      <c r="AA159" s="245"/>
      <c r="AB159" s="245"/>
      <c r="AC159" s="245"/>
      <c r="AD159" s="245"/>
      <c r="AE159" s="245"/>
      <c r="AF159" s="245"/>
      <c r="AG159" s="245"/>
      <c r="AH159" s="245"/>
      <c r="AI159" s="245"/>
      <c r="AJ159" s="245"/>
      <c r="AK159" s="245"/>
      <c r="AL159" s="245"/>
      <c r="AM159" s="245"/>
    </row>
    <row r="160" spans="1:39" x14ac:dyDescent="0.2">
      <c r="A160" s="503">
        <f t="shared" si="12"/>
        <v>141</v>
      </c>
      <c r="B160" s="262" t="str">
        <f>CONCATENATE('3. Consumption by Rate Class'!B165,"-",'3. Consumption by Rate Class'!C165)</f>
        <v>2016-September</v>
      </c>
      <c r="C160" s="715"/>
      <c r="D160" s="275"/>
      <c r="E160" s="275"/>
      <c r="F160" s="275"/>
      <c r="G160" s="275"/>
      <c r="H160" s="275"/>
      <c r="I160" s="275"/>
      <c r="J160" s="246"/>
      <c r="K160" s="744">
        <f>IF(K$19=$B$169,+AVERAGE(K40,K52,K64,K76,K88,K100,K112,K124,K136,K148),+IF(K$19=$B$170,+(EXP((LN(+'4. Customer Growth'!$W$43)/12))*$K159),IF($K$19=$B$171,+$A160*$C$176+$D$176,0)))</f>
        <v>103.673</v>
      </c>
      <c r="L160" s="744">
        <f>IF(L$19=$B$169,+AVERAGE(L40,L52,L64,L76,L88,L100,L112,L124,L136,L148),+IF(L$19=$B$170,+(EXP((LN(+'4. Customer Growth'!$W$43)/12))*$K159),IF($L$19=$B$171,+$A160*$C$177+$D$177,0)))</f>
        <v>19.294999999999998</v>
      </c>
      <c r="M160" s="744">
        <f>IF(M$19=$B$169,+AVERAGE(M40,M52,M64,M76,M88,M100,M112,M124,M136,M148),+IF(M$19=$B$170,+(EXP((LN(+'4. Customer Growth'!$W$43)/12))*$K159),IF($M$19=$B$171,+$A160*$C$178+$D$178,0)))</f>
        <v>0</v>
      </c>
      <c r="N160" s="744">
        <f>IF(N$19=$B$169,+AVERAGE(N40,N52,N64,N76,N88,N100,N112,N124,N136,N148),+IF(N$19=$B$170,+(EXP((LN(+'4. Customer Growth'!$W$43)/12))*$K159),IF($N$19=$B$171,+$A160*$C$179+$D$179,0)))</f>
        <v>0</v>
      </c>
      <c r="O160" s="744">
        <f>IF(O$19=$B$169,+AVERAGE(O40,O52,O64,O76,O88,O100,O112,O124,O136,O148),+IF(O$19=$B$170,+(EXP((LN(+'4. Customer Growth'!$W$43)/12))*$O159),IF($O$19=$B$171,+$A160*$C$180+$D$180,0)))</f>
        <v>30</v>
      </c>
      <c r="P160" s="744">
        <f>IF(P$19=$B$169,+AVERAGE(P40,P52,P64,P76,P88,P100,P112,P124,P136,P148),+IF(P$19=$B$170,+(EXP((LN(+'4. Customer Growth'!$W$43)/12))*$P159),IF($P$19=$B$171,+$A160*$C$181+$D$181,0)))</f>
        <v>0</v>
      </c>
      <c r="Q160" s="245"/>
      <c r="R160" s="558">
        <f t="shared" si="11"/>
        <v>14347612.197101168</v>
      </c>
      <c r="S160" s="265"/>
      <c r="T160" s="245"/>
      <c r="U160" s="245"/>
      <c r="V160" s="245"/>
      <c r="W160" s="245"/>
      <c r="X160" s="245"/>
      <c r="Y160" s="245"/>
      <c r="Z160" s="245"/>
      <c r="AA160" s="245"/>
      <c r="AB160" s="245"/>
      <c r="AC160" s="245"/>
      <c r="AD160" s="245"/>
      <c r="AE160" s="245"/>
      <c r="AF160" s="245"/>
      <c r="AG160" s="245"/>
      <c r="AH160" s="245"/>
      <c r="AI160" s="245"/>
      <c r="AJ160" s="245"/>
      <c r="AK160" s="245"/>
      <c r="AL160" s="245"/>
      <c r="AM160" s="245"/>
    </row>
    <row r="161" spans="1:39" x14ac:dyDescent="0.2">
      <c r="A161" s="503">
        <f t="shared" si="12"/>
        <v>142</v>
      </c>
      <c r="B161" s="262" t="str">
        <f>CONCATENATE('3. Consumption by Rate Class'!B166,"-",'3. Consumption by Rate Class'!C166)</f>
        <v>2016-October</v>
      </c>
      <c r="C161" s="715"/>
      <c r="D161" s="275"/>
      <c r="E161" s="275"/>
      <c r="F161" s="275"/>
      <c r="G161" s="275"/>
      <c r="H161" s="275"/>
      <c r="I161" s="275"/>
      <c r="J161" s="246"/>
      <c r="K161" s="744">
        <f>IF(K$19=$B$169,+AVERAGE(K41,K53,K65,K77,K89,K101,K113,K125,K137,K149),+IF(K$19=$B$170,+(EXP((LN(+'4. Customer Growth'!$W$43)/12))*$K160),IF($K$19=$B$171,+$A161*$C$176+$D$176,0)))</f>
        <v>282.911</v>
      </c>
      <c r="L161" s="744">
        <f>IF(L$19=$B$169,+AVERAGE(L41,L53,L65,L77,L89,L101,L113,L125,L137,L149),+IF(L$19=$B$170,+(EXP((LN(+'4. Customer Growth'!$W$43)/12))*$K160),IF($L$19=$B$171,+$A161*$C$177+$D$177,0)))</f>
        <v>0.84499999999999997</v>
      </c>
      <c r="M161" s="744">
        <f>IF(M$19=$B$169,+AVERAGE(M41,M53,M65,M77,M89,M101,M113,M125,M137,M149),+IF(M$19=$B$170,+(EXP((LN(+'4. Customer Growth'!$W$43)/12))*$K160),IF($M$19=$B$171,+$A161*$C$178+$D$178,0)))</f>
        <v>0</v>
      </c>
      <c r="N161" s="744">
        <f>IF(N$19=$B$169,+AVERAGE(N41,N53,N65,N77,N89,N101,N113,N125,N137,N149),+IF(N$19=$B$170,+(EXP((LN(+'4. Customer Growth'!$W$43)/12))*$K160),IF($N$19=$B$171,+$A161*$C$179+$D$179,0)))</f>
        <v>0</v>
      </c>
      <c r="O161" s="744">
        <f>IF(O$19=$B$169,+AVERAGE(O41,O53,O65,O77,O89,O101,O113,O125,O137,O149),+IF(O$19=$B$170,+(EXP((LN(+'4. Customer Growth'!$W$43)/12))*$O160),IF($O$19=$B$171,+$A161*$C$180+$D$180,0)))</f>
        <v>31</v>
      </c>
      <c r="P161" s="744">
        <f>IF(P$19=$B$169,+AVERAGE(P41,P53,P65,P77,P89,P101,P113,P125,P137,P149),+IF(P$19=$B$170,+(EXP((LN(+'4. Customer Growth'!$W$43)/12))*$P160),IF($P$19=$B$171,+$A161*$C$181+$D$181,0)))</f>
        <v>0</v>
      </c>
      <c r="Q161" s="245"/>
      <c r="R161" s="558">
        <f t="shared" si="11"/>
        <v>15119781.752507802</v>
      </c>
      <c r="S161" s="265"/>
      <c r="T161" s="245"/>
      <c r="U161" s="245"/>
      <c r="V161" s="245"/>
      <c r="W161" s="245"/>
      <c r="X161" s="245"/>
      <c r="Y161" s="245"/>
      <c r="Z161" s="245"/>
      <c r="AA161" s="245"/>
      <c r="AB161" s="245"/>
      <c r="AC161" s="245"/>
      <c r="AD161" s="245"/>
      <c r="AE161" s="245"/>
      <c r="AF161" s="245"/>
      <c r="AG161" s="245"/>
      <c r="AH161" s="245"/>
      <c r="AI161" s="245"/>
      <c r="AJ161" s="245"/>
      <c r="AK161" s="245"/>
      <c r="AL161" s="245"/>
      <c r="AM161" s="245"/>
    </row>
    <row r="162" spans="1:39" x14ac:dyDescent="0.2">
      <c r="A162" s="503">
        <f t="shared" si="12"/>
        <v>143</v>
      </c>
      <c r="B162" s="175" t="str">
        <f>CONCATENATE('3. Consumption by Rate Class'!B167,"-",'3. Consumption by Rate Class'!C167)</f>
        <v>2016-November</v>
      </c>
      <c r="C162" s="716"/>
      <c r="D162" s="60"/>
      <c r="E162" s="60"/>
      <c r="F162" s="60"/>
      <c r="G162" s="60"/>
      <c r="H162" s="60"/>
      <c r="I162" s="60"/>
      <c r="K162" s="744">
        <f>IF(K$19=$B$169,+AVERAGE(K42,K54,K66,K78,K90,K102,K114,K126,K138,K150),+IF(K$19=$B$170,+(EXP((LN(+'4. Customer Growth'!$W$43)/12))*$K161),IF($K$19=$B$171,+$A162*$C$176+$D$176,0)))</f>
        <v>483.57300000000004</v>
      </c>
      <c r="L162" s="744">
        <f>IF(L$19=$B$169,+AVERAGE(L42,L54,L66,L78,L90,L102,L114,L126,L138,L150),+IF(L$19=$B$170,+(EXP((LN(+'4. Customer Growth'!$W$43)/12))*$K161),IF($L$19=$B$171,+$A162*$C$177+$D$177,0)))</f>
        <v>0</v>
      </c>
      <c r="M162" s="744">
        <f>IF(M$19=$B$169,+AVERAGE(M42,M54,M66,M78,M90,M102,M114,M126,M138,M150),+IF(M$19=$B$170,+(EXP((LN(+'4. Customer Growth'!$W$43)/12))*$K161),IF($M$19=$B$171,+$A162*$C$178+$D$178,0)))</f>
        <v>0</v>
      </c>
      <c r="N162" s="744">
        <f>IF(N$19=$B$169,+AVERAGE(N42,N54,N66,N78,N90,N102,N114,N126,N138,N150),+IF(N$19=$B$170,+(EXP((LN(+'4. Customer Growth'!$W$43)/12))*$K161),IF($N$19=$B$171,+$A162*$C$179+$D$179,0)))</f>
        <v>0</v>
      </c>
      <c r="O162" s="744">
        <f>IF(O$19=$B$169,+AVERAGE(O42,O54,O66,O78,O90,O102,O114,O126,O138,O150),+IF(O$19=$B$170,+(EXP((LN(+'4. Customer Growth'!$W$43)/12))*$O161),IF($O$19=$B$171,+$A162*$C$180+$D$180,0)))</f>
        <v>30</v>
      </c>
      <c r="P162" s="744">
        <f>IF(P$19=$B$169,+AVERAGE(P42,P54,P66,P78,P90,P102,P114,P126,P138,P150),+IF(P$19=$B$170,+(EXP((LN(+'4. Customer Growth'!$W$43)/12))*$P161),IF($P$19=$B$171,+$A162*$C$181+$D$181,0)))</f>
        <v>0</v>
      </c>
      <c r="R162" s="558">
        <f t="shared" si="11"/>
        <v>16529373.802673778</v>
      </c>
      <c r="S162" s="221"/>
      <c r="U162" s="245"/>
      <c r="V162" s="245"/>
      <c r="W162" s="245"/>
      <c r="X162" s="245"/>
      <c r="Y162" s="245"/>
      <c r="Z162" s="245"/>
    </row>
    <row r="163" spans="1:39" x14ac:dyDescent="0.2">
      <c r="A163" s="503">
        <f t="shared" si="12"/>
        <v>144</v>
      </c>
      <c r="B163" s="175" t="str">
        <f>CONCATENATE('3. Consumption by Rate Class'!B168,"-",'3. Consumption by Rate Class'!C168)</f>
        <v>2016-December</v>
      </c>
      <c r="C163" s="716"/>
      <c r="D163" s="60"/>
      <c r="E163" s="60"/>
      <c r="F163" s="60"/>
      <c r="G163" s="60"/>
      <c r="H163" s="60"/>
      <c r="I163" s="60"/>
      <c r="K163" s="744">
        <f>IF(K$19=$B$169,+AVERAGE(K43,K55,K67,K79,K91,K103,K115,K127,K139,K151),+IF(K$19=$B$170,+(EXP((LN(+'4. Customer Growth'!$W$43)/12))*$K162),IF($K$19=$B$171,+$A163*$C$176+$D$176,0)))</f>
        <v>687.06799999999998</v>
      </c>
      <c r="L163" s="744">
        <f>IF(L$19=$B$169,+AVERAGE(L43,L55,L67,L79,L91,L103,L115,L127,L139,L151),+IF(L$19=$B$170,+(EXP((LN(+'4. Customer Growth'!$W$43)/12))*$K162),IF($L$19=$B$171,+$A163*$C$177+$D$177,0)))</f>
        <v>0</v>
      </c>
      <c r="M163" s="744">
        <f>IF(M$19=$B$169,+AVERAGE(M43,M55,M67,M79,M91,M103,M115,M127,M139,M151),+IF(M$19=$B$170,+(EXP((LN(+'4. Customer Growth'!$W$43)/12))*$K162),IF($M$19=$B$171,+$A163*$C$178+$D$178,0)))</f>
        <v>1</v>
      </c>
      <c r="N163" s="744">
        <f>IF(N$19=$B$169,+AVERAGE(N43,N55,N67,N79,N91,N103,N115,N127,N139,N151),+IF(N$19=$B$170,+(EXP((LN(+'4. Customer Growth'!$W$43)/12))*$K162),IF($N$19=$B$171,+$A163*$C$179+$D$179,0)))</f>
        <v>1</v>
      </c>
      <c r="O163" s="744">
        <f>IF(O$19=$B$169,+AVERAGE(O43,O55,O67,O79,O91,O103,O115,O127,O139,O151),+IF(O$19=$B$170,+(EXP((LN(+'4. Customer Growth'!$W$43)/12))*$O162),IF($O$19=$B$171,+$A163*$C$180+$D$180,0)))</f>
        <v>31</v>
      </c>
      <c r="P163" s="744">
        <f>IF(P$19=$B$169,+AVERAGE(P43,P55,P67,P79,P91,P103,P115,P127,P139,P151),+IF(P$19=$B$170,+(EXP((LN(+'4. Customer Growth'!$W$43)/12))*$P162),IF($P$19=$B$171,+$A163*$C$181+$D$181,0)))</f>
        <v>0</v>
      </c>
      <c r="R163" s="558">
        <f t="shared" si="11"/>
        <v>19457395.49768516</v>
      </c>
      <c r="S163" s="221">
        <f>SUM(R152:R163)</f>
        <v>199084954.49928209</v>
      </c>
    </row>
    <row r="164" spans="1:39" x14ac:dyDescent="0.2">
      <c r="B164" s="176"/>
      <c r="C164" s="716"/>
      <c r="D164" s="60"/>
      <c r="E164" s="60"/>
      <c r="F164" s="60"/>
      <c r="G164" s="60"/>
      <c r="H164" s="60"/>
      <c r="I164" s="60"/>
    </row>
    <row r="167" spans="1:39" x14ac:dyDescent="0.2">
      <c r="B167" s="301"/>
      <c r="C167" s="717"/>
      <c r="D167" s="727"/>
    </row>
    <row r="168" spans="1:39" hidden="1" x14ac:dyDescent="0.2">
      <c r="A168" s="302"/>
      <c r="B168" s="303" t="s">
        <v>171</v>
      </c>
      <c r="C168" s="718"/>
      <c r="D168" s="727"/>
      <c r="L168" s="726"/>
    </row>
    <row r="169" spans="1:39" hidden="1" x14ac:dyDescent="0.2">
      <c r="A169" s="302"/>
      <c r="B169" s="304" t="s">
        <v>169</v>
      </c>
      <c r="C169" s="719"/>
      <c r="D169" s="727"/>
    </row>
    <row r="170" spans="1:39" hidden="1" x14ac:dyDescent="0.2">
      <c r="A170" s="302"/>
      <c r="B170" s="305" t="s">
        <v>170</v>
      </c>
      <c r="C170" s="720"/>
      <c r="D170" s="727"/>
    </row>
    <row r="171" spans="1:39" hidden="1" x14ac:dyDescent="0.2">
      <c r="B171" s="500" t="s">
        <v>236</v>
      </c>
      <c r="C171" s="719"/>
      <c r="D171" s="727"/>
    </row>
    <row r="172" spans="1:39" hidden="1" x14ac:dyDescent="0.2">
      <c r="B172" s="728"/>
      <c r="C172" s="729"/>
      <c r="D172" s="730"/>
    </row>
    <row r="173" spans="1:39" hidden="1" x14ac:dyDescent="0.2">
      <c r="B173" s="728"/>
      <c r="C173" s="729"/>
      <c r="D173" s="730"/>
    </row>
    <row r="174" spans="1:39" hidden="1" x14ac:dyDescent="0.2">
      <c r="B174" s="842" t="s">
        <v>237</v>
      </c>
      <c r="C174" s="842"/>
      <c r="D174" s="842"/>
    </row>
    <row r="175" spans="1:39" hidden="1" x14ac:dyDescent="0.2">
      <c r="B175" s="504" t="s">
        <v>149</v>
      </c>
      <c r="C175" s="721" t="s">
        <v>238</v>
      </c>
      <c r="D175" s="502" t="s">
        <v>239</v>
      </c>
    </row>
    <row r="176" spans="1:39" ht="14.25" hidden="1" x14ac:dyDescent="0.2">
      <c r="B176" s="504" t="s">
        <v>1</v>
      </c>
      <c r="C176" s="722">
        <f>INDEX(LINEST($K$20:$K139,$A$20:$A$139,TRUE,FALSE),1)</f>
        <v>-0.28549968747829702</v>
      </c>
      <c r="D176" s="501">
        <f>INDEX(LINEST($K$20:$K139,$A$20:$A$139,TRUE,FALSE),2)</f>
        <v>373.34439775910357</v>
      </c>
    </row>
    <row r="177" spans="2:4" ht="14.25" hidden="1" x14ac:dyDescent="0.2">
      <c r="B177" s="504" t="s">
        <v>2</v>
      </c>
      <c r="C177" s="722">
        <f>INDEX(LINEST($L$20:$L139,$A$20:$A$139,TRUE,FALSE),1)</f>
        <v>-2.7641850128481121E-2</v>
      </c>
      <c r="D177" s="501">
        <f>INDEX(LINEST($L$20:$L139,$A$20:$A$139,TRUE,FALSE),2)</f>
        <v>24.886498599439772</v>
      </c>
    </row>
    <row r="178" spans="2:4" ht="14.25" hidden="1" x14ac:dyDescent="0.2">
      <c r="B178" s="504" t="s">
        <v>134</v>
      </c>
      <c r="C178" s="722">
        <f>INDEX(LINEST($M$20:$M139,$A$20:$A$139,TRUE,FALSE),1)</f>
        <v>-3.1252170289603441E-4</v>
      </c>
      <c r="D178" s="501">
        <f>INDEX(LINEST($M$20:$M139,$A$20:$A$139,TRUE,FALSE),2)</f>
        <v>0.26890756302521007</v>
      </c>
    </row>
    <row r="179" spans="2:4" ht="14.25" hidden="1" x14ac:dyDescent="0.2">
      <c r="B179" s="504" t="s">
        <v>157</v>
      </c>
      <c r="C179" s="722">
        <f>INDEX(LINEST($N$20:$N139,$A$20:$A$139,TRUE,FALSE),1)</f>
        <v>-2.0834780193069099E-4</v>
      </c>
      <c r="D179" s="501">
        <f>INDEX(LINEST($N$20:$N139,$A$20:$A$139,TRUE,FALSE),2)</f>
        <v>0.3459383753501401</v>
      </c>
    </row>
    <row r="180" spans="2:4" ht="14.25" hidden="1" x14ac:dyDescent="0.2">
      <c r="B180" s="504" t="s">
        <v>133</v>
      </c>
      <c r="C180" s="722">
        <f>INDEX(LINEST($O$20:$O139,$A$20:$A$139,TRUE,FALSE),1)</f>
        <v>6.8060281964024845E-4</v>
      </c>
      <c r="D180" s="501">
        <f>INDEX(LINEST($O$20:$O139,$A$20:$A$139,TRUE,FALSE),2)</f>
        <v>30.3921568627451</v>
      </c>
    </row>
    <row r="181" spans="2:4" ht="14.25" hidden="1" x14ac:dyDescent="0.2">
      <c r="B181" s="504" t="s">
        <v>165</v>
      </c>
      <c r="C181" s="722">
        <f>INDEX(LINEST($P$20:$P139,$A$20:$A$139,TRUE,FALSE),1)</f>
        <v>0</v>
      </c>
      <c r="D181" s="501">
        <f>INDEX(LINEST($P$20:$P139,$A$20:$A$139,TRUE,FALSE),2)</f>
        <v>0</v>
      </c>
    </row>
    <row r="182" spans="2:4" x14ac:dyDescent="0.2">
      <c r="B182" s="728"/>
      <c r="C182" s="729"/>
      <c r="D182" s="730"/>
    </row>
  </sheetData>
  <mergeCells count="4">
    <mergeCell ref="K17:P17"/>
    <mergeCell ref="D17:I17"/>
    <mergeCell ref="Q19:S19"/>
    <mergeCell ref="B174:D174"/>
  </mergeCells>
  <phoneticPr fontId="0" type="noConversion"/>
  <dataValidations count="2">
    <dataValidation type="list" allowBlank="1" showInputMessage="1" showErrorMessage="1" sqref="K18:P18">
      <formula1>AllVariables</formula1>
    </dataValidation>
    <dataValidation type="list" allowBlank="1" showInputMessage="1" showErrorMessage="1" sqref="K19:P19">
      <formula1>$B$169:$B$171</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M38"/>
  <sheetViews>
    <sheetView showGridLines="0" topLeftCell="A7" zoomScaleNormal="100" workbookViewId="0">
      <selection activeCell="I62" sqref="I62"/>
    </sheetView>
  </sheetViews>
  <sheetFormatPr defaultRowHeight="12.75" x14ac:dyDescent="0.2"/>
  <cols>
    <col min="1" max="1" width="13.6640625" style="1" customWidth="1"/>
    <col min="2" max="2" width="9.33203125" style="1"/>
    <col min="3" max="3" width="47.33203125" style="1" bestFit="1" customWidth="1"/>
    <col min="4" max="4" width="16.33203125" style="1" bestFit="1" customWidth="1"/>
    <col min="5" max="5" width="16.1640625" style="1" bestFit="1" customWidth="1"/>
    <col min="6" max="6" width="14.6640625" style="1" bestFit="1" customWidth="1"/>
    <col min="7" max="7" width="13" style="1" bestFit="1" customWidth="1"/>
    <col min="8" max="8" width="14" style="1" customWidth="1"/>
    <col min="9" max="9" width="13" style="1" bestFit="1" customWidth="1"/>
    <col min="10" max="11" width="14.1640625" style="1" bestFit="1" customWidth="1"/>
    <col min="12" max="16384" width="9.33203125" style="1"/>
  </cols>
  <sheetData>
    <row r="1" spans="1:39" s="536" customFormat="1" x14ac:dyDescent="0.2">
      <c r="A1" s="758" t="s">
        <v>272</v>
      </c>
    </row>
    <row r="2" spans="1:39" s="536" customFormat="1" x14ac:dyDescent="0.2"/>
    <row r="3" spans="1:39" s="536" customFormat="1" x14ac:dyDescent="0.2"/>
    <row r="4" spans="1:39" s="536" customFormat="1" x14ac:dyDescent="0.2"/>
    <row r="5" spans="1:39" s="536" customFormat="1" x14ac:dyDescent="0.2"/>
    <row r="6" spans="1:39" s="536" customFormat="1" x14ac:dyDescent="0.2"/>
    <row r="7" spans="1:39" s="536" customFormat="1" x14ac:dyDescent="0.2"/>
    <row r="8" spans="1:39" s="536" customFormat="1" x14ac:dyDescent="0.2"/>
    <row r="9" spans="1:39" s="536" customFormat="1" x14ac:dyDescent="0.2"/>
    <row r="10" spans="1:39" s="536" customFormat="1" x14ac:dyDescent="0.2"/>
    <row r="11" spans="1:39" s="536" customFormat="1" ht="23.25" x14ac:dyDescent="0.2">
      <c r="A11" s="259"/>
      <c r="B11" s="260" t="s">
        <v>255</v>
      </c>
      <c r="C11" s="246"/>
      <c r="D11" s="246"/>
      <c r="E11" s="246"/>
      <c r="F11" s="246"/>
      <c r="G11" s="246"/>
      <c r="H11" s="246"/>
      <c r="I11" s="246"/>
      <c r="J11" s="246"/>
      <c r="K11" s="246"/>
      <c r="L11" s="246"/>
      <c r="M11" s="246"/>
      <c r="N11" s="246"/>
      <c r="O11" s="246"/>
      <c r="P11" s="246"/>
      <c r="Q11" s="245"/>
      <c r="R11" s="246"/>
      <c r="S11" s="245"/>
      <c r="T11" s="245"/>
      <c r="U11" s="245"/>
      <c r="V11" s="245"/>
      <c r="W11" s="245"/>
      <c r="X11" s="245"/>
      <c r="Y11" s="245"/>
      <c r="Z11" s="245"/>
      <c r="AA11" s="245"/>
      <c r="AB11" s="245"/>
      <c r="AC11" s="245"/>
      <c r="AD11" s="245"/>
      <c r="AE11" s="245"/>
      <c r="AF11" s="245"/>
      <c r="AG11" s="245"/>
      <c r="AH11" s="245"/>
      <c r="AI11" s="245"/>
      <c r="AJ11" s="245"/>
      <c r="AK11" s="245"/>
      <c r="AL11" s="245"/>
      <c r="AM11" s="245"/>
    </row>
    <row r="12" spans="1:39" s="536" customFormat="1" ht="15" x14ac:dyDescent="0.2">
      <c r="A12" s="259"/>
      <c r="B12" s="63" t="s">
        <v>64</v>
      </c>
      <c r="C12" s="246"/>
      <c r="D12" s="246"/>
      <c r="E12" s="246"/>
      <c r="F12" s="246"/>
      <c r="G12" s="246"/>
      <c r="H12" s="246"/>
      <c r="I12" s="246"/>
      <c r="J12" s="246"/>
      <c r="K12" s="246"/>
      <c r="L12" s="246"/>
      <c r="M12" s="246"/>
      <c r="N12" s="246"/>
      <c r="O12" s="245"/>
      <c r="P12" s="246"/>
      <c r="Q12" s="245"/>
      <c r="R12" s="245"/>
      <c r="S12" s="245"/>
      <c r="T12" s="245"/>
      <c r="U12" s="245"/>
      <c r="V12" s="245"/>
      <c r="W12" s="245"/>
      <c r="X12" s="245"/>
      <c r="Y12" s="245"/>
      <c r="Z12" s="245"/>
      <c r="AA12" s="245"/>
      <c r="AB12" s="245"/>
      <c r="AC12" s="245"/>
      <c r="AD12" s="245"/>
      <c r="AE12" s="245"/>
      <c r="AF12" s="245"/>
      <c r="AG12" s="245"/>
      <c r="AH12" s="245"/>
      <c r="AI12" s="245"/>
      <c r="AJ12" s="245"/>
      <c r="AK12" s="245"/>
    </row>
    <row r="13" spans="1:39" s="536" customFormat="1" ht="14.25" x14ac:dyDescent="0.2">
      <c r="A13" s="259"/>
      <c r="B13" s="100" t="s">
        <v>253</v>
      </c>
      <c r="C13" s="246"/>
      <c r="D13" s="246"/>
      <c r="E13" s="246"/>
      <c r="F13" s="246"/>
      <c r="G13" s="246"/>
      <c r="H13" s="246"/>
      <c r="I13" s="246"/>
      <c r="J13" s="246"/>
      <c r="K13" s="246"/>
      <c r="L13" s="246"/>
      <c r="M13" s="246"/>
      <c r="N13" s="246"/>
      <c r="O13" s="246"/>
      <c r="P13" s="246"/>
      <c r="Q13" s="245"/>
      <c r="R13" s="246"/>
      <c r="S13" s="245"/>
      <c r="T13" s="245"/>
      <c r="U13" s="245"/>
      <c r="V13" s="245"/>
      <c r="W13" s="245"/>
      <c r="X13" s="245"/>
      <c r="Y13" s="245"/>
      <c r="Z13" s="245"/>
      <c r="AA13" s="245"/>
      <c r="AB13" s="245"/>
      <c r="AC13" s="245"/>
      <c r="AD13" s="245"/>
      <c r="AE13" s="245"/>
      <c r="AF13" s="245"/>
      <c r="AG13" s="245"/>
      <c r="AH13" s="245"/>
      <c r="AI13" s="245"/>
      <c r="AJ13" s="245"/>
      <c r="AK13" s="245"/>
      <c r="AL13" s="245"/>
      <c r="AM13" s="245"/>
    </row>
    <row r="14" spans="1:39" s="536" customFormat="1" ht="14.25" x14ac:dyDescent="0.2">
      <c r="A14" s="259"/>
      <c r="B14" s="100" t="s">
        <v>254</v>
      </c>
      <c r="C14" s="246"/>
      <c r="D14" s="246"/>
      <c r="E14" s="246"/>
      <c r="F14" s="246"/>
      <c r="G14" s="246"/>
      <c r="H14" s="246"/>
      <c r="I14" s="246"/>
      <c r="J14" s="246"/>
      <c r="K14" s="246"/>
      <c r="L14" s="246"/>
      <c r="M14" s="246"/>
      <c r="N14" s="246"/>
      <c r="O14" s="246"/>
      <c r="P14" s="246"/>
      <c r="Q14" s="245"/>
      <c r="R14" s="246"/>
      <c r="S14" s="245"/>
      <c r="T14" s="245"/>
      <c r="U14" s="245"/>
      <c r="V14" s="245"/>
      <c r="W14" s="245"/>
      <c r="X14" s="245"/>
      <c r="Y14" s="245"/>
      <c r="Z14" s="245"/>
      <c r="AA14" s="245"/>
      <c r="AB14" s="245"/>
      <c r="AC14" s="245"/>
      <c r="AD14" s="245"/>
      <c r="AE14" s="245"/>
      <c r="AF14" s="245"/>
      <c r="AG14" s="245"/>
      <c r="AH14" s="245"/>
      <c r="AI14" s="245"/>
      <c r="AJ14" s="245"/>
      <c r="AK14" s="245"/>
      <c r="AL14" s="245"/>
      <c r="AM14" s="245"/>
    </row>
    <row r="17" spans="2:11" x14ac:dyDescent="0.2">
      <c r="B17" t="s">
        <v>158</v>
      </c>
      <c r="C17"/>
      <c r="D17"/>
      <c r="E17"/>
      <c r="F17"/>
      <c r="G17"/>
      <c r="H17"/>
      <c r="I17"/>
      <c r="J17"/>
      <c r="K17"/>
    </row>
    <row r="18" spans="2:11" ht="13.5" thickBot="1" x14ac:dyDescent="0.25">
      <c r="B18"/>
      <c r="C18"/>
      <c r="D18"/>
      <c r="E18"/>
      <c r="F18"/>
      <c r="G18"/>
      <c r="H18"/>
      <c r="I18"/>
      <c r="J18"/>
      <c r="K18"/>
    </row>
    <row r="19" spans="2:11" x14ac:dyDescent="0.2">
      <c r="B19" s="549" t="s">
        <v>7</v>
      </c>
      <c r="C19" s="549"/>
      <c r="D19"/>
      <c r="E19"/>
      <c r="F19"/>
      <c r="G19"/>
      <c r="H19"/>
      <c r="I19"/>
      <c r="J19"/>
      <c r="K19"/>
    </row>
    <row r="20" spans="2:11" x14ac:dyDescent="0.2">
      <c r="B20" s="546" t="s">
        <v>8</v>
      </c>
      <c r="C20" s="546">
        <v>0.92668223566941954</v>
      </c>
      <c r="D20"/>
      <c r="E20"/>
      <c r="F20"/>
      <c r="G20"/>
      <c r="H20"/>
      <c r="I20"/>
      <c r="J20"/>
      <c r="K20"/>
    </row>
    <row r="21" spans="2:11" x14ac:dyDescent="0.2">
      <c r="B21" s="546" t="s">
        <v>9</v>
      </c>
      <c r="C21" s="546">
        <v>0.85873996590527357</v>
      </c>
      <c r="D21"/>
      <c r="E21"/>
      <c r="F21"/>
      <c r="G21"/>
      <c r="H21"/>
      <c r="I21"/>
      <c r="J21"/>
      <c r="K21"/>
    </row>
    <row r="22" spans="2:11" x14ac:dyDescent="0.2">
      <c r="B22" s="546" t="s">
        <v>10</v>
      </c>
      <c r="C22" s="546">
        <v>0.85254435037480314</v>
      </c>
      <c r="D22"/>
      <c r="E22"/>
      <c r="F22"/>
      <c r="G22"/>
      <c r="H22"/>
      <c r="I22"/>
      <c r="J22"/>
      <c r="K22"/>
    </row>
    <row r="23" spans="2:11" x14ac:dyDescent="0.2">
      <c r="B23" s="546" t="s">
        <v>11</v>
      </c>
      <c r="C23" s="546">
        <v>912139.52476786438</v>
      </c>
      <c r="D23"/>
      <c r="E23"/>
      <c r="F23"/>
      <c r="G23"/>
      <c r="H23"/>
      <c r="I23"/>
      <c r="J23"/>
      <c r="K23"/>
    </row>
    <row r="24" spans="2:11" ht="13.5" thickBot="1" x14ac:dyDescent="0.25">
      <c r="B24" s="547" t="s">
        <v>12</v>
      </c>
      <c r="C24" s="547">
        <v>120</v>
      </c>
      <c r="D24"/>
      <c r="E24"/>
      <c r="F24"/>
      <c r="G24"/>
      <c r="H24"/>
      <c r="I24"/>
      <c r="J24"/>
      <c r="K24"/>
    </row>
    <row r="25" spans="2:11" x14ac:dyDescent="0.2">
      <c r="B25"/>
      <c r="C25"/>
      <c r="D25"/>
      <c r="E25"/>
      <c r="F25"/>
      <c r="G25"/>
      <c r="H25"/>
      <c r="I25"/>
      <c r="J25"/>
      <c r="K25"/>
    </row>
    <row r="26" spans="2:11" ht="13.5" thickBot="1" x14ac:dyDescent="0.25">
      <c r="B26" t="s">
        <v>13</v>
      </c>
      <c r="C26"/>
      <c r="D26"/>
      <c r="E26"/>
      <c r="F26"/>
      <c r="G26"/>
      <c r="H26"/>
      <c r="I26"/>
      <c r="J26"/>
      <c r="K26"/>
    </row>
    <row r="27" spans="2:11" x14ac:dyDescent="0.2">
      <c r="B27" s="548"/>
      <c r="C27" s="548" t="s">
        <v>18</v>
      </c>
      <c r="D27" s="548" t="s">
        <v>19</v>
      </c>
      <c r="E27" s="548" t="s">
        <v>20</v>
      </c>
      <c r="F27" s="548" t="s">
        <v>21</v>
      </c>
      <c r="G27" s="548" t="s">
        <v>22</v>
      </c>
      <c r="H27"/>
      <c r="I27"/>
      <c r="J27"/>
      <c r="K27"/>
    </row>
    <row r="28" spans="2:11" x14ac:dyDescent="0.2">
      <c r="B28" s="546" t="s">
        <v>14</v>
      </c>
      <c r="C28" s="546">
        <v>5</v>
      </c>
      <c r="D28" s="546">
        <v>576593536886782.62</v>
      </c>
      <c r="E28" s="546">
        <v>115318707377356.53</v>
      </c>
      <c r="F28" s="546">
        <v>138.60446337929332</v>
      </c>
      <c r="G28" s="546">
        <v>9.5068561616320363E-47</v>
      </c>
      <c r="H28"/>
      <c r="I28"/>
      <c r="J28"/>
      <c r="K28"/>
    </row>
    <row r="29" spans="2:11" x14ac:dyDescent="0.2">
      <c r="B29" s="546" t="s">
        <v>15</v>
      </c>
      <c r="C29" s="546">
        <v>114</v>
      </c>
      <c r="D29" s="546">
        <v>94847830441386.984</v>
      </c>
      <c r="E29" s="546">
        <v>831998512643.74548</v>
      </c>
      <c r="F29" s="546"/>
      <c r="G29" s="546"/>
      <c r="H29"/>
      <c r="I29"/>
      <c r="J29"/>
      <c r="K29"/>
    </row>
    <row r="30" spans="2:11" ht="13.5" thickBot="1" x14ac:dyDescent="0.25">
      <c r="B30" s="547" t="s">
        <v>16</v>
      </c>
      <c r="C30" s="547">
        <v>119</v>
      </c>
      <c r="D30" s="547">
        <v>671441367328169.62</v>
      </c>
      <c r="E30" s="547"/>
      <c r="F30" s="547"/>
      <c r="G30" s="547"/>
      <c r="H30"/>
      <c r="I30"/>
      <c r="J30"/>
      <c r="K30"/>
    </row>
    <row r="31" spans="2:11" ht="13.5" thickBot="1" x14ac:dyDescent="0.25">
      <c r="B31"/>
      <c r="C31"/>
      <c r="D31"/>
      <c r="E31"/>
      <c r="F31"/>
      <c r="G31"/>
      <c r="H31"/>
      <c r="I31"/>
      <c r="J31"/>
      <c r="K31"/>
    </row>
    <row r="32" spans="2:11" x14ac:dyDescent="0.2">
      <c r="B32" s="548"/>
      <c r="C32" s="548" t="s">
        <v>23</v>
      </c>
      <c r="D32" s="548" t="s">
        <v>11</v>
      </c>
      <c r="E32" s="548" t="s">
        <v>24</v>
      </c>
      <c r="F32" s="548" t="s">
        <v>25</v>
      </c>
      <c r="G32" s="548" t="s">
        <v>26</v>
      </c>
      <c r="H32" s="548" t="s">
        <v>27</v>
      </c>
      <c r="I32" s="548" t="s">
        <v>28</v>
      </c>
      <c r="J32" s="548" t="s">
        <v>29</v>
      </c>
      <c r="K32"/>
    </row>
    <row r="33" spans="2:11" x14ac:dyDescent="0.2">
      <c r="B33" s="546" t="s">
        <v>17</v>
      </c>
      <c r="C33" s="546">
        <v>8741032.4856701158</v>
      </c>
      <c r="D33" s="546">
        <v>4558814.727491878</v>
      </c>
      <c r="E33" s="546">
        <v>1.9173914730417587</v>
      </c>
      <c r="F33" s="546">
        <v>5.7690619174398487E-2</v>
      </c>
      <c r="G33" s="546">
        <v>-289944.37739021145</v>
      </c>
      <c r="H33" s="546">
        <v>17772009.348730445</v>
      </c>
      <c r="I33" s="546">
        <v>-289944.37739021145</v>
      </c>
      <c r="J33" s="546">
        <v>17772009.348730445</v>
      </c>
      <c r="K33"/>
    </row>
    <row r="34" spans="2:11" x14ac:dyDescent="0.2">
      <c r="B34" s="546" t="s">
        <v>411</v>
      </c>
      <c r="C34" s="546">
        <v>6535.9894244588641</v>
      </c>
      <c r="D34" s="546">
        <v>697.1191117335693</v>
      </c>
      <c r="E34" s="546">
        <v>9.3757140127824261</v>
      </c>
      <c r="F34" s="546">
        <v>7.9193340633128532E-16</v>
      </c>
      <c r="G34" s="546">
        <v>5155.0018333428907</v>
      </c>
      <c r="H34" s="546">
        <v>7916.9770155748374</v>
      </c>
      <c r="I34" s="546">
        <v>5155.0018333428907</v>
      </c>
      <c r="J34" s="546">
        <v>7916.9770155748374</v>
      </c>
      <c r="K34"/>
    </row>
    <row r="35" spans="2:11" x14ac:dyDescent="0.2">
      <c r="B35" s="546" t="s">
        <v>412</v>
      </c>
      <c r="C35" s="546">
        <v>23882.238363365457</v>
      </c>
      <c r="D35" s="546">
        <v>3791.0175307780228</v>
      </c>
      <c r="E35" s="546">
        <v>6.2996908269279759</v>
      </c>
      <c r="F35" s="546">
        <v>5.7778879292262121E-9</v>
      </c>
      <c r="G35" s="546">
        <v>16372.261833402732</v>
      </c>
      <c r="H35" s="546">
        <v>31392.214893328182</v>
      </c>
      <c r="I35" s="546">
        <v>16372.261833402732</v>
      </c>
      <c r="J35" s="546">
        <v>31392.214893328182</v>
      </c>
      <c r="K35"/>
    </row>
    <row r="36" spans="2:11" x14ac:dyDescent="0.2">
      <c r="B36" s="546" t="s">
        <v>413</v>
      </c>
      <c r="C36" s="546">
        <v>1602289.4249446383</v>
      </c>
      <c r="D36" s="546">
        <v>330721.58922940941</v>
      </c>
      <c r="E36" s="546">
        <v>4.8448286326816996</v>
      </c>
      <c r="F36" s="546">
        <v>4.0276505998579839E-6</v>
      </c>
      <c r="G36" s="546">
        <v>947132.5039068422</v>
      </c>
      <c r="H36" s="546">
        <v>2257446.3459824342</v>
      </c>
      <c r="I36" s="546">
        <v>947132.5039068422</v>
      </c>
      <c r="J36" s="546">
        <v>2257446.3459824342</v>
      </c>
      <c r="K36"/>
    </row>
    <row r="37" spans="2:11" x14ac:dyDescent="0.2">
      <c r="B37" s="546" t="s">
        <v>414</v>
      </c>
      <c r="C37" s="546">
        <v>349016.37110289093</v>
      </c>
      <c r="D37" s="546">
        <v>318903.24981230561</v>
      </c>
      <c r="E37" s="546">
        <v>1.0944271383509223</v>
      </c>
      <c r="F37" s="546">
        <v>0.276074686511116</v>
      </c>
      <c r="G37" s="546">
        <v>-282728.51057475794</v>
      </c>
      <c r="H37" s="546">
        <v>980761.2527805398</v>
      </c>
      <c r="I37" s="546">
        <v>-282728.51057475794</v>
      </c>
      <c r="J37" s="546">
        <v>980761.2527805398</v>
      </c>
      <c r="K37"/>
    </row>
    <row r="38" spans="2:11" ht="13.5" thickBot="1" x14ac:dyDescent="0.25">
      <c r="B38" s="547" t="s">
        <v>415</v>
      </c>
      <c r="C38" s="547">
        <v>147431.69784035117</v>
      </c>
      <c r="D38" s="547">
        <v>148056.87763293143</v>
      </c>
      <c r="E38" s="547">
        <v>0.99577743497920967</v>
      </c>
      <c r="F38" s="547">
        <v>0.3214672364638046</v>
      </c>
      <c r="G38" s="547">
        <v>-145867.83641284032</v>
      </c>
      <c r="H38" s="547">
        <v>440731.2320935427</v>
      </c>
      <c r="I38" s="547">
        <v>-145867.83641284032</v>
      </c>
      <c r="J38" s="547">
        <v>440731.2320935427</v>
      </c>
      <c r="K38"/>
    </row>
  </sheetData>
  <phoneticPr fontId="0" type="noConversion"/>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56"/>
  <sheetViews>
    <sheetView showGridLines="0" topLeftCell="G1" zoomScaleNormal="100" workbookViewId="0">
      <selection activeCell="AD31" sqref="AD31"/>
    </sheetView>
  </sheetViews>
  <sheetFormatPr defaultColWidth="11.1640625" defaultRowHeight="12.75" x14ac:dyDescent="0.2"/>
  <cols>
    <col min="1" max="1" width="13.6640625" style="1" customWidth="1"/>
    <col min="2" max="2" width="15" style="58" customWidth="1"/>
    <col min="3" max="3" width="16" style="58" customWidth="1"/>
    <col min="4" max="7" width="15" style="58" customWidth="1"/>
    <col min="8" max="8" width="15" style="1" customWidth="1"/>
    <col min="9" max="9" width="3.33203125" style="64" customWidth="1"/>
    <col min="10" max="16" width="15" style="1" customWidth="1"/>
    <col min="17" max="17" width="3.1640625" style="64" customWidth="1"/>
    <col min="18" max="24" width="15" style="1" customWidth="1"/>
    <col min="25" max="25" width="3" style="1" customWidth="1"/>
    <col min="26" max="32" width="15" style="1" customWidth="1"/>
    <col min="33" max="33" width="2.83203125" style="1" customWidth="1"/>
    <col min="34" max="40" width="15" style="1" customWidth="1"/>
    <col min="41" max="41" width="3.83203125" style="1" customWidth="1"/>
    <col min="42" max="16384" width="11.1640625" style="1"/>
  </cols>
  <sheetData>
    <row r="1" spans="1:17" s="536" customFormat="1" x14ac:dyDescent="0.2">
      <c r="A1" s="758" t="s">
        <v>272</v>
      </c>
      <c r="B1" s="58"/>
      <c r="C1" s="58"/>
      <c r="D1" s="58"/>
      <c r="E1" s="58"/>
      <c r="F1" s="58"/>
      <c r="G1" s="58"/>
      <c r="I1" s="64"/>
      <c r="Q1" s="64"/>
    </row>
    <row r="2" spans="1:17" s="536" customFormat="1" x14ac:dyDescent="0.2">
      <c r="B2" s="58"/>
      <c r="C2" s="58"/>
      <c r="D2" s="58"/>
      <c r="E2" s="58"/>
      <c r="F2" s="58"/>
      <c r="G2" s="58"/>
      <c r="I2" s="64"/>
      <c r="Q2" s="64"/>
    </row>
    <row r="3" spans="1:17" s="536" customFormat="1" x14ac:dyDescent="0.2">
      <c r="B3" s="58"/>
      <c r="C3" s="58"/>
      <c r="D3" s="58"/>
      <c r="E3" s="58"/>
      <c r="F3" s="58"/>
      <c r="G3" s="58"/>
      <c r="I3" s="64"/>
      <c r="Q3" s="64"/>
    </row>
    <row r="4" spans="1:17" s="536" customFormat="1" x14ac:dyDescent="0.2">
      <c r="B4" s="58"/>
      <c r="C4" s="58"/>
      <c r="D4" s="58"/>
      <c r="E4" s="58"/>
      <c r="F4" s="58"/>
      <c r="G4" s="58"/>
      <c r="I4" s="64"/>
      <c r="Q4" s="64"/>
    </row>
    <row r="5" spans="1:17" s="536" customFormat="1" x14ac:dyDescent="0.2">
      <c r="B5" s="58"/>
      <c r="C5" s="58"/>
      <c r="D5" s="58"/>
      <c r="E5" s="58"/>
      <c r="F5" s="58"/>
      <c r="G5" s="58"/>
      <c r="I5" s="64"/>
      <c r="Q5" s="64"/>
    </row>
    <row r="6" spans="1:17" s="536" customFormat="1" x14ac:dyDescent="0.2">
      <c r="B6" s="58"/>
      <c r="C6" s="58"/>
      <c r="D6" s="58"/>
      <c r="E6" s="58"/>
      <c r="F6" s="58"/>
      <c r="G6" s="58"/>
      <c r="I6" s="64"/>
      <c r="Q6" s="64"/>
    </row>
    <row r="7" spans="1:17" s="536" customFormat="1" x14ac:dyDescent="0.2">
      <c r="B7" s="58"/>
      <c r="C7" s="58"/>
      <c r="D7" s="58"/>
      <c r="E7" s="58"/>
      <c r="F7" s="58"/>
      <c r="G7" s="58"/>
      <c r="I7" s="64"/>
      <c r="Q7" s="64"/>
    </row>
    <row r="8" spans="1:17" s="536" customFormat="1" x14ac:dyDescent="0.2">
      <c r="B8" s="58"/>
      <c r="C8" s="58"/>
      <c r="D8" s="58"/>
      <c r="E8" s="58"/>
      <c r="F8" s="58"/>
      <c r="G8" s="58"/>
      <c r="I8" s="64"/>
      <c r="Q8" s="64"/>
    </row>
    <row r="9" spans="1:17" s="536" customFormat="1" x14ac:dyDescent="0.2">
      <c r="B9" s="58"/>
      <c r="C9" s="58"/>
      <c r="D9" s="58"/>
      <c r="E9" s="58"/>
      <c r="F9" s="58"/>
      <c r="G9" s="58"/>
      <c r="I9" s="64"/>
      <c r="Q9" s="64"/>
    </row>
    <row r="10" spans="1:17" s="536" customFormat="1" x14ac:dyDescent="0.2">
      <c r="B10" s="58"/>
      <c r="C10" s="58"/>
      <c r="D10" s="58"/>
      <c r="E10" s="58"/>
      <c r="F10" s="58"/>
      <c r="G10" s="58"/>
      <c r="I10" s="64"/>
      <c r="Q10" s="64"/>
    </row>
    <row r="11" spans="1:17" s="64" customFormat="1" ht="15.75" customHeight="1" x14ac:dyDescent="0.2">
      <c r="B11" s="133" t="s">
        <v>44</v>
      </c>
      <c r="D11" s="3"/>
      <c r="E11" s="3"/>
      <c r="F11" s="3"/>
      <c r="G11" s="3"/>
      <c r="H11" s="3"/>
      <c r="I11" s="3"/>
    </row>
    <row r="12" spans="1:17" s="64" customFormat="1" ht="15.75" customHeight="1" x14ac:dyDescent="0.2">
      <c r="B12" s="63" t="s">
        <v>64</v>
      </c>
      <c r="D12" s="3"/>
      <c r="E12" s="3"/>
      <c r="F12" s="3"/>
      <c r="G12" s="3"/>
      <c r="H12" s="3"/>
      <c r="I12" s="3"/>
    </row>
    <row r="13" spans="1:17" s="64" customFormat="1" ht="15.75" customHeight="1" x14ac:dyDescent="0.2">
      <c r="B13" s="100" t="s">
        <v>256</v>
      </c>
      <c r="D13" s="3"/>
      <c r="E13" s="3"/>
      <c r="F13" s="3"/>
      <c r="G13" s="3"/>
      <c r="H13" s="3"/>
      <c r="I13" s="3"/>
    </row>
    <row r="14" spans="1:17" s="64" customFormat="1" ht="15.75" customHeight="1" x14ac:dyDescent="0.2">
      <c r="B14" s="100" t="s">
        <v>257</v>
      </c>
      <c r="D14" s="3"/>
      <c r="E14" s="3"/>
      <c r="F14" s="3"/>
      <c r="G14" s="3"/>
      <c r="H14" s="3"/>
      <c r="I14" s="3"/>
    </row>
    <row r="15" spans="1:17" ht="12.75" customHeight="1" thickBot="1" x14ac:dyDescent="0.25"/>
    <row r="16" spans="1:17" ht="15.75" thickBot="1" x14ac:dyDescent="0.3">
      <c r="B16" s="318" t="s">
        <v>180</v>
      </c>
      <c r="G16" s="566" t="s">
        <v>178</v>
      </c>
    </row>
    <row r="17" spans="2:40" ht="12.75" customHeight="1" x14ac:dyDescent="0.2"/>
    <row r="18" spans="2:40" ht="12.75" customHeight="1" thickBot="1" x14ac:dyDescent="0.25"/>
    <row r="19" spans="2:40" ht="14.25" customHeight="1" thickBot="1" x14ac:dyDescent="0.25">
      <c r="B19" s="855" t="s">
        <v>6</v>
      </c>
      <c r="C19" s="856"/>
      <c r="D19" s="856"/>
      <c r="E19" s="856"/>
      <c r="F19" s="856"/>
      <c r="G19" s="856"/>
      <c r="H19" s="857"/>
      <c r="I19" s="145"/>
      <c r="J19" s="855" t="s">
        <v>98</v>
      </c>
      <c r="K19" s="856"/>
      <c r="L19" s="856"/>
      <c r="M19" s="856"/>
      <c r="N19" s="856"/>
      <c r="O19" s="856"/>
      <c r="P19" s="857"/>
      <c r="Q19" s="145"/>
      <c r="R19" s="855" t="s">
        <v>267</v>
      </c>
      <c r="S19" s="856"/>
      <c r="T19" s="856"/>
      <c r="U19" s="856"/>
      <c r="V19" s="856"/>
      <c r="W19" s="856"/>
      <c r="X19" s="857"/>
      <c r="Z19" s="855"/>
      <c r="AA19" s="856"/>
      <c r="AB19" s="856"/>
      <c r="AC19" s="856"/>
      <c r="AD19" s="856"/>
      <c r="AE19" s="856"/>
      <c r="AF19" s="857"/>
      <c r="AH19" s="855"/>
      <c r="AI19" s="856"/>
      <c r="AJ19" s="856"/>
      <c r="AK19" s="856"/>
      <c r="AL19" s="856"/>
      <c r="AM19" s="856"/>
      <c r="AN19" s="857"/>
    </row>
    <row r="20" spans="2:40" ht="59.25" customHeight="1" thickBot="1" x14ac:dyDescent="0.25">
      <c r="B20" s="65" t="s">
        <v>33</v>
      </c>
      <c r="C20" s="219" t="s">
        <v>153</v>
      </c>
      <c r="D20" s="219" t="s">
        <v>151</v>
      </c>
      <c r="E20" s="219" t="s">
        <v>148</v>
      </c>
      <c r="F20" s="67" t="s">
        <v>152</v>
      </c>
      <c r="G20" s="66" t="s">
        <v>34</v>
      </c>
      <c r="H20" s="68" t="s">
        <v>38</v>
      </c>
      <c r="I20" s="146"/>
      <c r="J20" s="65" t="s">
        <v>33</v>
      </c>
      <c r="K20" s="219" t="s">
        <v>154</v>
      </c>
      <c r="L20" s="219" t="s">
        <v>151</v>
      </c>
      <c r="M20" s="219" t="s">
        <v>148</v>
      </c>
      <c r="N20" s="67" t="s">
        <v>152</v>
      </c>
      <c r="O20" s="66" t="s">
        <v>34</v>
      </c>
      <c r="P20" s="68" t="s">
        <v>38</v>
      </c>
      <c r="Q20" s="146"/>
      <c r="R20" s="65" t="s">
        <v>33</v>
      </c>
      <c r="S20" s="219" t="s">
        <v>155</v>
      </c>
      <c r="T20" s="219" t="s">
        <v>151</v>
      </c>
      <c r="U20" s="219" t="s">
        <v>148</v>
      </c>
      <c r="V20" s="67" t="s">
        <v>152</v>
      </c>
      <c r="W20" s="66" t="s">
        <v>34</v>
      </c>
      <c r="X20" s="68" t="s">
        <v>38</v>
      </c>
      <c r="Z20" s="65" t="s">
        <v>33</v>
      </c>
      <c r="AA20" s="219" t="s">
        <v>155</v>
      </c>
      <c r="AB20" s="219" t="s">
        <v>151</v>
      </c>
      <c r="AC20" s="219" t="s">
        <v>148</v>
      </c>
      <c r="AD20" s="67" t="s">
        <v>152</v>
      </c>
      <c r="AE20" s="66" t="s">
        <v>34</v>
      </c>
      <c r="AF20" s="68" t="s">
        <v>38</v>
      </c>
      <c r="AH20" s="65" t="s">
        <v>33</v>
      </c>
      <c r="AI20" s="219" t="s">
        <v>155</v>
      </c>
      <c r="AJ20" s="219" t="s">
        <v>151</v>
      </c>
      <c r="AK20" s="219" t="s">
        <v>148</v>
      </c>
      <c r="AL20" s="67" t="s">
        <v>152</v>
      </c>
      <c r="AM20" s="66" t="s">
        <v>34</v>
      </c>
      <c r="AN20" s="68" t="s">
        <v>38</v>
      </c>
    </row>
    <row r="21" spans="2:40" x14ac:dyDescent="0.2">
      <c r="B21" s="178">
        <f>'4. Customer Growth'!B17</f>
        <v>2005</v>
      </c>
      <c r="C21" s="70">
        <f>IF($B$19='2. Customer Classes'!$B$14,+SUM('3. Consumption by Rate Class'!$D$25:$D$36),+IF($B$19='2. Customer Classes'!$B$15,+SUM('3. Consumption by Rate Class'!$F$25:$F$36),+IF($B$19='2. Customer Classes'!$B$16,+SUM('3. Consumption by Rate Class'!$H$25:$H$36),+IF($B$19='2. Customer Classes'!$B$17,+SUM('3. Consumption by Rate Class'!$J$25:$J$36),+IF($B$19='2. Customer Classes'!$B$18,+SUM('3. Consumption by Rate Class'!$L$25:$L$36),+IF($B$19='2. Customer Classes'!$B$19,+SUM('3. Consumption by Rate Class'!$O$25:$O$36),IF($B$19='2. Customer Classes'!$B$20,+SUM('3. Consumption by Rate Class'!$R$25:$R$36),0)))))))</f>
        <v>76867401</v>
      </c>
      <c r="D21" s="70">
        <f>SUM('6. WS Regression Analysis'!J20:J31)</f>
        <v>209871328.75141218</v>
      </c>
      <c r="E21" s="70">
        <f>SUM('6. WS Regression Analysis'!R20:R31)</f>
        <v>203844303.0754298</v>
      </c>
      <c r="F21" s="71">
        <f>C21/D21</f>
        <v>0.36625965755926426</v>
      </c>
      <c r="G21" s="70">
        <f>E21*F21</f>
        <v>74659944.639813796</v>
      </c>
      <c r="H21" s="70">
        <f>IF($B$19='2. Customer Classes'!$B$14,+G21/'4. Customer Growth'!$C17,+IF($B$19='2. Customer Classes'!$B$15,+G21/'4. Customer Growth'!$E17,+IF($B$19='2. Customer Classes'!$B$16,+G21/'4. Customer Growth'!$G17,+IF($B$19='2. Customer Classes'!$B$17,+G21/'4. Customer Growth'!$I17,+IF($B$19='2. Customer Classes'!$B$18,+G21/'4. Customer Growth'!$K17,+IF($B$19='2. Customer Classes'!$B$19,+G21/'4. Customer Growth'!$M17,IF($B$19='2. Customer Classes'!$B$20,+G21/'4. Customer Growth'!$O17)))))))</f>
        <v>8656.225465485657</v>
      </c>
      <c r="I21" s="82"/>
      <c r="J21" s="178">
        <f>B21</f>
        <v>2005</v>
      </c>
      <c r="K21" s="70">
        <f>IF($J$19='2. Customer Classes'!$B$14,+SUM('3. Consumption by Rate Class'!$D$25:$D$36),+IF($J$19='2. Customer Classes'!$B$15,+SUM('3. Consumption by Rate Class'!$F$25:$F$36),+IF($J$19='2. Customer Classes'!$B$16,+SUM('3. Consumption by Rate Class'!$H$25:$H$36),+IF($J$19='2. Customer Classes'!$B$17,+SUM('3. Consumption by Rate Class'!$J$25:$J$36),+IF($J$19='2. Customer Classes'!$B$18,+SUM('3. Consumption by Rate Class'!$L$25:$L$36),+IF($J$19='2. Customer Classes'!$B$19,+SUM('3. Consumption by Rate Class'!$O$25:$O$36),IF($J$19='2. Customer Classes'!$B$20,+SUM('3. Consumption by Rate Class'!$R$25:$R$36),0)))))))</f>
        <v>43814909</v>
      </c>
      <c r="L21" s="70">
        <f>D21</f>
        <v>209871328.75141218</v>
      </c>
      <c r="M21" s="70">
        <f t="shared" ref="M21:M30" si="0">E21</f>
        <v>203844303.0754298</v>
      </c>
      <c r="N21" s="71">
        <f t="shared" ref="N21:N29" si="1">K21/L21</f>
        <v>0.20877034162154548</v>
      </c>
      <c r="O21" s="70">
        <f>M21*N21</f>
        <v>42556644.790663332</v>
      </c>
      <c r="P21" s="70">
        <f>IF($J$19='2. Customer Classes'!$B$14,+O21/'4. Customer Growth'!$C17,+IF($J$19='2. Customer Classes'!$B$15,+O21/'4. Customer Growth'!$E17,+IF($J$19='2. Customer Classes'!$B$16,+O21/'4. Customer Growth'!$G17,+IF($J$19='2. Customer Classes'!$B$17,+O21/'4. Customer Growth'!$I17,+IF($J$19='2. Customer Classes'!$B$18,+O21/'4. Customer Growth'!$K17,+IF($J$19='2. Customer Classes'!$B$19,+O21/'4. Customer Growth'!$M17,IF($J$19='2. Customer Classes'!$B$20,+O21/'4. Customer Growth'!$O17)))))))</f>
        <v>28446.955073972815</v>
      </c>
      <c r="Q21" s="82"/>
      <c r="R21" s="178">
        <f>B21</f>
        <v>2005</v>
      </c>
      <c r="S21" s="70">
        <f>IF($R$19='2. Customer Classes'!$B$14,+SUM('3. Consumption by Rate Class'!$D$25:$D$36),+IF($R$19='2. Customer Classes'!$B$15,+SUM('3. Consumption by Rate Class'!$F$25:$F$36),+IF($R$19='2. Customer Classes'!$B$16,+SUM('3. Consumption by Rate Class'!$H$25:$H$36),+IF($R$19='2. Customer Classes'!$B$17,+SUM('3. Consumption by Rate Class'!$J$25:$J$36),+IF($R$19='2. Customer Classes'!$B$18,+SUM('3. Consumption by Rate Class'!$L$25:$L$36),+IF($R$19='2. Customer Classes'!$B$19,+SUM('3. Consumption by Rate Class'!$O$25:$O$36),IF($R$19='2. Customer Classes'!$B$20,+SUM('3. Consumption by Rate Class'!$R$25:$R$36),0)))))))</f>
        <v>74429057</v>
      </c>
      <c r="T21" s="70">
        <f t="shared" ref="T21:T30" si="2">L21</f>
        <v>209871328.75141218</v>
      </c>
      <c r="U21" s="70">
        <f t="shared" ref="U21:U30" si="3">M21</f>
        <v>203844303.0754298</v>
      </c>
      <c r="V21" s="71">
        <f>S21/T21</f>
        <v>0.35464137689888803</v>
      </c>
      <c r="W21" s="70">
        <f>U21*V21</f>
        <v>72291624.315664664</v>
      </c>
      <c r="X21" s="70">
        <f>IF($R$19='2. Customer Classes'!$B$14,+W21/'4. Customer Growth'!$C17,+IF($R$19='2. Customer Classes'!$B$15,+W21/'4. Customer Growth'!$E17,+IF($R$19='2. Customer Classes'!$B$16,+W21/'4. Customer Growth'!$G17,+IF($R$19='2. Customer Classes'!$B$17,+W21/'4. Customer Growth'!$I17,+IF($R$19='2. Customer Classes'!$B$18,+W21/'4. Customer Growth'!$K17,+IF($R$19='2. Customer Classes'!$B$19,+W21/'4. Customer Growth'!$M17,IF($R$19='2. Customer Classes'!$B$20,+W21/'4. Customer Growth'!$O17)))))))</f>
        <v>539489.73369899008</v>
      </c>
      <c r="Z21" s="178">
        <f>J21</f>
        <v>2005</v>
      </c>
      <c r="AA21" s="70">
        <f>IF($Z$19='2. Customer Classes'!$B$14,+SUM('3. Consumption by Rate Class'!$D$25:$D$36),+IF($Z$19='2. Customer Classes'!$B$15,+SUM('3. Consumption by Rate Class'!$F$25:$F$36),+IF($Z$19='2. Customer Classes'!$B$16,+SUM('3. Consumption by Rate Class'!$H$25:$H$36),+IF($Z$19='2. Customer Classes'!$B$17,+SUM('3. Consumption by Rate Class'!$J$25:$J$36),+IF($Z$19='2. Customer Classes'!$B$18,+SUM('3. Consumption by Rate Class'!$L$25:$L$36),+IF($Z$19='2. Customer Classes'!$B$19,+SUM('3. Consumption by Rate Class'!$O$25:$O$36),IF($Z$19='2. Customer Classes'!$B$20,+SUM('3. Consumption by Rate Class'!$R$25:$R$36),0)))))))</f>
        <v>0</v>
      </c>
      <c r="AB21" s="70">
        <f t="shared" ref="AB21:AB30" si="4">T21</f>
        <v>209871328.75141218</v>
      </c>
      <c r="AC21" s="70">
        <f t="shared" ref="AC21:AC30" si="5">U21</f>
        <v>203844303.0754298</v>
      </c>
      <c r="AD21" s="71">
        <f t="shared" ref="AD21:AD30" si="6">AA21/AB21</f>
        <v>0</v>
      </c>
      <c r="AE21" s="70">
        <f>AC21*AD21</f>
        <v>0</v>
      </c>
      <c r="AF21" s="70" t="e">
        <f>IF($Z$19='2. Customer Classes'!$B$14,+AE21/'4. Customer Growth'!$C17,+IF($Z$19='2. Customer Classes'!$B$15,+AE21/'4. Customer Growth'!$E17,+IF($Z$19='2. Customer Classes'!$B$16,+AE21/'4. Customer Growth'!$G17,+IF($Z$19='2. Customer Classes'!$B$17,+AE21/'4. Customer Growth'!$I17,+IF($Z$19='2. Customer Classes'!$B$18,+AE21/'4. Customer Growth'!$K17,+IF($Z$19='2. Customer Classes'!$B$19,+AE21/'4. Customer Growth'!$M17,IF($Z$19='2. Customer Classes'!$B$20,+AE21/'4. Customer Growth'!$O17)))))))</f>
        <v>#DIV/0!</v>
      </c>
      <c r="AH21" s="178">
        <f>R21</f>
        <v>2005</v>
      </c>
      <c r="AI21" s="70">
        <f>IF($AH$19='2. Customer Classes'!$B$14,+SUM('3. Consumption by Rate Class'!$D$25:$D$36),+IF($AH$19='2. Customer Classes'!$B$15,+SUM('3. Consumption by Rate Class'!$F$25:$F$36),+IF($AH$19='2. Customer Classes'!$B$16,+SUM('3. Consumption by Rate Class'!$H$25:$H$36),+IF($AH$19='2. Customer Classes'!$B$17,+SUM('3. Consumption by Rate Class'!$J$25:$J$36),+IF($AH$19='2. Customer Classes'!$B$18,+SUM('3. Consumption by Rate Class'!$L$25:$L$36),+IF($AH$19='2. Customer Classes'!$B$19,+SUM('3. Consumption by Rate Class'!$O$25:$O$36),IF($AH$19='2. Customer Classes'!$B$20,+SUM('3. Consumption by Rate Class'!$R$25:$R$36),0)))))))</f>
        <v>0</v>
      </c>
      <c r="AJ21" s="70">
        <f t="shared" ref="AJ21:AJ30" si="7">AB21</f>
        <v>209871328.75141218</v>
      </c>
      <c r="AK21" s="70">
        <f t="shared" ref="AK21:AK30" si="8">AC21</f>
        <v>203844303.0754298</v>
      </c>
      <c r="AL21" s="71">
        <f t="shared" ref="AL21:AL30" si="9">AI21/AJ21</f>
        <v>0</v>
      </c>
      <c r="AM21" s="70">
        <f>AK21*AL21</f>
        <v>0</v>
      </c>
      <c r="AN21" s="70" t="e">
        <f>IF($AH$19='2. Customer Classes'!$B$14,+AM21/'4. Customer Growth'!$C17,+IF($AH$19='2. Customer Classes'!$B$15,+AM21/'4. Customer Growth'!$E17,+IF($AH$19='2. Customer Classes'!$B$16,+AM21/'4. Customer Growth'!$G17,+IF($AH$19='2. Customer Classes'!$B$17,+AM21/'4. Customer Growth'!$I17,+IF($AH$19='2. Customer Classes'!$B$18,+AM21/'4. Customer Growth'!$K17,+IF($AH$19='2. Customer Classes'!$B$19,+AM21/'4. Customer Growth'!$M17,IF($AH$19='2. Customer Classes'!$B$20,+AM21/'4. Customer Growth'!$O17)))))))</f>
        <v>#DIV/0!</v>
      </c>
    </row>
    <row r="22" spans="2:40" x14ac:dyDescent="0.2">
      <c r="B22" s="178">
        <f>'4. Customer Growth'!B18</f>
        <v>2006</v>
      </c>
      <c r="C22" s="70">
        <f>IF($B$19='2. Customer Classes'!$B$14,+SUM('3. Consumption by Rate Class'!$D$37:$D$48),+IF($B$19='2. Customer Classes'!$B$15,+SUM('3. Consumption by Rate Class'!$F$37:$F$48),+IF($B$19='2. Customer Classes'!$B$16,+SUM('3. Consumption by Rate Class'!$H$37:$H$48),+IF($B$19='2. Customer Classes'!$B$17,+SUM('3. Consumption by Rate Class'!$J$37:$J$48),+IF($B$19='2. Customer Classes'!$B$18,+SUM('3. Consumption by Rate Class'!$L$37:$L$48),+IF($B$19='2. Customer Classes'!$B$19,+SUM('3. Consumption by Rate Class'!$O$37:$O$48),IF($B$19='2. Customer Classes'!$B$20,+SUM('3. Consumption by Rate Class'!$R$37:$R$48),0)))))))</f>
        <v>80301785</v>
      </c>
      <c r="D22" s="72">
        <f>SUM('6. WS Regression Analysis'!J32:J43)</f>
        <v>203367791.46020103</v>
      </c>
      <c r="E22" s="72">
        <f>SUM('6. WS Regression Analysis'!R32:R43)</f>
        <v>197556431.56635299</v>
      </c>
      <c r="F22" s="73">
        <f t="shared" ref="F22:F29" si="10">C22/D22</f>
        <v>0.39485989607019467</v>
      </c>
      <c r="G22" s="72">
        <f t="shared" ref="G22:G32" si="11">E22*F22</f>
        <v>78007112.036288664</v>
      </c>
      <c r="H22" s="70">
        <f>IF($B$19='2. Customer Classes'!$B$14,+G22/'4. Customer Growth'!$C18,+IF($B$19='2. Customer Classes'!$B$15,+G22/'4. Customer Growth'!$E18,+IF($B$19='2. Customer Classes'!$B$16,+G22/'4. Customer Growth'!$G18,+IF($B$19='2. Customer Classes'!$B$17,+G22/'4. Customer Growth'!$I18,+IF($B$19='2. Customer Classes'!$B$18,+G22/'4. Customer Growth'!$K18,+IF($B$19='2. Customer Classes'!$B$19,+G22/'4. Customer Growth'!$M18,IF($B$19='2. Customer Classes'!$B$20,+G22/'4. Customer Growth'!$O18)))))))</f>
        <v>8970.4590658105644</v>
      </c>
      <c r="I22" s="82"/>
      <c r="J22" s="178">
        <f t="shared" ref="J22:J32" si="12">B22</f>
        <v>2006</v>
      </c>
      <c r="K22" s="70">
        <f>IF($J$19='2. Customer Classes'!$B$14,+SUM('3. Consumption by Rate Class'!$D$37:$D$48),+IF($J$19='2. Customer Classes'!$B$15,+SUM('3. Consumption by Rate Class'!$F$37:$F$48),+IF($J$19='2. Customer Classes'!$B$16,+SUM('3. Consumption by Rate Class'!$H$37:$H$48),+IF($J$19='2. Customer Classes'!$B$17,+SUM('3. Consumption by Rate Class'!$J$37:$J$48),+IF($J$19='2. Customer Classes'!$B$18,+SUM('3. Consumption by Rate Class'!$L$37:$L$48),+IF($J$19='2. Customer Classes'!$B$19,+SUM('3. Consumption by Rate Class'!$O$37:$O$48),IF($J$19='2. Customer Classes'!$B$20,+SUM('3. Consumption by Rate Class'!$R$37:$R$48),0)))))))</f>
        <v>39580098</v>
      </c>
      <c r="L22" s="72">
        <f t="shared" ref="L22:L30" si="13">D22</f>
        <v>203367791.46020103</v>
      </c>
      <c r="M22" s="72">
        <f t="shared" si="0"/>
        <v>197556431.56635299</v>
      </c>
      <c r="N22" s="73">
        <f t="shared" si="1"/>
        <v>0.19462323761206704</v>
      </c>
      <c r="O22" s="72">
        <f t="shared" ref="O22:O30" si="14">M22*N22</f>
        <v>38449072.322530381</v>
      </c>
      <c r="P22" s="70">
        <f>IF($J$19='2. Customer Classes'!$B$14,+O22/'4. Customer Growth'!$C18,+IF($J$19='2. Customer Classes'!$B$15,+O22/'4. Customer Growth'!$E18,+IF($J$19='2. Customer Classes'!$B$16,+O22/'4. Customer Growth'!$G18,+IF($J$19='2. Customer Classes'!$B$17,+O22/'4. Customer Growth'!$I18,+IF($J$19='2. Customer Classes'!$B$18,+O22/'4. Customer Growth'!$K18,+IF($J$19='2. Customer Classes'!$B$19,+O22/'4. Customer Growth'!$M18,IF($J$19='2. Customer Classes'!$B$20,+O22/'4. Customer Growth'!$O18)))))))</f>
        <v>26534.901533837394</v>
      </c>
      <c r="Q22" s="82"/>
      <c r="R22" s="178">
        <f t="shared" ref="R22:R32" si="15">B22</f>
        <v>2006</v>
      </c>
      <c r="S22" s="70">
        <f>IF($R$19='2. Customer Classes'!$B$14,+SUM('3. Consumption by Rate Class'!$D$37:$D$48),+IF($R$19='2. Customer Classes'!$B$15,+SUM('3. Consumption by Rate Class'!$F$37:$F$48),+IF($R$19='2. Customer Classes'!$B$16,+SUM('3. Consumption by Rate Class'!$H$37:$H$48),+IF($R$19='2. Customer Classes'!$B$17,+SUM('3. Consumption by Rate Class'!$J$37:$J$48),+IF($R$19='2. Customer Classes'!$B$18,+SUM('3. Consumption by Rate Class'!$L$37:$L$48),+IF($R$19='2. Customer Classes'!$B$19,+SUM('3. Consumption by Rate Class'!$O$37:$O$48),IF($R$19='2. Customer Classes'!$B$20,+SUM('3. Consumption by Rate Class'!$R$37:$R$48),0)))))))</f>
        <v>75435895</v>
      </c>
      <c r="T22" s="72">
        <f t="shared" si="2"/>
        <v>203367791.46020103</v>
      </c>
      <c r="U22" s="72">
        <f t="shared" si="3"/>
        <v>197556431.56635299</v>
      </c>
      <c r="V22" s="73">
        <f t="shared" ref="V22:V29" si="16">S22/T22</f>
        <v>0.37093334425457813</v>
      </c>
      <c r="W22" s="72">
        <f t="shared" ref="W22:W30" si="17">U22*V22</f>
        <v>73280267.839908019</v>
      </c>
      <c r="X22" s="70">
        <f>IF($R$19='2. Customer Classes'!$B$14,+W22/'4. Customer Growth'!$C18,+IF($R$19='2. Customer Classes'!$B$15,+W22/'4. Customer Growth'!$E18,+IF($R$19='2. Customer Classes'!$B$16,+W22/'4. Customer Growth'!$G18,+IF($R$19='2. Customer Classes'!$B$17,+W22/'4. Customer Growth'!$I18,+IF($R$19='2. Customer Classes'!$B$18,+W22/'4. Customer Growth'!$K18,+IF($R$19='2. Customer Classes'!$B$19,+W22/'4. Customer Growth'!$M18,IF($R$19='2. Customer Classes'!$B$20,+W22/'4. Customer Growth'!$O18)))))))</f>
        <v>538825.49882285309</v>
      </c>
      <c r="Z22" s="178">
        <f t="shared" ref="Z22:Z32" si="18">J22</f>
        <v>2006</v>
      </c>
      <c r="AA22" s="70">
        <f>IF($Z$19='2. Customer Classes'!$B$14,+SUM('3. Consumption by Rate Class'!$D$37:$D$48),+IF($Z$19='2. Customer Classes'!$B$15,+SUM('3. Consumption by Rate Class'!$F$37:$F$48),+IF($Z$19='2. Customer Classes'!$B$16,+SUM('3. Consumption by Rate Class'!$H$37:$H$48),+IF($Z$19='2. Customer Classes'!$B$17,+SUM('3. Consumption by Rate Class'!$J$37:$J$48),+IF($Z$19='2. Customer Classes'!$B$18,+SUM('3. Consumption by Rate Class'!$L$37:$L$48),+IF($Z$19='2. Customer Classes'!$B$19,+SUM('3. Consumption by Rate Class'!$O$37:$O$48),IF($Z$19='2. Customer Classes'!$B$20,+SUM('3. Consumption by Rate Class'!$R$37:$R$48),0)))))))</f>
        <v>0</v>
      </c>
      <c r="AB22" s="225">
        <f t="shared" si="4"/>
        <v>203367791.46020103</v>
      </c>
      <c r="AC22" s="225">
        <f t="shared" si="5"/>
        <v>197556431.56635299</v>
      </c>
      <c r="AD22" s="73">
        <f t="shared" si="6"/>
        <v>0</v>
      </c>
      <c r="AE22" s="225">
        <f t="shared" ref="AE22:AE30" si="19">AC22*AD22</f>
        <v>0</v>
      </c>
      <c r="AF22" s="70" t="e">
        <f>IF($Z$19='2. Customer Classes'!$B$14,+AE22/'4. Customer Growth'!$C18,+IF($Z$19='2. Customer Classes'!$B$15,+AE22/'4. Customer Growth'!$E18,+IF($Z$19='2. Customer Classes'!$B$16,+AE22/'4. Customer Growth'!$G18,+IF($Z$19='2. Customer Classes'!$B$17,+AE22/'4. Customer Growth'!$I18,+IF($Z$19='2. Customer Classes'!$B$18,+AE22/'4. Customer Growth'!$K18,+IF($Z$19='2. Customer Classes'!$B$19,+AE22/'4. Customer Growth'!$M18,IF($Z$19='2. Customer Classes'!$B$20,+AE22/'4. Customer Growth'!$O18)))))))</f>
        <v>#DIV/0!</v>
      </c>
      <c r="AH22" s="178">
        <f t="shared" ref="AH22:AH32" si="20">R22</f>
        <v>2006</v>
      </c>
      <c r="AI22" s="70">
        <f>IF($AH$19='2. Customer Classes'!$B$14,+SUM('3. Consumption by Rate Class'!$D$37:$D$48),+IF($AH$19='2. Customer Classes'!$B$15,+SUM('3. Consumption by Rate Class'!$F$37:$F$48),+IF($AH$19='2. Customer Classes'!$B$16,+SUM('3. Consumption by Rate Class'!$H$37:$H$48),+IF($AH$19='2. Customer Classes'!$B$17,+SUM('3. Consumption by Rate Class'!$J$37:$J$48),+IF($AH$19='2. Customer Classes'!$B$18,+SUM('3. Consumption by Rate Class'!$L$37:$L$48),+IF($AH$19='2. Customer Classes'!$B$19,+SUM('3. Consumption by Rate Class'!$O$37:$O$48),IF($AH$19='2. Customer Classes'!$B$20,+SUM('3. Consumption by Rate Class'!$R$37:$R$48),0)))))))</f>
        <v>0</v>
      </c>
      <c r="AJ22" s="225">
        <f t="shared" si="7"/>
        <v>203367791.46020103</v>
      </c>
      <c r="AK22" s="225">
        <f t="shared" si="8"/>
        <v>197556431.56635299</v>
      </c>
      <c r="AL22" s="73">
        <f t="shared" si="9"/>
        <v>0</v>
      </c>
      <c r="AM22" s="225">
        <f t="shared" ref="AM22:AM30" si="21">AK22*AL22</f>
        <v>0</v>
      </c>
      <c r="AN22" s="70" t="e">
        <f>IF($AH$19='2. Customer Classes'!$B$14,+AM22/'4. Customer Growth'!$C18,+IF($AH$19='2. Customer Classes'!$B$15,+AM22/'4. Customer Growth'!$E18,+IF($AH$19='2. Customer Classes'!$B$16,+AM22/'4. Customer Growth'!$G18,+IF($AH$19='2. Customer Classes'!$B$17,+AM22/'4. Customer Growth'!$I18,+IF($AH$19='2. Customer Classes'!$B$18,+AM22/'4. Customer Growth'!$K18,+IF($AH$19='2. Customer Classes'!$B$19,+AM22/'4. Customer Growth'!$M18,IF($AH$19='2. Customer Classes'!$B$20,+AM22/'4. Customer Growth'!$O18)))))))</f>
        <v>#DIV/0!</v>
      </c>
    </row>
    <row r="23" spans="2:40" x14ac:dyDescent="0.2">
      <c r="B23" s="178">
        <f>'4. Customer Growth'!B19</f>
        <v>2007</v>
      </c>
      <c r="C23" s="70">
        <f>IF($B$19='2. Customer Classes'!$B$14,+SUM('3. Consumption by Rate Class'!$D$49:$D$60),+IF($B$19='2. Customer Classes'!$B$15,+SUM('3. Consumption by Rate Class'!$F$49:$F$60),+IF($B$19='2. Customer Classes'!$B$16,+SUM('3. Consumption by Rate Class'!$H$49:$H$60),+IF($B$19='2. Customer Classes'!$B$17,+SUM('3. Consumption by Rate Class'!$J$49:$J$60),+IF($B$19='2. Customer Classes'!$B$18,+SUM('3. Consumption by Rate Class'!$L$49:$L$60),+IF($B$19='2. Customer Classes'!$B$19,+SUM('3. Consumption by Rate Class'!$O$49:$O$60),IF($B$19='2. Customer Classes'!$B$20,+SUM('3. Consumption by Rate Class'!$R$49:$R$60),0)))))))</f>
        <v>78894594</v>
      </c>
      <c r="D23" s="72">
        <f>SUM('6. WS Regression Analysis'!J44:J55)</f>
        <v>205302856.46000004</v>
      </c>
      <c r="E23" s="72">
        <f>SUM('6. WS Regression Analysis'!R44:R55)</f>
        <v>200186936.8660098</v>
      </c>
      <c r="F23" s="73">
        <f t="shared" si="10"/>
        <v>0.38428395668898713</v>
      </c>
      <c r="G23" s="72">
        <f t="shared" si="11"/>
        <v>76928628.176318705</v>
      </c>
      <c r="H23" s="70">
        <f>IF($B$19='2. Customer Classes'!$B$14,+G23/'4. Customer Growth'!$C19,+IF($B$19='2. Customer Classes'!$B$15,+G23/'4. Customer Growth'!$E19,+IF($B$19='2. Customer Classes'!$B$16,+G23/'4. Customer Growth'!$G19,+IF($B$19='2. Customer Classes'!$B$17,+G23/'4. Customer Growth'!$I19,+IF($B$19='2. Customer Classes'!$B$18,+G23/'4. Customer Growth'!$K19,+IF($B$19='2. Customer Classes'!$B$19,+G23/'4. Customer Growth'!$M19,IF($B$19='2. Customer Classes'!$B$20,+G23/'4. Customer Growth'!$O19)))))))</f>
        <v>8732.9581310385638</v>
      </c>
      <c r="I23" s="82"/>
      <c r="J23" s="178">
        <f t="shared" si="12"/>
        <v>2007</v>
      </c>
      <c r="K23" s="70">
        <f>IF($J$19='2. Customer Classes'!$B$14,+SUM('3. Consumption by Rate Class'!$D$49:$D$60),+IF($J$19='2. Customer Classes'!$B$15,+SUM('3. Consumption by Rate Class'!$F$49:$F$60),+IF($J$19='2. Customer Classes'!$B$16,+SUM('3. Consumption by Rate Class'!$H$49:$H$60),+IF($J$19='2. Customer Classes'!$B$17,+SUM('3. Consumption by Rate Class'!$J$49:$J$60),+IF($J$19='2. Customer Classes'!$B$18,+SUM('3. Consumption by Rate Class'!$L$49:$L$60),+IF($J$19='2. Customer Classes'!$B$19,+SUM('3. Consumption by Rate Class'!$O$49:$O$60),IF($J$19='2. Customer Classes'!$B$20,+SUM('3. Consumption by Rate Class'!$R$49:$R$60),0)))))))</f>
        <v>35721757</v>
      </c>
      <c r="L23" s="72">
        <f t="shared" si="13"/>
        <v>205302856.46000004</v>
      </c>
      <c r="M23" s="72">
        <f t="shared" si="0"/>
        <v>200186936.8660098</v>
      </c>
      <c r="N23" s="73">
        <f t="shared" si="1"/>
        <v>0.17399542128124171</v>
      </c>
      <c r="O23" s="72">
        <f t="shared" si="14"/>
        <v>34831610.415002711</v>
      </c>
      <c r="P23" s="70">
        <f>IF($J$19='2. Customer Classes'!$B$14,+O23/'4. Customer Growth'!$C19,+IF($J$19='2. Customer Classes'!$B$15,+O23/'4. Customer Growth'!$E19,+IF($J$19='2. Customer Classes'!$B$16,+O23/'4. Customer Growth'!$G19,+IF($J$19='2. Customer Classes'!$B$17,+O23/'4. Customer Growth'!$I19,+IF($J$19='2. Customer Classes'!$B$18,+O23/'4. Customer Growth'!$K19,+IF($J$19='2. Customer Classes'!$B$19,+O23/'4. Customer Growth'!$M19,IF($J$19='2. Customer Classes'!$B$20,+O23/'4. Customer Growth'!$O19)))))))</f>
        <v>24155.06963592421</v>
      </c>
      <c r="Q23" s="82"/>
      <c r="R23" s="178">
        <f t="shared" si="15"/>
        <v>2007</v>
      </c>
      <c r="S23" s="70">
        <f>IF($R$19='2. Customer Classes'!$B$14,+SUM('3. Consumption by Rate Class'!$D$49:$D$60),+IF($R$19='2. Customer Classes'!$B$15,+SUM('3. Consumption by Rate Class'!$F$49:$F$60),+IF($R$19='2. Customer Classes'!$B$16,+SUM('3. Consumption by Rate Class'!$H$49:$H$60),+IF($R$19='2. Customer Classes'!$B$17,+SUM('3. Consumption by Rate Class'!$J$49:$J$60),+IF($R$19='2. Customer Classes'!$B$18,+SUM('3. Consumption by Rate Class'!$L$49:$L$60),+IF($R$19='2. Customer Classes'!$B$19,+SUM('3. Consumption by Rate Class'!$O$49:$O$60),IF($R$19='2. Customer Classes'!$B$20,+SUM('3. Consumption by Rate Class'!$R$49:$R$60),0)))))))</f>
        <v>78527667</v>
      </c>
      <c r="T23" s="72">
        <f t="shared" si="2"/>
        <v>205302856.46000004</v>
      </c>
      <c r="U23" s="72">
        <f t="shared" si="3"/>
        <v>200186936.8660098</v>
      </c>
      <c r="V23" s="73">
        <f t="shared" si="16"/>
        <v>0.38249670927155294</v>
      </c>
      <c r="W23" s="72">
        <f t="shared" si="17"/>
        <v>76570844.590400875</v>
      </c>
      <c r="X23" s="70">
        <f>IF($R$19='2. Customer Classes'!$B$14,+W23/'4. Customer Growth'!$C19,+IF($R$19='2. Customer Classes'!$B$15,+W23/'4. Customer Growth'!$E19,+IF($R$19='2. Customer Classes'!$B$16,+W23/'4. Customer Growth'!$G19,+IF($R$19='2. Customer Classes'!$B$17,+W23/'4. Customer Growth'!$I19,+IF($R$19='2. Customer Classes'!$B$18,+W23/'4. Customer Growth'!$K19,+IF($R$19='2. Customer Classes'!$B$19,+W23/'4. Customer Growth'!$M19,IF($R$19='2. Customer Classes'!$B$20,+W23/'4. Customer Growth'!$O19)))))))</f>
        <v>563020.91610588878</v>
      </c>
      <c r="Z23" s="178">
        <f t="shared" si="18"/>
        <v>2007</v>
      </c>
      <c r="AA23" s="70">
        <f>IF($Z$19='2. Customer Classes'!$B$14,+SUM('3. Consumption by Rate Class'!$D$49:$D$60),+IF($Z$19='2. Customer Classes'!$B$15,+SUM('3. Consumption by Rate Class'!$F$49:$F$60),+IF($Z$19='2. Customer Classes'!$B$16,+SUM('3. Consumption by Rate Class'!$H$49:$H$60),+IF($Z$19='2. Customer Classes'!$B$17,+SUM('3. Consumption by Rate Class'!$J$49:$J$60),+IF($Z$19='2. Customer Classes'!$B$18,+SUM('3. Consumption by Rate Class'!$L$49:$L$60),+IF($Z$19='2. Customer Classes'!$B$19,+SUM('3. Consumption by Rate Class'!$O$49:$O$60),IF($Z$19='2. Customer Classes'!$B$20,+SUM('3. Consumption by Rate Class'!$R$49:$R$60),0)))))))</f>
        <v>0</v>
      </c>
      <c r="AB23" s="225">
        <f t="shared" si="4"/>
        <v>205302856.46000004</v>
      </c>
      <c r="AC23" s="225">
        <f t="shared" si="5"/>
        <v>200186936.8660098</v>
      </c>
      <c r="AD23" s="73">
        <f t="shared" si="6"/>
        <v>0</v>
      </c>
      <c r="AE23" s="225">
        <f t="shared" si="19"/>
        <v>0</v>
      </c>
      <c r="AF23" s="70" t="e">
        <f>IF($Z$19='2. Customer Classes'!$B$14,+AE23/'4. Customer Growth'!$C19,+IF($Z$19='2. Customer Classes'!$B$15,+AE23/'4. Customer Growth'!$E19,+IF($Z$19='2. Customer Classes'!$B$16,+AE23/'4. Customer Growth'!$G19,+IF($Z$19='2. Customer Classes'!$B$17,+AE23/'4. Customer Growth'!$I19,+IF($Z$19='2. Customer Classes'!$B$18,+AE23/'4. Customer Growth'!$K19,+IF($Z$19='2. Customer Classes'!$B$19,+AE23/'4. Customer Growth'!$M19,IF($Z$19='2. Customer Classes'!$B$20,+AE23/'4. Customer Growth'!$O19)))))))</f>
        <v>#DIV/0!</v>
      </c>
      <c r="AH23" s="178">
        <f t="shared" si="20"/>
        <v>2007</v>
      </c>
      <c r="AI23" s="70">
        <f>IF($AH$19='2. Customer Classes'!$B$14,+SUM('3. Consumption by Rate Class'!$D$49:$D$60),+IF($AH$19='2. Customer Classes'!$B$15,+SUM('3. Consumption by Rate Class'!$F$49:$F$60),+IF($AH$19='2. Customer Classes'!$B$16,+SUM('3. Consumption by Rate Class'!$H$49:$H$60),+IF($AH$19='2. Customer Classes'!$B$17,+SUM('3. Consumption by Rate Class'!$J$49:$J$60),+IF($AH$19='2. Customer Classes'!$B$18,+SUM('3. Consumption by Rate Class'!$L$49:$L$60),+IF($AH$19='2. Customer Classes'!$B$19,+SUM('3. Consumption by Rate Class'!$O$49:$O$60),IF($AH$19='2. Customer Classes'!$B$20,+SUM('3. Consumption by Rate Class'!$R$49:$R$60),0)))))))</f>
        <v>0</v>
      </c>
      <c r="AJ23" s="225">
        <f t="shared" si="7"/>
        <v>205302856.46000004</v>
      </c>
      <c r="AK23" s="225">
        <f t="shared" si="8"/>
        <v>200186936.8660098</v>
      </c>
      <c r="AL23" s="73">
        <f t="shared" si="9"/>
        <v>0</v>
      </c>
      <c r="AM23" s="225">
        <f t="shared" si="21"/>
        <v>0</v>
      </c>
      <c r="AN23" s="70" t="e">
        <f>IF($AH$19='2. Customer Classes'!$B$14,+AM23/'4. Customer Growth'!$C19,+IF($AH$19='2. Customer Classes'!$B$15,+AM23/'4. Customer Growth'!$E19,+IF($AH$19='2. Customer Classes'!$B$16,+AM23/'4. Customer Growth'!$G19,+IF($AH$19='2. Customer Classes'!$B$17,+AM23/'4. Customer Growth'!$I19,+IF($AH$19='2. Customer Classes'!$B$18,+AM23/'4. Customer Growth'!$K19,+IF($AH$19='2. Customer Classes'!$B$19,+AM23/'4. Customer Growth'!$M19,IF($AH$19='2. Customer Classes'!$B$20,+AM23/'4. Customer Growth'!$O19)))))))</f>
        <v>#DIV/0!</v>
      </c>
    </row>
    <row r="24" spans="2:40" x14ac:dyDescent="0.2">
      <c r="B24" s="178">
        <f>'4. Customer Growth'!B20</f>
        <v>2008</v>
      </c>
      <c r="C24" s="70">
        <f>IF($B$19='2. Customer Classes'!$B$14,+SUM('3. Consumption by Rate Class'!$D$61:$D$72),+IF($B$19='2. Customer Classes'!$B$15,+SUM('3. Consumption by Rate Class'!$F$61:$F$72),+IF($B$19='2. Customer Classes'!$B$16,+SUM('3. Consumption by Rate Class'!$H$61:$H$72),+IF($B$19='2. Customer Classes'!$B$17,+SUM('3. Consumption by Rate Class'!$J$61:$J$72),+IF($B$19='2. Customer Classes'!$B$18,+SUM('3. Consumption by Rate Class'!$L$61:$L$72),+IF($B$19='2. Customer Classes'!$B$19,+SUM('3. Consumption by Rate Class'!$O$61:$O$72),IF($B$19='2. Customer Classes'!$B$20,+SUM('3. Consumption by Rate Class'!$R$61:$R$72),0)))))))</f>
        <v>78894594</v>
      </c>
      <c r="D24" s="72">
        <f>SUM('6. WS Regression Analysis'!J56:J67)</f>
        <v>194146899.85907778</v>
      </c>
      <c r="E24" s="72">
        <f>SUM('6. WS Regression Analysis'!R56:R67)</f>
        <v>199277158.67089084</v>
      </c>
      <c r="F24" s="73">
        <f t="shared" si="10"/>
        <v>0.40636545861543977</v>
      </c>
      <c r="G24" s="72">
        <f t="shared" si="11"/>
        <v>80979353.974878311</v>
      </c>
      <c r="H24" s="70">
        <f>IF($B$19='2. Customer Classes'!$B$14,+G24/'4. Customer Growth'!$C20,+IF($B$19='2. Customer Classes'!$B$15,+G24/'4. Customer Growth'!$E20,+IF($B$19='2. Customer Classes'!$B$16,+G24/'4. Customer Growth'!$G20,+IF($B$19='2. Customer Classes'!$B$17,+G24/'4. Customer Growth'!$I20,+IF($B$19='2. Customer Classes'!$B$18,+G24/'4. Customer Growth'!$K20,+IF($B$19='2. Customer Classes'!$B$19,+G24/'4. Customer Growth'!$M20,IF($B$19='2. Customer Classes'!$B$20,+G24/'4. Customer Growth'!$O20)))))))</f>
        <v>9192.7975905185958</v>
      </c>
      <c r="I24" s="82"/>
      <c r="J24" s="178">
        <f t="shared" si="12"/>
        <v>2008</v>
      </c>
      <c r="K24" s="70">
        <f>IF($J$19='2. Customer Classes'!$B$14,+SUM('3. Consumption by Rate Class'!$D$61:$D$72),+IF($J$19='2. Customer Classes'!$B$15,+SUM('3. Consumption by Rate Class'!$F$61:$F$72),+IF($J$19='2. Customer Classes'!$B$16,+SUM('3. Consumption by Rate Class'!$H$61:$H$72),+IF($J$19='2. Customer Classes'!$B$17,+SUM('3. Consumption by Rate Class'!$J$61:$J$72),+IF($J$19='2. Customer Classes'!$B$18,+SUM('3. Consumption by Rate Class'!$L$61:$L$72),+IF($J$19='2. Customer Classes'!$B$19,+SUM('3. Consumption by Rate Class'!$O$61:$O$72),IF($J$19='2. Customer Classes'!$B$20,+SUM('3. Consumption by Rate Class'!$R$61:$R$72),0)))))))</f>
        <v>35801702</v>
      </c>
      <c r="L24" s="72">
        <f t="shared" si="13"/>
        <v>194146899.85907778</v>
      </c>
      <c r="M24" s="72">
        <f t="shared" si="0"/>
        <v>199277158.67089084</v>
      </c>
      <c r="N24" s="73">
        <f t="shared" si="1"/>
        <v>0.18440522112888125</v>
      </c>
      <c r="O24" s="72">
        <f t="shared" si="14"/>
        <v>36747748.510640778</v>
      </c>
      <c r="P24" s="70">
        <f>IF($J$19='2. Customer Classes'!$B$14,+O24/'4. Customer Growth'!$C20,+IF($J$19='2. Customer Classes'!$B$15,+O24/'4. Customer Growth'!$E20,+IF($J$19='2. Customer Classes'!$B$16,+O24/'4. Customer Growth'!$G20,+IF($J$19='2. Customer Classes'!$B$17,+O24/'4. Customer Growth'!$I20,+IF($J$19='2. Customer Classes'!$B$18,+O24/'4. Customer Growth'!$K20,+IF($J$19='2. Customer Classes'!$B$19,+O24/'4. Customer Growth'!$M20,IF($J$19='2. Customer Classes'!$B$20,+O24/'4. Customer Growth'!$O20)))))))</f>
        <v>26080.729957871383</v>
      </c>
      <c r="Q24" s="82"/>
      <c r="R24" s="178">
        <f t="shared" si="15"/>
        <v>2008</v>
      </c>
      <c r="S24" s="70">
        <f>IF($R$19='2. Customer Classes'!$B$14,+SUM('3. Consumption by Rate Class'!$D$61:$D$72),+IF($R$19='2. Customer Classes'!$B$15,+SUM('3. Consumption by Rate Class'!$F$61:$F$72),+IF($R$19='2. Customer Classes'!$B$16,+SUM('3. Consumption by Rate Class'!$H$61:$H$72),+IF($R$19='2. Customer Classes'!$B$17,+SUM('3. Consumption by Rate Class'!$J$61:$J$72),+IF($R$19='2. Customer Classes'!$B$18,+SUM('3. Consumption by Rate Class'!$L$61:$L$72),+IF($R$19='2. Customer Classes'!$B$19,+SUM('3. Consumption by Rate Class'!$O$61:$O$72),IF($R$19='2. Customer Classes'!$B$20,+SUM('3. Consumption by Rate Class'!$R$61:$R$72),0)))))))</f>
        <v>78693630</v>
      </c>
      <c r="T24" s="72">
        <f t="shared" si="2"/>
        <v>194146899.85907778</v>
      </c>
      <c r="U24" s="72">
        <f t="shared" si="3"/>
        <v>199277158.67089084</v>
      </c>
      <c r="V24" s="73">
        <f t="shared" si="16"/>
        <v>0.40533034551218716</v>
      </c>
      <c r="W24" s="72">
        <f t="shared" si="17"/>
        <v>80773079.57675913</v>
      </c>
      <c r="X24" s="70">
        <f>IF($R$19='2. Customer Classes'!$B$14,+W24/'4. Customer Growth'!$C20,+IF($R$19='2. Customer Classes'!$B$15,+W24/'4. Customer Growth'!$E20,+IF($R$19='2. Customer Classes'!$B$16,+W24/'4. Customer Growth'!$G20,+IF($R$19='2. Customer Classes'!$B$17,+W24/'4. Customer Growth'!$I20,+IF($R$19='2. Customer Classes'!$B$18,+W24/'4. Customer Growth'!$K20,+IF($R$19='2. Customer Classes'!$B$19,+W24/'4. Customer Growth'!$M20,IF($R$19='2. Customer Classes'!$B$20,+W24/'4. Customer Growth'!$O20)))))))</f>
        <v>564846.71032698697</v>
      </c>
      <c r="Z24" s="178">
        <f t="shared" si="18"/>
        <v>2008</v>
      </c>
      <c r="AA24" s="70">
        <f>IF($Z$19='2. Customer Classes'!$B$14,+SUM('3. Consumption by Rate Class'!$D$61:$D$72),+IF($Z$19='2. Customer Classes'!$B$15,+SUM('3. Consumption by Rate Class'!$F$61:$F$72),+IF($Z$19='2. Customer Classes'!$B$16,+SUM('3. Consumption by Rate Class'!$H$61:$H$72),+IF($Z$19='2. Customer Classes'!$B$17,+SUM('3. Consumption by Rate Class'!$J$61:$J$72),+IF($Z$19='2. Customer Classes'!$B$18,+SUM('3. Consumption by Rate Class'!$L$61:$L$72),+IF($Z$19='2. Customer Classes'!$B$19,+SUM('3. Consumption by Rate Class'!$O$61:$O$72),IF($Z$19='2. Customer Classes'!$B$20,+SUM('3. Consumption by Rate Class'!$R$61:$R$72),0)))))))</f>
        <v>0</v>
      </c>
      <c r="AB24" s="225">
        <f t="shared" si="4"/>
        <v>194146899.85907778</v>
      </c>
      <c r="AC24" s="225">
        <f t="shared" si="5"/>
        <v>199277158.67089084</v>
      </c>
      <c r="AD24" s="73">
        <f t="shared" si="6"/>
        <v>0</v>
      </c>
      <c r="AE24" s="225">
        <f t="shared" si="19"/>
        <v>0</v>
      </c>
      <c r="AF24" s="70" t="e">
        <f>IF($Z$19='2. Customer Classes'!$B$14,+AE24/'4. Customer Growth'!$C20,+IF($Z$19='2. Customer Classes'!$B$15,+AE24/'4. Customer Growth'!$E20,+IF($Z$19='2. Customer Classes'!$B$16,+AE24/'4. Customer Growth'!$G20,+IF($Z$19='2. Customer Classes'!$B$17,+AE24/'4. Customer Growth'!$I20,+IF($Z$19='2. Customer Classes'!$B$18,+AE24/'4. Customer Growth'!$K20,+IF($Z$19='2. Customer Classes'!$B$19,+AE24/'4. Customer Growth'!$M20,IF($Z$19='2. Customer Classes'!$B$20,+AE24/'4. Customer Growth'!$O20)))))))</f>
        <v>#DIV/0!</v>
      </c>
      <c r="AH24" s="178">
        <f t="shared" si="20"/>
        <v>2008</v>
      </c>
      <c r="AI24" s="70">
        <f>IF($AH$19='2. Customer Classes'!$B$14,+SUM('3. Consumption by Rate Class'!$D$61:$D$72),+IF($AH$19='2. Customer Classes'!$B$15,+SUM('3. Consumption by Rate Class'!$F$61:$F$72),+IF($AH$19='2. Customer Classes'!$B$16,+SUM('3. Consumption by Rate Class'!$H$61:$H$72),+IF($AH$19='2. Customer Classes'!$B$17,+SUM('3. Consumption by Rate Class'!$J$61:$J$72),+IF($AH$19='2. Customer Classes'!$B$18,+SUM('3. Consumption by Rate Class'!$L$61:$L$72),+IF($AH$19='2. Customer Classes'!$B$19,+SUM('3. Consumption by Rate Class'!$O$61:$O$72),IF($AH$19='2. Customer Classes'!$B$20,+SUM('3. Consumption by Rate Class'!$R$61:$R$72),0)))))))</f>
        <v>0</v>
      </c>
      <c r="AJ24" s="225">
        <f t="shared" si="7"/>
        <v>194146899.85907778</v>
      </c>
      <c r="AK24" s="225">
        <f t="shared" si="8"/>
        <v>199277158.67089084</v>
      </c>
      <c r="AL24" s="73">
        <f t="shared" si="9"/>
        <v>0</v>
      </c>
      <c r="AM24" s="225">
        <f t="shared" si="21"/>
        <v>0</v>
      </c>
      <c r="AN24" s="70" t="e">
        <f>IF($AH$19='2. Customer Classes'!$B$14,+AM24/'4. Customer Growth'!$C20,+IF($AH$19='2. Customer Classes'!$B$15,+AM24/'4. Customer Growth'!$E20,+IF($AH$19='2. Customer Classes'!$B$16,+AM24/'4. Customer Growth'!$G20,+IF($AH$19='2. Customer Classes'!$B$17,+AM24/'4. Customer Growth'!$I20,+IF($AH$19='2. Customer Classes'!$B$18,+AM24/'4. Customer Growth'!$K20,+IF($AH$19='2. Customer Classes'!$B$19,+AM24/'4. Customer Growth'!$M20,IF($AH$19='2. Customer Classes'!$B$20,+AM24/'4. Customer Growth'!$O20)))))))</f>
        <v>#DIV/0!</v>
      </c>
    </row>
    <row r="25" spans="2:40" x14ac:dyDescent="0.2">
      <c r="B25" s="178">
        <f>'4. Customer Growth'!B21</f>
        <v>2009</v>
      </c>
      <c r="C25" s="70">
        <f>IF($B$19='2. Customer Classes'!$B$14,+SUM('3. Consumption by Rate Class'!$D$73:$D$84),+IF($B$19='2. Customer Classes'!$B$15,+SUM('3. Consumption by Rate Class'!$F$73:$F$84),+IF($B$19='2. Customer Classes'!$B$16,+SUM('3. Consumption by Rate Class'!$H$73:$H$84),+IF($B$19='2. Customer Classes'!$B$17,+SUM('3. Consumption by Rate Class'!$J$73:$J$84),+IF($B$19='2. Customer Classes'!$B$18,+SUM('3. Consumption by Rate Class'!$L$73:$L$84),+IF($B$19='2. Customer Classes'!$B$19,+SUM('3. Consumption by Rate Class'!$O$73:$O$84),IF($B$19='2. Customer Classes'!$B$20,+SUM('3. Consumption by Rate Class'!$R$73:$R$84),0)))))))</f>
        <v>76058961.349999994</v>
      </c>
      <c r="D25" s="72">
        <f>SUM('6. WS Regression Analysis'!J68:J79)</f>
        <v>201115656.45999998</v>
      </c>
      <c r="E25" s="72">
        <f>SUM('6. WS Regression Analysis'!R68:R79)</f>
        <v>198683586.06453371</v>
      </c>
      <c r="F25" s="73">
        <f>C25/D25</f>
        <v>0.37818518303734056</v>
      </c>
      <c r="G25" s="72">
        <f t="shared" si="11"/>
        <v>75139188.362330884</v>
      </c>
      <c r="H25" s="70">
        <f>IF($B$19='2. Customer Classes'!$B$14,+G25/'4. Customer Growth'!$C21,+IF($B$19='2. Customer Classes'!$B$15,+G25/'4. Customer Growth'!$E21,+IF($B$19='2. Customer Classes'!$B$16,+G25/'4. Customer Growth'!$G21,+IF($B$19='2. Customer Classes'!$B$17,+G25/'4. Customer Growth'!$I21,+IF($B$19='2. Customer Classes'!$B$18,+G25/'4. Customer Growth'!$K21,+IF($B$19='2. Customer Classes'!$B$19,+G25/'4. Customer Growth'!$M21,IF($B$19='2. Customer Classes'!$B$20,+G25/'4. Customer Growth'!$O21)))))))</f>
        <v>8403.8908804754374</v>
      </c>
      <c r="I25" s="82"/>
      <c r="J25" s="178">
        <f t="shared" si="12"/>
        <v>2009</v>
      </c>
      <c r="K25" s="70">
        <f>IF($J$19='2. Customer Classes'!$B$14,+SUM('3. Consumption by Rate Class'!$D$73:$D$84),+IF($J$19='2. Customer Classes'!$B$15,+SUM('3. Consumption by Rate Class'!$F$73:$F$84),+IF($J$19='2. Customer Classes'!$B$16,+SUM('3. Consumption by Rate Class'!$H$73:$H$84),+IF($J$19='2. Customer Classes'!$B$17,+SUM('3. Consumption by Rate Class'!$J$73:$J$84),+IF($J$19='2. Customer Classes'!$B$18,+SUM('3. Consumption by Rate Class'!$L$73:$L$84),+IF($J$19='2. Customer Classes'!$B$19,+SUM('3. Consumption by Rate Class'!$O$73:$O$84),IF($J$19='2. Customer Classes'!$B$20,+SUM('3. Consumption by Rate Class'!$R$73:$R$84),0)))))))</f>
        <v>34198078.359999999</v>
      </c>
      <c r="L25" s="72">
        <f t="shared" si="13"/>
        <v>201115656.45999998</v>
      </c>
      <c r="M25" s="72">
        <f t="shared" si="0"/>
        <v>198683586.06453371</v>
      </c>
      <c r="N25" s="73">
        <f t="shared" si="1"/>
        <v>0.17004185035590044</v>
      </c>
      <c r="O25" s="72">
        <f t="shared" si="14"/>
        <v>33784524.609759107</v>
      </c>
      <c r="P25" s="70">
        <f>IF($J$19='2. Customer Classes'!$B$14,+O25/'4. Customer Growth'!$C21,+IF($J$19='2. Customer Classes'!$B$15,+O25/'4. Customer Growth'!$E21,+IF($J$19='2. Customer Classes'!$B$16,+O25/'4. Customer Growth'!$G21,+IF($J$19='2. Customer Classes'!$B$17,+O25/'4. Customer Growth'!$I21,+IF($J$19='2. Customer Classes'!$B$18,+O25/'4. Customer Growth'!$K21,+IF($J$19='2. Customer Classes'!$B$19,+O25/'4. Customer Growth'!$M21,IF($J$19='2. Customer Classes'!$B$20,+O25/'4. Customer Growth'!$O21)))))))</f>
        <v>24235.670451764065</v>
      </c>
      <c r="Q25" s="82"/>
      <c r="R25" s="178">
        <f t="shared" si="15"/>
        <v>2009</v>
      </c>
      <c r="S25" s="70">
        <f>IF($R$19='2. Customer Classes'!$B$14,+SUM('3. Consumption by Rate Class'!$D$73:$D$84),+IF($R$19='2. Customer Classes'!$B$15,+SUM('3. Consumption by Rate Class'!$F$73:$F$84),+IF($R$19='2. Customer Classes'!$B$16,+SUM('3. Consumption by Rate Class'!$H$73:$H$84),+IF($R$19='2. Customer Classes'!$B$17,+SUM('3. Consumption by Rate Class'!$J$73:$J$84),+IF($R$19='2. Customer Classes'!$B$18,+SUM('3. Consumption by Rate Class'!$L$73:$L$84),+IF($R$19='2. Customer Classes'!$B$19,+SUM('3. Consumption by Rate Class'!$O$73:$O$84),IF($R$19='2. Customer Classes'!$B$20,+SUM('3. Consumption by Rate Class'!$R$73:$R$84),0)))))))</f>
        <v>78622635.780000001</v>
      </c>
      <c r="T25" s="72">
        <f t="shared" si="2"/>
        <v>201115656.45999998</v>
      </c>
      <c r="U25" s="72">
        <f t="shared" si="3"/>
        <v>198683586.06453371</v>
      </c>
      <c r="V25" s="73">
        <f t="shared" si="16"/>
        <v>0.39093244734846044</v>
      </c>
      <c r="W25" s="72">
        <f t="shared" si="17"/>
        <v>77671860.548176631</v>
      </c>
      <c r="X25" s="70">
        <f>IF($R$19='2. Customer Classes'!$B$14,+W25/'4. Customer Growth'!$C21,+IF($R$19='2. Customer Classes'!$B$15,+W25/'4. Customer Growth'!$E21,+IF($R$19='2. Customer Classes'!$B$16,+W25/'4. Customer Growth'!$G21,+IF($R$19='2. Customer Classes'!$B$17,+W25/'4. Customer Growth'!$I21,+IF($R$19='2. Customer Classes'!$B$18,+W25/'4. Customer Growth'!$K21,+IF($R$19='2. Customer Classes'!$B$19,+W25/'4. Customer Growth'!$M21,IF($R$19='2. Customer Classes'!$B$20,+W25/'4. Customer Growth'!$O21)))))))</f>
        <v>539387.92047344882</v>
      </c>
      <c r="Z25" s="178">
        <f t="shared" si="18"/>
        <v>2009</v>
      </c>
      <c r="AA25" s="70">
        <f>IF($Z$19='2. Customer Classes'!$B$14,+SUM('3. Consumption by Rate Class'!$D$73:$D$84),+IF($Z$19='2. Customer Classes'!$B$15,+SUM('3. Consumption by Rate Class'!$F$73:$F$84),+IF($Z$19='2. Customer Classes'!$B$16,+SUM('3. Consumption by Rate Class'!$H$73:$H$84),+IF($Z$19='2. Customer Classes'!$B$17,+SUM('3. Consumption by Rate Class'!$J$73:$J$84),+IF($Z$19='2. Customer Classes'!$B$18,+SUM('3. Consumption by Rate Class'!$L$73:$L$84),+IF($Z$19='2. Customer Classes'!$B$19,+SUM('3. Consumption by Rate Class'!$O$73:$O$84),IF($Z$19='2. Customer Classes'!$B$20,+SUM('3. Consumption by Rate Class'!$R$73:$R$84),0)))))))</f>
        <v>0</v>
      </c>
      <c r="AB25" s="225">
        <f t="shared" si="4"/>
        <v>201115656.45999998</v>
      </c>
      <c r="AC25" s="225">
        <f t="shared" si="5"/>
        <v>198683586.06453371</v>
      </c>
      <c r="AD25" s="73">
        <f t="shared" si="6"/>
        <v>0</v>
      </c>
      <c r="AE25" s="225">
        <f t="shared" si="19"/>
        <v>0</v>
      </c>
      <c r="AF25" s="70" t="e">
        <f>IF($Z$19='2. Customer Classes'!$B$14,+AE25/'4. Customer Growth'!$C21,+IF($Z$19='2. Customer Classes'!$B$15,+AE25/'4. Customer Growth'!$E21,+IF($Z$19='2. Customer Classes'!$B$16,+AE25/'4. Customer Growth'!$G21,+IF($Z$19='2. Customer Classes'!$B$17,+AE25/'4. Customer Growth'!$I21,+IF($Z$19='2. Customer Classes'!$B$18,+AE25/'4. Customer Growth'!$K21,+IF($Z$19='2. Customer Classes'!$B$19,+AE25/'4. Customer Growth'!$M21,IF($Z$19='2. Customer Classes'!$B$20,+AE25/'4. Customer Growth'!$O21)))))))</f>
        <v>#DIV/0!</v>
      </c>
      <c r="AH25" s="178">
        <f t="shared" si="20"/>
        <v>2009</v>
      </c>
      <c r="AI25" s="70">
        <f>IF($AH$19='2. Customer Classes'!$B$14,+SUM('3. Consumption by Rate Class'!$D$73:$D$84),+IF($AH$19='2. Customer Classes'!$B$15,+SUM('3. Consumption by Rate Class'!$F$73:$F$84),+IF($AH$19='2. Customer Classes'!$B$16,+SUM('3. Consumption by Rate Class'!$H$73:$H$84),+IF($AH$19='2. Customer Classes'!$B$17,+SUM('3. Consumption by Rate Class'!$J$73:$J$84),+IF($AH$19='2. Customer Classes'!$B$18,+SUM('3. Consumption by Rate Class'!$L$73:$L$84),+IF($AH$19='2. Customer Classes'!$B$19,+SUM('3. Consumption by Rate Class'!$O$73:$O$84),IF($AH$19='2. Customer Classes'!$B$20,+SUM('3. Consumption by Rate Class'!$R$73:$R$84),0)))))))</f>
        <v>0</v>
      </c>
      <c r="AJ25" s="225">
        <f t="shared" si="7"/>
        <v>201115656.45999998</v>
      </c>
      <c r="AK25" s="225">
        <f t="shared" si="8"/>
        <v>198683586.06453371</v>
      </c>
      <c r="AL25" s="73">
        <f t="shared" si="9"/>
        <v>0</v>
      </c>
      <c r="AM25" s="225">
        <f t="shared" si="21"/>
        <v>0</v>
      </c>
      <c r="AN25" s="70" t="e">
        <f>IF($AH$19='2. Customer Classes'!$B$14,+AM25/'4. Customer Growth'!$C21,+IF($AH$19='2. Customer Classes'!$B$15,+AM25/'4. Customer Growth'!$E21,+IF($AH$19='2. Customer Classes'!$B$16,+AM25/'4. Customer Growth'!$G21,+IF($AH$19='2. Customer Classes'!$B$17,+AM25/'4. Customer Growth'!$I21,+IF($AH$19='2. Customer Classes'!$B$18,+AM25/'4. Customer Growth'!$K21,+IF($AH$19='2. Customer Classes'!$B$19,+AM25/'4. Customer Growth'!$M21,IF($AH$19='2. Customer Classes'!$B$20,+AM25/'4. Customer Growth'!$O21)))))))</f>
        <v>#DIV/0!</v>
      </c>
    </row>
    <row r="26" spans="2:40" x14ac:dyDescent="0.2">
      <c r="B26" s="178">
        <f>'4. Customer Growth'!B22</f>
        <v>2010</v>
      </c>
      <c r="C26" s="70">
        <f>IF($B$19='2. Customer Classes'!$B$14,+SUM('3. Consumption by Rate Class'!$D$85:$D$96),+IF($B$19='2. Customer Classes'!$B$15,+SUM('3. Consumption by Rate Class'!$F$85:$F$96),+IF($B$19='2. Customer Classes'!$B$16,+SUM('3. Consumption by Rate Class'!$H$85:$H$96),+IF($B$19='2. Customer Classes'!$B$17,+SUM('3. Consumption by Rate Class'!$J$85:$J$96),+IF($B$19='2. Customer Classes'!$B$18,+SUM('3. Consumption by Rate Class'!$L$85:$L$96),+IF($B$19='2. Customer Classes'!$B$19,+SUM('3. Consumption by Rate Class'!$O$85:$O$96),IF($B$19='2. Customer Classes'!$B$20,+SUM('3. Consumption by Rate Class'!$R$85:$R$96),0)))))))</f>
        <v>75301012.150000006</v>
      </c>
      <c r="D26" s="72">
        <f>SUM('6. WS Regression Analysis'!J80:J91)</f>
        <v>197081317.46300003</v>
      </c>
      <c r="E26" s="72">
        <f>SUM('6. WS Regression Analysis'!R80:R91)</f>
        <v>199197021.01412955</v>
      </c>
      <c r="F26" s="73">
        <f t="shared" si="10"/>
        <v>0.38208092537303534</v>
      </c>
      <c r="G26" s="72">
        <f t="shared" si="11"/>
        <v>76109382.120630592</v>
      </c>
      <c r="H26" s="70">
        <f>IF($B$19='2. Customer Classes'!$B$14,+G26/'4. Customer Growth'!$C22,+IF($B$19='2. Customer Classes'!$B$15,+G26/'4. Customer Growth'!$E22,+IF($B$19='2. Customer Classes'!$B$16,+G26/'4. Customer Growth'!$G22,+IF($B$19='2. Customer Classes'!$B$17,+G26/'4. Customer Growth'!$I22,+IF($B$19='2. Customer Classes'!$B$18,+G26/'4. Customer Growth'!$K22,+IF($B$19='2. Customer Classes'!$B$19,+G26/'4. Customer Growth'!$M22,IF($B$19='2. Customer Classes'!$B$20,+G26/'4. Customer Growth'!$O22)))))))</f>
        <v>8499.0934808074362</v>
      </c>
      <c r="I26" s="82"/>
      <c r="J26" s="178">
        <f t="shared" si="12"/>
        <v>2010</v>
      </c>
      <c r="K26" s="70">
        <f>IF($J$19='2. Customer Classes'!$B$14,+SUM('3. Consumption by Rate Class'!$D$85:$D$96),+IF($J$19='2. Customer Classes'!$B$15,+SUM('3. Consumption by Rate Class'!$F$85:$F$96),+IF($J$19='2. Customer Classes'!$B$16,+SUM('3. Consumption by Rate Class'!$H$85:$H$96),+IF($J$19='2. Customer Classes'!$B$17,+SUM('3. Consumption by Rate Class'!$J$85:$J$96),+IF($J$19='2. Customer Classes'!$B$18,+SUM('3. Consumption by Rate Class'!$L$85:$L$96),+IF($J$19='2. Customer Classes'!$B$19,+SUM('3. Consumption by Rate Class'!$O$85:$O$96),IF($J$19='2. Customer Classes'!$B$20,+SUM('3. Consumption by Rate Class'!$R$85:$R$96),0)))))))</f>
        <v>33358216.629999999</v>
      </c>
      <c r="L26" s="72">
        <f t="shared" si="13"/>
        <v>197081317.46300003</v>
      </c>
      <c r="M26" s="72">
        <f t="shared" si="0"/>
        <v>199197021.01412955</v>
      </c>
      <c r="N26" s="73">
        <f t="shared" si="1"/>
        <v>0.16926118142204249</v>
      </c>
      <c r="O26" s="72">
        <f t="shared" si="14"/>
        <v>33716323.112602994</v>
      </c>
      <c r="P26" s="70">
        <f>IF($J$19='2. Customer Classes'!$B$14,+O26/'4. Customer Growth'!$C22,+IF($J$19='2. Customer Classes'!$B$15,+O26/'4. Customer Growth'!$E22,+IF($J$19='2. Customer Classes'!$B$16,+O26/'4. Customer Growth'!$G22,+IF($J$19='2. Customer Classes'!$B$17,+O26/'4. Customer Growth'!$I22,+IF($J$19='2. Customer Classes'!$B$18,+O26/'4. Customer Growth'!$K22,+IF($J$19='2. Customer Classes'!$B$19,+O26/'4. Customer Growth'!$M22,IF($J$19='2. Customer Classes'!$B$20,+O26/'4. Customer Growth'!$O22)))))))</f>
        <v>24574.579528136292</v>
      </c>
      <c r="Q26" s="82"/>
      <c r="R26" s="178">
        <f t="shared" si="15"/>
        <v>2010</v>
      </c>
      <c r="S26" s="70">
        <f>IF($R$19='2. Customer Classes'!$B$14,+SUM('3. Consumption by Rate Class'!$D$85:$D$96),+IF($R$19='2. Customer Classes'!$B$15,+SUM('3. Consumption by Rate Class'!$F$85:$F$96),+IF($R$19='2. Customer Classes'!$B$16,+SUM('3. Consumption by Rate Class'!$H$85:$H$96),+IF($R$19='2. Customer Classes'!$B$17,+SUM('3. Consumption by Rate Class'!$J$85:$J$96),+IF($R$19='2. Customer Classes'!$B$18,+SUM('3. Consumption by Rate Class'!$L$85:$L$96),+IF($R$19='2. Customer Classes'!$B$19,+SUM('3. Consumption by Rate Class'!$O$85:$O$96),IF($R$19='2. Customer Classes'!$B$20,+SUM('3. Consumption by Rate Class'!$R$85:$R$96),0)))))))</f>
        <v>76510234.719999999</v>
      </c>
      <c r="T26" s="72">
        <f t="shared" si="2"/>
        <v>197081317.46300003</v>
      </c>
      <c r="U26" s="72">
        <f t="shared" si="3"/>
        <v>199197021.01412955</v>
      </c>
      <c r="V26" s="73">
        <f t="shared" si="16"/>
        <v>0.38821657833885753</v>
      </c>
      <c r="W26" s="72">
        <f t="shared" si="17"/>
        <v>77331585.913398877</v>
      </c>
      <c r="X26" s="70">
        <f>IF($R$19='2. Customer Classes'!$B$14,+W26/'4. Customer Growth'!$C22,+IF($R$19='2. Customer Classes'!$B$15,+W26/'4. Customer Growth'!$E22,+IF($R$19='2. Customer Classes'!$B$16,+W26/'4. Customer Growth'!$G22,+IF($R$19='2. Customer Classes'!$B$17,+W26/'4. Customer Growth'!$I22,+IF($R$19='2. Customer Classes'!$B$18,+W26/'4. Customer Growth'!$K22,+IF($R$19='2. Customer Classes'!$B$19,+W26/'4. Customer Growth'!$M22,IF($R$19='2. Customer Classes'!$B$20,+W26/'4. Customer Growth'!$O22)))))))</f>
        <v>522510.71563107352</v>
      </c>
      <c r="Z26" s="178">
        <f t="shared" si="18"/>
        <v>2010</v>
      </c>
      <c r="AA26" s="70">
        <f>IF($Z$19='2. Customer Classes'!$B$14,+SUM('3. Consumption by Rate Class'!$D$85:$D$96),+IF($Z$19='2. Customer Classes'!$B$15,+SUM('3. Consumption by Rate Class'!$F$85:$F$96),+IF($Z$19='2. Customer Classes'!$B$16,+SUM('3. Consumption by Rate Class'!$H$85:$H$96),+IF($Z$19='2. Customer Classes'!$B$17,+SUM('3. Consumption by Rate Class'!$J$85:$J$96),+IF($Z$19='2. Customer Classes'!$B$18,+SUM('3. Consumption by Rate Class'!$L$85:$L$96),+IF($Z$19='2. Customer Classes'!$B$19,+SUM('3. Consumption by Rate Class'!$O$85:$O$96),IF($Z$19='2. Customer Classes'!$B$20,+SUM('3. Consumption by Rate Class'!$R$85:$R$96),0)))))))</f>
        <v>0</v>
      </c>
      <c r="AB26" s="225">
        <f t="shared" si="4"/>
        <v>197081317.46300003</v>
      </c>
      <c r="AC26" s="225">
        <f t="shared" si="5"/>
        <v>199197021.01412955</v>
      </c>
      <c r="AD26" s="73">
        <f t="shared" si="6"/>
        <v>0</v>
      </c>
      <c r="AE26" s="225">
        <f t="shared" si="19"/>
        <v>0</v>
      </c>
      <c r="AF26" s="70" t="e">
        <f>IF($Z$19='2. Customer Classes'!$B$14,+AE26/'4. Customer Growth'!$C22,+IF($Z$19='2. Customer Classes'!$B$15,+AE26/'4. Customer Growth'!$E22,+IF($Z$19='2. Customer Classes'!$B$16,+AE26/'4. Customer Growth'!$G22,+IF($Z$19='2. Customer Classes'!$B$17,+AE26/'4. Customer Growth'!$I22,+IF($Z$19='2. Customer Classes'!$B$18,+AE26/'4. Customer Growth'!$K22,+IF($Z$19='2. Customer Classes'!$B$19,+AE26/'4. Customer Growth'!$M22,IF($Z$19='2. Customer Classes'!$B$20,+AE26/'4. Customer Growth'!$O22)))))))</f>
        <v>#DIV/0!</v>
      </c>
      <c r="AH26" s="178">
        <f t="shared" si="20"/>
        <v>2010</v>
      </c>
      <c r="AI26" s="70">
        <f>IF($AH$19='2. Customer Classes'!$B$14,+SUM('3. Consumption by Rate Class'!$D$85:$D$96),+IF($AH$19='2. Customer Classes'!$B$15,+SUM('3. Consumption by Rate Class'!$F$85:$F$96),+IF($AH$19='2. Customer Classes'!$B$16,+SUM('3. Consumption by Rate Class'!$H$85:$H$96),+IF($AH$19='2. Customer Classes'!$B$17,+SUM('3. Consumption by Rate Class'!$J$85:$J$96),+IF($AH$19='2. Customer Classes'!$B$18,+SUM('3. Consumption by Rate Class'!$L$85:$L$96),+IF($AH$19='2. Customer Classes'!$B$19,+SUM('3. Consumption by Rate Class'!$O$85:$O$96),IF($AH$19='2. Customer Classes'!$B$20,+SUM('3. Consumption by Rate Class'!$R$85:$R$96),0)))))))</f>
        <v>0</v>
      </c>
      <c r="AJ26" s="225">
        <f t="shared" si="7"/>
        <v>197081317.46300003</v>
      </c>
      <c r="AK26" s="225">
        <f t="shared" si="8"/>
        <v>199197021.01412955</v>
      </c>
      <c r="AL26" s="73">
        <f t="shared" si="9"/>
        <v>0</v>
      </c>
      <c r="AM26" s="225">
        <f t="shared" si="21"/>
        <v>0</v>
      </c>
      <c r="AN26" s="70" t="e">
        <f>IF($AH$19='2. Customer Classes'!$B$14,+AM26/'4. Customer Growth'!$C22,+IF($AH$19='2. Customer Classes'!$B$15,+AM26/'4. Customer Growth'!$E22,+IF($AH$19='2. Customer Classes'!$B$16,+AM26/'4. Customer Growth'!$G22,+IF($AH$19='2. Customer Classes'!$B$17,+AM26/'4. Customer Growth'!$I22,+IF($AH$19='2. Customer Classes'!$B$18,+AM26/'4. Customer Growth'!$K22,+IF($AH$19='2. Customer Classes'!$B$19,+AM26/'4. Customer Growth'!$M22,IF($AH$19='2. Customer Classes'!$B$20,+AM26/'4. Customer Growth'!$O22)))))))</f>
        <v>#DIV/0!</v>
      </c>
    </row>
    <row r="27" spans="2:40" x14ac:dyDescent="0.2">
      <c r="B27" s="178">
        <f>'4. Customer Growth'!B23</f>
        <v>2011</v>
      </c>
      <c r="C27" s="70">
        <f>IF($B$19='2. Customer Classes'!$B$14,+SUM('3. Consumption by Rate Class'!$D$97:$D$108),+IF($B$19='2. Customer Classes'!$B$15,+SUM('3. Consumption by Rate Class'!$F$97:$F$108),+IF($B$19='2. Customer Classes'!$B$16,+SUM('3. Consumption by Rate Class'!$H$97:$H$108),+IF($B$19='2. Customer Classes'!$B$17,+SUM('3. Consumption by Rate Class'!$J$97:$J$108),+IF($B$19='2. Customer Classes'!$B$18,+SUM('3. Consumption by Rate Class'!$L$97:$L$108),+IF($B$19='2. Customer Classes'!$B$19,+SUM('3. Consumption by Rate Class'!$O$97:$O$108),IF($B$19='2. Customer Classes'!$B$20,+SUM('3. Consumption by Rate Class'!$R$97:$R$108),0)))))))</f>
        <v>79270519.859999999</v>
      </c>
      <c r="D27" s="72">
        <f>SUM('6. WS Regression Analysis'!J92:J103)</f>
        <v>199623009.43799999</v>
      </c>
      <c r="E27" s="72">
        <f>SUM('6. WS Regression Analysis'!R92:R103)</f>
        <v>197051606.59096599</v>
      </c>
      <c r="F27" s="73">
        <f t="shared" si="10"/>
        <v>0.39710111616476895</v>
      </c>
      <c r="G27" s="72">
        <f t="shared" si="11"/>
        <v>78249412.919333532</v>
      </c>
      <c r="H27" s="70">
        <f>IF($B$19='2. Customer Classes'!$B$14,+G27/'4. Customer Growth'!$C23,+IF($B$19='2. Customer Classes'!$B$15,+G27/'4. Customer Growth'!$E23,+IF($B$19='2. Customer Classes'!$B$16,+G27/'4. Customer Growth'!$G23,+IF($B$19='2. Customer Classes'!$B$17,+G27/'4. Customer Growth'!$I23,+IF($B$19='2. Customer Classes'!$B$18,+G27/'4. Customer Growth'!$K23,+IF($B$19='2. Customer Classes'!$B$19,+G27/'4. Customer Growth'!$M23,IF($B$19='2. Customer Classes'!$B$20,+G27/'4. Customer Growth'!$O23)))))))</f>
        <v>8665.4942324843341</v>
      </c>
      <c r="I27" s="82"/>
      <c r="J27" s="178">
        <f t="shared" si="12"/>
        <v>2011</v>
      </c>
      <c r="K27" s="70">
        <f>IF($J$19='2. Customer Classes'!$B$14,+SUM('3. Consumption by Rate Class'!$D$97:$D$108),+IF($J$19='2. Customer Classes'!$B$15,+SUM('3. Consumption by Rate Class'!$F$97:$F$108),+IF($J$19='2. Customer Classes'!$B$16,+SUM('3. Consumption by Rate Class'!$H$97:$H$108),+IF($J$19='2. Customer Classes'!$B$17,+SUM('3. Consumption by Rate Class'!$J$97:$J$108),+IF($J$19='2. Customer Classes'!$B$18,+SUM('3. Consumption by Rate Class'!$L$97:$L$108),+IF($J$19='2. Customer Classes'!$B$19,+SUM('3. Consumption by Rate Class'!$O$97:$O$108),IF($J$19='2. Customer Classes'!$B$20,+SUM('3. Consumption by Rate Class'!$R$97:$R$108),0)))))))</f>
        <v>32279016.170000002</v>
      </c>
      <c r="L27" s="72">
        <f t="shared" si="13"/>
        <v>199623009.43799999</v>
      </c>
      <c r="M27" s="72">
        <f t="shared" si="0"/>
        <v>197051606.59096599</v>
      </c>
      <c r="N27" s="73">
        <f t="shared" si="1"/>
        <v>0.16169987748844852</v>
      </c>
      <c r="O27" s="72">
        <f t="shared" si="14"/>
        <v>31863220.644661155</v>
      </c>
      <c r="P27" s="70">
        <f>IF($J$19='2. Customer Classes'!$B$14,+O27/'4. Customer Growth'!$C23,+IF($J$19='2. Customer Classes'!$B$15,+O27/'4. Customer Growth'!$E23,+IF($J$19='2. Customer Classes'!$B$16,+O27/'4. Customer Growth'!$G23,+IF($J$19='2. Customer Classes'!$B$17,+O27/'4. Customer Growth'!$I23,+IF($J$19='2. Customer Classes'!$B$18,+O27/'4. Customer Growth'!$K23,+IF($J$19='2. Customer Classes'!$B$19,+O27/'4. Customer Growth'!$M23,IF($J$19='2. Customer Classes'!$B$20,+O27/'4. Customer Growth'!$O23)))))))</f>
        <v>23257.825288073836</v>
      </c>
      <c r="Q27" s="82"/>
      <c r="R27" s="178">
        <f t="shared" si="15"/>
        <v>2011</v>
      </c>
      <c r="S27" s="70">
        <f>IF($R$19='2. Customer Classes'!$B$14,+SUM('3. Consumption by Rate Class'!$D$97:$D$108),+IF($R$19='2. Customer Classes'!$B$15,+SUM('3. Consumption by Rate Class'!$F$97:$F$108),+IF($R$19='2. Customer Classes'!$B$16,+SUM('3. Consumption by Rate Class'!$H$97:$H$108),+IF($R$19='2. Customer Classes'!$B$17,+SUM('3. Consumption by Rate Class'!$J$97:$J$108),+IF($R$19='2. Customer Classes'!$B$18,+SUM('3. Consumption by Rate Class'!$L$97:$L$108),+IF($R$19='2. Customer Classes'!$B$19,+SUM('3. Consumption by Rate Class'!$O$97:$O$108),IF($R$19='2. Customer Classes'!$B$20,+SUM('3. Consumption by Rate Class'!$R$97:$R$108),0)))))))</f>
        <v>74853997.430000007</v>
      </c>
      <c r="T27" s="72">
        <f t="shared" si="2"/>
        <v>199623009.43799999</v>
      </c>
      <c r="U27" s="72">
        <f t="shared" si="3"/>
        <v>197051606.59096599</v>
      </c>
      <c r="V27" s="73">
        <f t="shared" si="16"/>
        <v>0.37497680072420997</v>
      </c>
      <c r="W27" s="72">
        <f t="shared" si="17"/>
        <v>73889781.017046079</v>
      </c>
      <c r="X27" s="70">
        <f>IF($R$19='2. Customer Classes'!$B$14,+W27/'4. Customer Growth'!$C23,+IF($R$19='2. Customer Classes'!$B$15,+W27/'4. Customer Growth'!$E23,+IF($R$19='2. Customer Classes'!$B$16,+W27/'4. Customer Growth'!$G23,+IF($R$19='2. Customer Classes'!$B$17,+W27/'4. Customer Growth'!$I23,+IF($R$19='2. Customer Classes'!$B$18,+W27/'4. Customer Growth'!$K23,+IF($R$19='2. Customer Classes'!$B$19,+W27/'4. Customer Growth'!$M23,IF($R$19='2. Customer Classes'!$B$20,+W27/'4. Customer Growth'!$O23)))))))</f>
        <v>509584.69666928332</v>
      </c>
      <c r="Z27" s="178">
        <f t="shared" si="18"/>
        <v>2011</v>
      </c>
      <c r="AA27" s="70">
        <f>IF($Z$19='2. Customer Classes'!$B$14,+SUM('3. Consumption by Rate Class'!$D$97:$D$108),+IF($Z$19='2. Customer Classes'!$B$15,+SUM('3. Consumption by Rate Class'!$F$97:$F$108),+IF($Z$19='2. Customer Classes'!$B$16,+SUM('3. Consumption by Rate Class'!$H$97:$H$108),+IF($Z$19='2. Customer Classes'!$B$17,+SUM('3. Consumption by Rate Class'!$J$97:$J$108),+IF($Z$19='2. Customer Classes'!$B$18,+SUM('3. Consumption by Rate Class'!$L$97:$L$108),+IF($Z$19='2. Customer Classes'!$B$19,+SUM('3. Consumption by Rate Class'!$O$97:$O$108),IF($Z$19='2. Customer Classes'!$B$20,+SUM('3. Consumption by Rate Class'!$R$97:$R$108),0)))))))</f>
        <v>0</v>
      </c>
      <c r="AB27" s="225">
        <f t="shared" si="4"/>
        <v>199623009.43799999</v>
      </c>
      <c r="AC27" s="225">
        <f t="shared" si="5"/>
        <v>197051606.59096599</v>
      </c>
      <c r="AD27" s="73">
        <f t="shared" si="6"/>
        <v>0</v>
      </c>
      <c r="AE27" s="225">
        <f t="shared" si="19"/>
        <v>0</v>
      </c>
      <c r="AF27" s="70" t="e">
        <f>IF($Z$19='2. Customer Classes'!$B$14,+AE27/'4. Customer Growth'!$C23,+IF($Z$19='2. Customer Classes'!$B$15,+AE27/'4. Customer Growth'!$E23,+IF($Z$19='2. Customer Classes'!$B$16,+AE27/'4. Customer Growth'!$G23,+IF($Z$19='2. Customer Classes'!$B$17,+AE27/'4. Customer Growth'!$I23,+IF($Z$19='2. Customer Classes'!$B$18,+AE27/'4. Customer Growth'!$K23,+IF($Z$19='2. Customer Classes'!$B$19,+AE27/'4. Customer Growth'!$M23,IF($Z$19='2. Customer Classes'!$B$20,+AE27/'4. Customer Growth'!$O23)))))))</f>
        <v>#DIV/0!</v>
      </c>
      <c r="AH27" s="178">
        <f t="shared" si="20"/>
        <v>2011</v>
      </c>
      <c r="AI27" s="70">
        <f>IF($AH$19='2. Customer Classes'!$B$14,+SUM('3. Consumption by Rate Class'!$D$97:$D$108),+IF($AH$19='2. Customer Classes'!$B$15,+SUM('3. Consumption by Rate Class'!$F$97:$F$108),+IF($AH$19='2. Customer Classes'!$B$16,+SUM('3. Consumption by Rate Class'!$H$97:$H$108),+IF($AH$19='2. Customer Classes'!$B$17,+SUM('3. Consumption by Rate Class'!$J$97:$J$108),+IF($AH$19='2. Customer Classes'!$B$18,+SUM('3. Consumption by Rate Class'!$L$97:$L$108),+IF($AH$19='2. Customer Classes'!$B$19,+SUM('3. Consumption by Rate Class'!$O$97:$O$108),IF($AH$19='2. Customer Classes'!$B$20,+SUM('3. Consumption by Rate Class'!$R$97:$R$108),0)))))))</f>
        <v>0</v>
      </c>
      <c r="AJ27" s="225">
        <f t="shared" si="7"/>
        <v>199623009.43799999</v>
      </c>
      <c r="AK27" s="225">
        <f t="shared" si="8"/>
        <v>197051606.59096599</v>
      </c>
      <c r="AL27" s="73">
        <f t="shared" si="9"/>
        <v>0</v>
      </c>
      <c r="AM27" s="225">
        <f t="shared" si="21"/>
        <v>0</v>
      </c>
      <c r="AN27" s="70" t="e">
        <f>IF($AH$19='2. Customer Classes'!$B$14,+AM27/'4. Customer Growth'!$C23,+IF($AH$19='2. Customer Classes'!$B$15,+AM27/'4. Customer Growth'!$E23,+IF($AH$19='2. Customer Classes'!$B$16,+AM27/'4. Customer Growth'!$G23,+IF($AH$19='2. Customer Classes'!$B$17,+AM27/'4. Customer Growth'!$I23,+IF($AH$19='2. Customer Classes'!$B$18,+AM27/'4. Customer Growth'!$K23,+IF($AH$19='2. Customer Classes'!$B$19,+AM27/'4. Customer Growth'!$M23,IF($AH$19='2. Customer Classes'!$B$20,+AM27/'4. Customer Growth'!$O23)))))))</f>
        <v>#DIV/0!</v>
      </c>
    </row>
    <row r="28" spans="2:40" x14ac:dyDescent="0.2">
      <c r="B28" s="178">
        <f>'4. Customer Growth'!B24</f>
        <v>2012</v>
      </c>
      <c r="C28" s="70">
        <f>IF($B$19='2. Customer Classes'!$B$14,+SUM('3. Consumption by Rate Class'!$D$109:$D$120),+IF($B$19='2. Customer Classes'!$B$15,+SUM('3. Consumption by Rate Class'!$F$109:$F$120),+IF($B$19='2. Customer Classes'!$B$16,+SUM('3. Consumption by Rate Class'!$H$109:$H$120),+IF($B$19='2. Customer Classes'!$B$17,+SUM('3. Consumption by Rate Class'!$J$109:$J$120),+IF($B$19='2. Customer Classes'!$B$18,+SUM('3. Consumption by Rate Class'!$L$109:$L$120),+IF($B$19='2. Customer Classes'!$B$19,+SUM('3. Consumption by Rate Class'!$O$109:$O$120),IF($B$19='2. Customer Classes'!$B$20,+SUM('3. Consumption by Rate Class'!$R$109:$R$120),0)))))))</f>
        <v>78553743.920000002</v>
      </c>
      <c r="D28" s="72">
        <f>SUM('6. WS Regression Analysis'!J104:J115)</f>
        <v>194771161.25000003</v>
      </c>
      <c r="E28" s="72">
        <f>SUM('6. WS Regression Analysis'!R104:R115)</f>
        <v>200061553.77745542</v>
      </c>
      <c r="F28" s="73">
        <f t="shared" si="10"/>
        <v>0.40331301315789631</v>
      </c>
      <c r="G28" s="72">
        <f t="shared" si="11"/>
        <v>80687428.071036056</v>
      </c>
      <c r="H28" s="70">
        <f>IF($B$19='2. Customer Classes'!$B$14,+G28/'4. Customer Growth'!$C24,+IF($B$19='2. Customer Classes'!$B$15,+G28/'4. Customer Growth'!$E24,+IF($B$19='2. Customer Classes'!$B$16,+G28/'4. Customer Growth'!$G24,+IF($B$19='2. Customer Classes'!$B$17,+G28/'4. Customer Growth'!$I24,+IF($B$19='2. Customer Classes'!$B$18,+G28/'4. Customer Growth'!$K24,+IF($B$19='2. Customer Classes'!$B$19,+G28/'4. Customer Growth'!$M24,IF($B$19='2. Customer Classes'!$B$20,+G28/'4. Customer Growth'!$O24)))))))</f>
        <v>8879.9238508816434</v>
      </c>
      <c r="I28" s="82"/>
      <c r="J28" s="178">
        <f t="shared" si="12"/>
        <v>2012</v>
      </c>
      <c r="K28" s="70">
        <f>IF($J$19='2. Customer Classes'!$B$14,+SUM('3. Consumption by Rate Class'!$D$109:$D$120),+IF($J$19='2. Customer Classes'!$B$15,+SUM('3. Consumption by Rate Class'!$F$109:$F$120),+IF($J$19='2. Customer Classes'!$B$16,+SUM('3. Consumption by Rate Class'!$H$109:$H$120),+IF($J$19='2. Customer Classes'!$B$17,+SUM('3. Consumption by Rate Class'!$J$109:$J$120),+IF($J$19='2. Customer Classes'!$B$18,+SUM('3. Consumption by Rate Class'!$L$109:$L$120),+IF($J$19='2. Customer Classes'!$B$19,+SUM('3. Consumption by Rate Class'!$O$109:$O$120),IF($J$19='2. Customer Classes'!$B$20,+SUM('3. Consumption by Rate Class'!$R$109:$R$120),0)))))))</f>
        <v>31948521.120000001</v>
      </c>
      <c r="L28" s="72">
        <f t="shared" si="13"/>
        <v>194771161.25000003</v>
      </c>
      <c r="M28" s="72">
        <f t="shared" si="0"/>
        <v>200061553.77745542</v>
      </c>
      <c r="N28" s="73">
        <f t="shared" si="1"/>
        <v>0.16403106555899324</v>
      </c>
      <c r="O28" s="72">
        <f t="shared" si="14"/>
        <v>32816309.843503844</v>
      </c>
      <c r="P28" s="70">
        <f>IF($J$19='2. Customer Classes'!$B$14,+O28/'4. Customer Growth'!$C24,+IF($J$19='2. Customer Classes'!$B$15,+O28/'4. Customer Growth'!$E24,+IF($J$19='2. Customer Classes'!$B$16,+O28/'4. Customer Growth'!$G24,+IF($J$19='2. Customer Classes'!$B$17,+O28/'4. Customer Growth'!$I24,+IF($J$19='2. Customer Classes'!$B$18,+O28/'4. Customer Growth'!$K24,+IF($J$19='2. Customer Classes'!$B$19,+O28/'4. Customer Growth'!$M24,IF($J$19='2. Customer Classes'!$B$20,+O28/'4. Customer Growth'!$O24)))))))</f>
        <v>24103.055338599959</v>
      </c>
      <c r="Q28" s="82"/>
      <c r="R28" s="178">
        <f t="shared" si="15"/>
        <v>2012</v>
      </c>
      <c r="S28" s="70">
        <f>IF($R$19='2. Customer Classes'!$B$14,+SUM('3. Consumption by Rate Class'!$D$109:$D$120),+IF($R$19='2. Customer Classes'!$B$15,+SUM('3. Consumption by Rate Class'!$F$109:$F$120),+IF($R$19='2. Customer Classes'!$B$16,+SUM('3. Consumption by Rate Class'!$H$109:$H$120),+IF($R$19='2. Customer Classes'!$B$17,+SUM('3. Consumption by Rate Class'!$J$109:$J$120),+IF($R$19='2. Customer Classes'!$B$18,+SUM('3. Consumption by Rate Class'!$L$109:$L$120),+IF($R$19='2. Customer Classes'!$B$19,+SUM('3. Consumption by Rate Class'!$O$109:$O$120),IF($R$19='2. Customer Classes'!$B$20,+SUM('3. Consumption by Rate Class'!$R$109:$R$120),0)))))))</f>
        <v>74516293.329999998</v>
      </c>
      <c r="T28" s="72">
        <f t="shared" si="2"/>
        <v>194771161.25000003</v>
      </c>
      <c r="U28" s="72">
        <f t="shared" si="3"/>
        <v>200061553.77745542</v>
      </c>
      <c r="V28" s="73">
        <f t="shared" si="16"/>
        <v>0.38258381195537483</v>
      </c>
      <c r="W28" s="72">
        <f t="shared" si="17"/>
        <v>76540311.869894117</v>
      </c>
      <c r="X28" s="70">
        <f>IF($R$19='2. Customer Classes'!$B$14,+W28/'4. Customer Growth'!$C24,+IF($R$19='2. Customer Classes'!$B$15,+W28/'4. Customer Growth'!$E24,+IF($R$19='2. Customer Classes'!$B$16,+W28/'4. Customer Growth'!$G24,+IF($R$19='2. Customer Classes'!$B$17,+W28/'4. Customer Growth'!$I24,+IF($R$19='2. Customer Classes'!$B$18,+W28/'4. Customer Growth'!$K24,+IF($R$19='2. Customer Classes'!$B$19,+W28/'4. Customer Growth'!$M24,IF($R$19='2. Customer Classes'!$B$20,+W28/'4. Customer Growth'!$O24)))))))</f>
        <v>527864.21979237325</v>
      </c>
      <c r="Z28" s="178">
        <f t="shared" si="18"/>
        <v>2012</v>
      </c>
      <c r="AA28" s="70">
        <f>IF($Z$19='2. Customer Classes'!$B$14,+SUM('3. Consumption by Rate Class'!$D$109:$D$120),+IF($Z$19='2. Customer Classes'!$B$15,+SUM('3. Consumption by Rate Class'!$F$109:$F$120),+IF($Z$19='2. Customer Classes'!$B$16,+SUM('3. Consumption by Rate Class'!$H$109:$H$120),+IF($Z$19='2. Customer Classes'!$B$17,+SUM('3. Consumption by Rate Class'!$J$109:$J$120),+IF($Z$19='2. Customer Classes'!$B$18,+SUM('3. Consumption by Rate Class'!$L$109:$L$120),+IF($Z$19='2. Customer Classes'!$B$19,+SUM('3. Consumption by Rate Class'!$O$109:$O$120),IF($Z$19='2. Customer Classes'!$B$20,+SUM('3. Consumption by Rate Class'!$R$109:$R$120),0)))))))</f>
        <v>0</v>
      </c>
      <c r="AB28" s="225">
        <f t="shared" si="4"/>
        <v>194771161.25000003</v>
      </c>
      <c r="AC28" s="225">
        <f t="shared" si="5"/>
        <v>200061553.77745542</v>
      </c>
      <c r="AD28" s="73">
        <f t="shared" si="6"/>
        <v>0</v>
      </c>
      <c r="AE28" s="225">
        <f t="shared" si="19"/>
        <v>0</v>
      </c>
      <c r="AF28" s="70" t="e">
        <f>IF($Z$19='2. Customer Classes'!$B$14,+AE28/'4. Customer Growth'!$C24,+IF($Z$19='2. Customer Classes'!$B$15,+AE28/'4. Customer Growth'!$E24,+IF($Z$19='2. Customer Classes'!$B$16,+AE28/'4. Customer Growth'!$G24,+IF($Z$19='2. Customer Classes'!$B$17,+AE28/'4. Customer Growth'!$I24,+IF($Z$19='2. Customer Classes'!$B$18,+AE28/'4. Customer Growth'!$K24,+IF($Z$19='2. Customer Classes'!$B$19,+AE28/'4. Customer Growth'!$M24,IF($Z$19='2. Customer Classes'!$B$20,+AE28/'4. Customer Growth'!$O24)))))))</f>
        <v>#DIV/0!</v>
      </c>
      <c r="AH28" s="178">
        <f t="shared" si="20"/>
        <v>2012</v>
      </c>
      <c r="AI28" s="70">
        <f>IF($AH$19='2. Customer Classes'!$B$14,+SUM('3. Consumption by Rate Class'!$D$109:$D$120),+IF($AH$19='2. Customer Classes'!$B$15,+SUM('3. Consumption by Rate Class'!$F$109:$F$120),+IF($AH$19='2. Customer Classes'!$B$16,+SUM('3. Consumption by Rate Class'!$H$109:$H$120),+IF($AH$19='2. Customer Classes'!$B$17,+SUM('3. Consumption by Rate Class'!$J$109:$J$120),+IF($AH$19='2. Customer Classes'!$B$18,+SUM('3. Consumption by Rate Class'!$L$109:$L$120),+IF($AH$19='2. Customer Classes'!$B$19,+SUM('3. Consumption by Rate Class'!$O$109:$O$120),IF($AH$19='2. Customer Classes'!$B$20,+SUM('3. Consumption by Rate Class'!$R$109:$R$120),0)))))))</f>
        <v>0</v>
      </c>
      <c r="AJ28" s="225">
        <f t="shared" si="7"/>
        <v>194771161.25000003</v>
      </c>
      <c r="AK28" s="225">
        <f t="shared" si="8"/>
        <v>200061553.77745542</v>
      </c>
      <c r="AL28" s="73">
        <f t="shared" si="9"/>
        <v>0</v>
      </c>
      <c r="AM28" s="225">
        <f t="shared" si="21"/>
        <v>0</v>
      </c>
      <c r="AN28" s="70" t="e">
        <f>IF($AH$19='2. Customer Classes'!$B$14,+AM28/'4. Customer Growth'!$C24,+IF($AH$19='2. Customer Classes'!$B$15,+AM28/'4. Customer Growth'!$E24,+IF($AH$19='2. Customer Classes'!$B$16,+AM28/'4. Customer Growth'!$G24,+IF($AH$19='2. Customer Classes'!$B$17,+AM28/'4. Customer Growth'!$I24,+IF($AH$19='2. Customer Classes'!$B$18,+AM28/'4. Customer Growth'!$K24,+IF($AH$19='2. Customer Classes'!$B$19,+AM28/'4. Customer Growth'!$M24,IF($AH$19='2. Customer Classes'!$B$20,+AM28/'4. Customer Growth'!$O24)))))))</f>
        <v>#DIV/0!</v>
      </c>
    </row>
    <row r="29" spans="2:40" x14ac:dyDescent="0.2">
      <c r="B29" s="178">
        <f>'4. Customer Growth'!B25</f>
        <v>2013</v>
      </c>
      <c r="C29" s="70">
        <f>IF($B$19='2. Customer Classes'!$B$14,+SUM('3. Consumption by Rate Class'!$D$121:$D$132),+IF($B$19='2. Customer Classes'!$B$15,+SUM('3. Consumption by Rate Class'!$F$121:$F$132),+IF($B$19='2. Customer Classes'!$B$16,+SUM('3. Consumption by Rate Class'!$H$121:$H$132),+IF($B$19='2. Customer Classes'!$B$17,+SUM('3. Consumption by Rate Class'!$J$121:$J$132),+IF($B$19='2. Customer Classes'!$B$18,+SUM('3. Consumption by Rate Class'!$L$121:$L$132),+IF($B$19='2. Customer Classes'!$B$19,+SUM('3. Consumption by Rate Class'!$O$121:$O$132),IF($B$19='2. Customer Classes'!$B$20,+SUM('3. Consumption by Rate Class'!$R$121:$R$132),0)))))))</f>
        <v>80138213.859999999</v>
      </c>
      <c r="D29" s="72">
        <f>SUM('6. WS Regression Analysis'!J116:J127)</f>
        <v>198259056.0149</v>
      </c>
      <c r="E29" s="72">
        <f>SUM('6. WS Regression Analysis'!R116:R127)</f>
        <v>199210663.16643396</v>
      </c>
      <c r="F29" s="73">
        <f t="shared" si="10"/>
        <v>0.4042096006649869</v>
      </c>
      <c r="G29" s="72">
        <f t="shared" si="11"/>
        <v>80522862.606711492</v>
      </c>
      <c r="H29" s="70">
        <f>IF($B$19='2. Customer Classes'!$B$14,+G29/'4. Customer Growth'!$C25,+IF($B$19='2. Customer Classes'!$B$15,+G29/'4. Customer Growth'!$E25,+IF($B$19='2. Customer Classes'!$B$16,+G29/'4. Customer Growth'!$G25,+IF($B$19='2. Customer Classes'!$B$17,+G29/'4. Customer Growth'!$I25,+IF($B$19='2. Customer Classes'!$B$18,+G29/'4. Customer Growth'!$K25,+IF($B$19='2. Customer Classes'!$B$19,+G29/'4. Customer Growth'!$M25,IF($B$19='2. Customer Classes'!$B$20,+G29/'4. Customer Growth'!$O25)))))))</f>
        <v>8757.2444379240333</v>
      </c>
      <c r="I29" s="82"/>
      <c r="J29" s="178">
        <f t="shared" si="12"/>
        <v>2013</v>
      </c>
      <c r="K29" s="70">
        <f>IF($J$19='2. Customer Classes'!$B$14,+SUM('3. Consumption by Rate Class'!$D$121:$D$132),+IF($J$19='2. Customer Classes'!$B$15,+SUM('3. Consumption by Rate Class'!$F$121:$F$132),+IF($J$19='2. Customer Classes'!$B$16,+SUM('3. Consumption by Rate Class'!$H$121:$H$132),+IF($J$19='2. Customer Classes'!$B$17,+SUM('3. Consumption by Rate Class'!$J$121:$J$132),+IF($J$19='2. Customer Classes'!$B$18,+SUM('3. Consumption by Rate Class'!$L$121:$L$132),+IF($J$19='2. Customer Classes'!$B$19,+SUM('3. Consumption by Rate Class'!$O$121:$O$132),IF($J$19='2. Customer Classes'!$B$20,+SUM('3. Consumption by Rate Class'!$R$121:$R$132),0)))))))</f>
        <v>31708039.23</v>
      </c>
      <c r="L29" s="72">
        <f t="shared" si="13"/>
        <v>198259056.0149</v>
      </c>
      <c r="M29" s="72">
        <f t="shared" si="0"/>
        <v>199210663.16643396</v>
      </c>
      <c r="N29" s="73">
        <f t="shared" si="1"/>
        <v>0.15993236257322344</v>
      </c>
      <c r="O29" s="72">
        <f t="shared" si="14"/>
        <v>31860232.009986404</v>
      </c>
      <c r="P29" s="70">
        <f>IF($J$19='2. Customer Classes'!$B$14,+O29/'4. Customer Growth'!$C25,+IF($J$19='2. Customer Classes'!$B$15,+O29/'4. Customer Growth'!$E25,+IF($J$19='2. Customer Classes'!$B$16,+O29/'4. Customer Growth'!$G25,+IF($J$19='2. Customer Classes'!$B$17,+O29/'4. Customer Growth'!$I25,+IF($J$19='2. Customer Classes'!$B$18,+O29/'4. Customer Growth'!$K25,+IF($J$19='2. Customer Classes'!$B$19,+O29/'4. Customer Growth'!$M25,IF($J$19='2. Customer Classes'!$B$20,+O29/'4. Customer Growth'!$O25)))))))</f>
        <v>23910.117831134263</v>
      </c>
      <c r="Q29" s="82"/>
      <c r="R29" s="178">
        <f t="shared" si="15"/>
        <v>2013</v>
      </c>
      <c r="S29" s="70">
        <f>IF($R$19='2. Customer Classes'!$B$14,+SUM('3. Consumption by Rate Class'!$D$121:$D$132),+IF($R$19='2. Customer Classes'!$B$15,+SUM('3. Consumption by Rate Class'!$F$121:$F$132),+IF($R$19='2. Customer Classes'!$B$16,+SUM('3. Consumption by Rate Class'!$H$121:$H$132),+IF($R$19='2. Customer Classes'!$B$17,+SUM('3. Consumption by Rate Class'!$J$121:$J$132),+IF($R$19='2. Customer Classes'!$B$18,+SUM('3. Consumption by Rate Class'!$L$121:$L$132),+IF($R$19='2. Customer Classes'!$B$19,+SUM('3. Consumption by Rate Class'!$O$121:$O$132),IF($R$19='2. Customer Classes'!$B$20,+SUM('3. Consumption by Rate Class'!$R$121:$R$132),0)))))))</f>
        <v>73596923.409999996</v>
      </c>
      <c r="T29" s="72">
        <f t="shared" si="2"/>
        <v>198259056.0149</v>
      </c>
      <c r="U29" s="72">
        <f t="shared" si="3"/>
        <v>199210663.16643396</v>
      </c>
      <c r="V29" s="73">
        <f t="shared" si="16"/>
        <v>0.37121594790842177</v>
      </c>
      <c r="W29" s="72">
        <f t="shared" si="17"/>
        <v>73950175.160793111</v>
      </c>
      <c r="X29" s="70">
        <f>IF($R$19='2. Customer Classes'!$B$14,+W29/'4. Customer Growth'!$C25,+IF($R$19='2. Customer Classes'!$B$15,+W29/'4. Customer Growth'!$E25,+IF($R$19='2. Customer Classes'!$B$16,+W29/'4. Customer Growth'!$G25,+IF($R$19='2. Customer Classes'!$B$17,+W29/'4. Customer Growth'!$I25,+IF($R$19='2. Customer Classes'!$B$18,+W29/'4. Customer Growth'!$K25,+IF($R$19='2. Customer Classes'!$B$19,+W29/'4. Customer Growth'!$M25,IF($R$19='2. Customer Classes'!$B$20,+W29/'4. Customer Growth'!$O25)))))))</f>
        <v>508248.62653466058</v>
      </c>
      <c r="Z29" s="178">
        <f t="shared" si="18"/>
        <v>2013</v>
      </c>
      <c r="AA29" s="70">
        <f>IF($Z$19='2. Customer Classes'!$B$14,+SUM('3. Consumption by Rate Class'!$D$121:$D$132),+IF($Z$19='2. Customer Classes'!$B$15,+SUM('3. Consumption by Rate Class'!$F$121:$F$132),+IF($Z$19='2. Customer Classes'!$B$16,+SUM('3. Consumption by Rate Class'!$H$121:$H$132),+IF($Z$19='2. Customer Classes'!$B$17,+SUM('3. Consumption by Rate Class'!$J$121:$J$132),+IF($Z$19='2. Customer Classes'!$B$18,+SUM('3. Consumption by Rate Class'!$L$121:$L$132),+IF($Z$19='2. Customer Classes'!$B$19,+SUM('3. Consumption by Rate Class'!$O$121:$O$132),IF($Z$19='2. Customer Classes'!$B$20,+SUM('3. Consumption by Rate Class'!$R$121:$R$132),0)))))))</f>
        <v>0</v>
      </c>
      <c r="AB29" s="225">
        <f t="shared" si="4"/>
        <v>198259056.0149</v>
      </c>
      <c r="AC29" s="225">
        <f t="shared" si="5"/>
        <v>199210663.16643396</v>
      </c>
      <c r="AD29" s="73">
        <f t="shared" si="6"/>
        <v>0</v>
      </c>
      <c r="AE29" s="225">
        <f t="shared" si="19"/>
        <v>0</v>
      </c>
      <c r="AF29" s="70" t="e">
        <f>IF($Z$19='2. Customer Classes'!$B$14,+AE29/'4. Customer Growth'!$C25,+IF($Z$19='2. Customer Classes'!$B$15,+AE29/'4. Customer Growth'!$E25,+IF($Z$19='2. Customer Classes'!$B$16,+AE29/'4. Customer Growth'!$G25,+IF($Z$19='2. Customer Classes'!$B$17,+AE29/'4. Customer Growth'!$I25,+IF($Z$19='2. Customer Classes'!$B$18,+AE29/'4. Customer Growth'!$K25,+IF($Z$19='2. Customer Classes'!$B$19,+AE29/'4. Customer Growth'!$M25,IF($Z$19='2. Customer Classes'!$B$20,+AE29/'4. Customer Growth'!$O25)))))))</f>
        <v>#DIV/0!</v>
      </c>
      <c r="AH29" s="178">
        <f t="shared" si="20"/>
        <v>2013</v>
      </c>
      <c r="AI29" s="70">
        <f>IF($AH$19='2. Customer Classes'!$B$14,+SUM('3. Consumption by Rate Class'!$D$121:$D$132),+IF($AH$19='2. Customer Classes'!$B$15,+SUM('3. Consumption by Rate Class'!$F$121:$F$132),+IF($AH$19='2. Customer Classes'!$B$16,+SUM('3. Consumption by Rate Class'!$H$121:$H$132),+IF($AH$19='2. Customer Classes'!$B$17,+SUM('3. Consumption by Rate Class'!$J$121:$J$132),+IF($AH$19='2. Customer Classes'!$B$18,+SUM('3. Consumption by Rate Class'!$L$121:$L$132),+IF($AH$19='2. Customer Classes'!$B$19,+SUM('3. Consumption by Rate Class'!$O$121:$O$132),IF($AH$19='2. Customer Classes'!$B$20,+SUM('3. Consumption by Rate Class'!$R$121:$R$132),0)))))))</f>
        <v>0</v>
      </c>
      <c r="AJ29" s="225">
        <f t="shared" si="7"/>
        <v>198259056.0149</v>
      </c>
      <c r="AK29" s="225">
        <f t="shared" si="8"/>
        <v>199210663.16643396</v>
      </c>
      <c r="AL29" s="73">
        <f t="shared" si="9"/>
        <v>0</v>
      </c>
      <c r="AM29" s="225">
        <f t="shared" si="21"/>
        <v>0</v>
      </c>
      <c r="AN29" s="70" t="e">
        <f>IF($AH$19='2. Customer Classes'!$B$14,+AM29/'4. Customer Growth'!$C25,+IF($AH$19='2. Customer Classes'!$B$15,+AM29/'4. Customer Growth'!$E25,+IF($AH$19='2. Customer Classes'!$B$16,+AM29/'4. Customer Growth'!$G25,+IF($AH$19='2. Customer Classes'!$B$17,+AM29/'4. Customer Growth'!$I25,+IF($AH$19='2. Customer Classes'!$B$18,+AM29/'4. Customer Growth'!$K25,+IF($AH$19='2. Customer Classes'!$B$19,+AM29/'4. Customer Growth'!$M25,IF($AH$19='2. Customer Classes'!$B$20,+AM29/'4. Customer Growth'!$O25)))))))</f>
        <v>#DIV/0!</v>
      </c>
    </row>
    <row r="30" spans="2:40" x14ac:dyDescent="0.2">
      <c r="B30" s="178">
        <f>'4. Customer Growth'!B26</f>
        <v>2014</v>
      </c>
      <c r="C30" s="70">
        <f>IF($B$19='2. Customer Classes'!$B$14,+SUM('3. Consumption by Rate Class'!$D$133:$D$144),+IF($B$19='2. Customer Classes'!$B$15,+SUM('3. Consumption by Rate Class'!$F$133:$F$144),+IF($B$19='2. Customer Classes'!$B$16,+SUM('3. Consumption by Rate Class'!$H$133:$H$144),+IF($B$19='2. Customer Classes'!$B$17,+SUM('3. Consumption by Rate Class'!$J$133:$J$144),+IF($B$19='2. Customer Classes'!$B$18,+SUM('3. Consumption by Rate Class'!$L$133:$L$144),+IF($B$19='2. Customer Classes'!$B$19,+SUM('3. Consumption by Rate Class'!$O$133:$O$144),IF($B$19='2. Customer Classes'!$B$20,+SUM('3. Consumption by Rate Class'!$R$133:$R$144),0)))))))</f>
        <v>79483998.230000004</v>
      </c>
      <c r="D30" s="72">
        <f>SUM('6. WS Regression Analysis'!J128:J139)</f>
        <v>191637148.35999998</v>
      </c>
      <c r="E30" s="72">
        <f>SUM('6. WS Regression Analysis'!R128:R139)</f>
        <v>200106964.7243894</v>
      </c>
      <c r="F30" s="73">
        <f>C30/D30</f>
        <v>0.41476299825065926</v>
      </c>
      <c r="G30" s="72">
        <f>E30*F30</f>
        <v>82996964.659926653</v>
      </c>
      <c r="H30" s="70">
        <f>IF($B$19='2. Customer Classes'!$B$14,+G30/'4. Customer Growth'!$C26,+IF($B$19='2. Customer Classes'!$B$15,+G30/'4. Customer Growth'!$E26,+IF($B$19='2. Customer Classes'!$B$16,+G30/'4. Customer Growth'!$G26,+IF($B$19='2. Customer Classes'!$B$17,+G30/'4. Customer Growth'!$I26,+IF($B$19='2. Customer Classes'!$B$18,+G30/'4. Customer Growth'!$K26,+IF($B$19='2. Customer Classes'!$B$19,+G30/'4. Customer Growth'!$M26,IF($B$19='2. Customer Classes'!$B$20,+G30/'4. Customer Growth'!$O26)))))))</f>
        <v>8919.609313264551</v>
      </c>
      <c r="I30" s="82"/>
      <c r="J30" s="178">
        <f t="shared" si="12"/>
        <v>2014</v>
      </c>
      <c r="K30" s="70">
        <f>IF($J$19='2. Customer Classes'!$B$14,+SUM('3. Consumption by Rate Class'!$D$133:$D$144),+IF($J$19='2. Customer Classes'!$B$15,+SUM('3. Consumption by Rate Class'!$F$133:$F$144),+IF($J$19='2. Customer Classes'!$B$16,+SUM('3. Consumption by Rate Class'!$H$133:$H$144),+IF($J$19='2. Customer Classes'!$B$17,+SUM('3. Consumption by Rate Class'!$J$133:$J$144),+IF($J$19='2. Customer Classes'!$B$18,+SUM('3. Consumption by Rate Class'!$L$133:$L$144),+IF($J$19='2. Customer Classes'!$B$19,+SUM('3. Consumption by Rate Class'!$O$133:$O$144),IF($J$19='2. Customer Classes'!$B$20,+SUM('3. Consumption by Rate Class'!$R$133:$R$144),0)))))))</f>
        <v>31649726.120000001</v>
      </c>
      <c r="L30" s="72">
        <f t="shared" si="13"/>
        <v>191637148.35999998</v>
      </c>
      <c r="M30" s="72">
        <f t="shared" si="0"/>
        <v>200106964.7243894</v>
      </c>
      <c r="N30" s="73">
        <f>K30/L30</f>
        <v>0.16515444104054608</v>
      </c>
      <c r="O30" s="72">
        <f t="shared" si="14"/>
        <v>33048553.907376803</v>
      </c>
      <c r="P30" s="70">
        <f>IF($J$19='2. Customer Classes'!$B$14,+O30/'4. Customer Growth'!$C26,+IF($J$19='2. Customer Classes'!$B$15,+O30/'4. Customer Growth'!$E26,+IF($J$19='2. Customer Classes'!$B$16,+O30/'4. Customer Growth'!$G26,+IF($J$19='2. Customer Classes'!$B$17,+O30/'4. Customer Growth'!$I26,+IF($J$19='2. Customer Classes'!$B$18,+O30/'4. Customer Growth'!$K26,+IF($J$19='2. Customer Classes'!$B$19,+O30/'4. Customer Growth'!$M26,IF($J$19='2. Customer Classes'!$B$20,+O30/'4. Customer Growth'!$O26)))))))</f>
        <v>25074.775347023373</v>
      </c>
      <c r="Q30" s="82"/>
      <c r="R30" s="178">
        <f t="shared" si="15"/>
        <v>2014</v>
      </c>
      <c r="S30" s="70">
        <f>IF($R$19='2. Customer Classes'!$B$14,+SUM('3. Consumption by Rate Class'!$D$133:$D$144),+IF($R$19='2. Customer Classes'!$B$15,+SUM('3. Consumption by Rate Class'!$F$133:$F$144),+IF($R$19='2. Customer Classes'!$B$16,+SUM('3. Consumption by Rate Class'!$H$133:$H$144),+IF($R$19='2. Customer Classes'!$B$17,+SUM('3. Consumption by Rate Class'!$J$133:$J$144),+IF($R$19='2. Customer Classes'!$B$18,+SUM('3. Consumption by Rate Class'!$L$133:$L$144),+IF($R$19='2. Customer Classes'!$B$19,+SUM('3. Consumption by Rate Class'!$O$133:$O$144),IF($R$19='2. Customer Classes'!$B$20,+SUM('3. Consumption by Rate Class'!$R$133:$R$144),0)))))))</f>
        <v>72512848.979999989</v>
      </c>
      <c r="T30" s="72">
        <f t="shared" si="2"/>
        <v>191637148.35999998</v>
      </c>
      <c r="U30" s="72">
        <f t="shared" si="3"/>
        <v>200106964.7243894</v>
      </c>
      <c r="V30" s="73">
        <f>S30/T30</f>
        <v>0.37838618243150313</v>
      </c>
      <c r="W30" s="72">
        <f t="shared" si="17"/>
        <v>75717710.460017174</v>
      </c>
      <c r="X30" s="70">
        <f>IF($R$19='2. Customer Classes'!$B$14,+W30/'4. Customer Growth'!$C26,+IF($R$19='2. Customer Classes'!$B$15,+W30/'4. Customer Growth'!$E26,+IF($R$19='2. Customer Classes'!$B$16,+W30/'4. Customer Growth'!$G26,+IF($R$19='2. Customer Classes'!$B$17,+W30/'4. Customer Growth'!$I26,+IF($R$19='2. Customer Classes'!$B$18,+W30/'4. Customer Growth'!$K26,+IF($R$19='2. Customer Classes'!$B$19,+W30/'4. Customer Growth'!$M26,IF($R$19='2. Customer Classes'!$B$20,+W30/'4. Customer Growth'!$O26)))))))</f>
        <v>516844.44000011723</v>
      </c>
      <c r="Z30" s="178">
        <f t="shared" si="18"/>
        <v>2014</v>
      </c>
      <c r="AA30" s="70">
        <f>IF($Z$19='2. Customer Classes'!$B$14,+SUM('3. Consumption by Rate Class'!$D$133:$D$144),+IF($Z$19='2. Customer Classes'!$B$15,+SUM('3. Consumption by Rate Class'!$F$133:$F$144),+IF($Z$19='2. Customer Classes'!$B$16,+SUM('3. Consumption by Rate Class'!$H$133:$H$144),+IF($Z$19='2. Customer Classes'!$B$17,+SUM('3. Consumption by Rate Class'!$J$133:$J$144),+IF($Z$19='2. Customer Classes'!$B$18,+SUM('3. Consumption by Rate Class'!$L$133:$L$144),+IF($Z$19='2. Customer Classes'!$B$19,+SUM('3. Consumption by Rate Class'!$O$133:$O$144),IF($Z$19='2. Customer Classes'!$B$20,+SUM('3. Consumption by Rate Class'!$R$133:$R$144),0)))))))</f>
        <v>0</v>
      </c>
      <c r="AB30" s="225">
        <f t="shared" si="4"/>
        <v>191637148.35999998</v>
      </c>
      <c r="AC30" s="225">
        <f t="shared" si="5"/>
        <v>200106964.7243894</v>
      </c>
      <c r="AD30" s="73">
        <f t="shared" si="6"/>
        <v>0</v>
      </c>
      <c r="AE30" s="225">
        <f t="shared" si="19"/>
        <v>0</v>
      </c>
      <c r="AF30" s="70" t="e">
        <f>IF($Z$19='2. Customer Classes'!$B$14,+AE30/'4. Customer Growth'!$C26,+IF($Z$19='2. Customer Classes'!$B$15,+AE30/'4. Customer Growth'!$E26,+IF($Z$19='2. Customer Classes'!$B$16,+AE30/'4. Customer Growth'!$G26,+IF($Z$19='2. Customer Classes'!$B$17,+AE30/'4. Customer Growth'!$I26,+IF($Z$19='2. Customer Classes'!$B$18,+AE30/'4. Customer Growth'!$K26,+IF($Z$19='2. Customer Classes'!$B$19,+AE30/'4. Customer Growth'!$M26,IF($Z$19='2. Customer Classes'!$B$20,+AE30/'4. Customer Growth'!$O26)))))))</f>
        <v>#DIV/0!</v>
      </c>
      <c r="AH30" s="178">
        <f t="shared" si="20"/>
        <v>2014</v>
      </c>
      <c r="AI30" s="70">
        <f>IF($AH$19='2. Customer Classes'!$B$14,+SUM('3. Consumption by Rate Class'!$D$133:$D$144),+IF($AH$19='2. Customer Classes'!$B$15,+SUM('3. Consumption by Rate Class'!$F$133:$F$144),+IF($AH$19='2. Customer Classes'!$B$16,+SUM('3. Consumption by Rate Class'!$H$133:$H$144),+IF($AH$19='2. Customer Classes'!$B$17,+SUM('3. Consumption by Rate Class'!$J$133:$J$144),+IF($AH$19='2. Customer Classes'!$B$18,+SUM('3. Consumption by Rate Class'!$L$133:$L$144),+IF($AH$19='2. Customer Classes'!$B$19,+SUM('3. Consumption by Rate Class'!$O$133:$O$144),IF($AH$19='2. Customer Classes'!$B$20,+SUM('3. Consumption by Rate Class'!$R$133:$R$144),0)))))))</f>
        <v>0</v>
      </c>
      <c r="AJ30" s="225">
        <f t="shared" si="7"/>
        <v>191637148.35999998</v>
      </c>
      <c r="AK30" s="225">
        <f t="shared" si="8"/>
        <v>200106964.7243894</v>
      </c>
      <c r="AL30" s="73">
        <f t="shared" si="9"/>
        <v>0</v>
      </c>
      <c r="AM30" s="225">
        <f t="shared" si="21"/>
        <v>0</v>
      </c>
      <c r="AN30" s="70" t="e">
        <f>IF($AH$19='2. Customer Classes'!$B$14,+AM30/'4. Customer Growth'!$C26,+IF($AH$19='2. Customer Classes'!$B$15,+AM30/'4. Customer Growth'!$E26,+IF($AH$19='2. Customer Classes'!$B$16,+AM30/'4. Customer Growth'!$G26,+IF($AH$19='2. Customer Classes'!$B$17,+AM30/'4. Customer Growth'!$I26,+IF($AH$19='2. Customer Classes'!$B$18,+AM30/'4. Customer Growth'!$K26,+IF($AH$19='2. Customer Classes'!$B$19,+AM30/'4. Customer Growth'!$M26,IF($AH$19='2. Customer Classes'!$B$20,+AM30/'4. Customer Growth'!$O26)))))))</f>
        <v>#DIV/0!</v>
      </c>
    </row>
    <row r="31" spans="2:40" ht="14.25" customHeight="1" x14ac:dyDescent="0.2">
      <c r="B31" s="179" t="str">
        <f>'4. Customer Growth'!B30</f>
        <v>2015</v>
      </c>
      <c r="C31" s="75"/>
      <c r="D31" s="75"/>
      <c r="E31" s="163">
        <f>SUM('6. WS Regression Analysis'!R140:R151)</f>
        <v>199517622.55165914</v>
      </c>
      <c r="F31" s="76">
        <f>AVERAGE(F21:F30)</f>
        <v>0.39314218055825734</v>
      </c>
      <c r="G31" s="163">
        <f>E31*F31</f>
        <v>78438793.189758614</v>
      </c>
      <c r="H31" s="70">
        <f>IF($B$19='2. Customer Classes'!$B$14,+G31/'4. Customer Growth'!$C26,+IF($B$19='2. Customer Classes'!$B$15,+G31/'4. Customer Growth'!$E26,+IF($B$19='2. Customer Classes'!$B$16,+G31/'4. Customer Growth'!$G26,+IF($B$19='2. Customer Classes'!$B$17,+G31/'4. Customer Growth'!$I26,+IF($B$19='2. Customer Classes'!$B$18,+G31/'4. Customer Growth'!$K26,+IF($B$19='2. Customer Classes'!$B$19,+G31/'4. Customer Growth'!$M26,IF($B$19='2. Customer Classes'!$B$20,+G31/'4. Customer Growth'!$O26)))))))</f>
        <v>8429.7467157182818</v>
      </c>
      <c r="I31" s="82"/>
      <c r="J31" s="179" t="str">
        <f t="shared" si="12"/>
        <v>2015</v>
      </c>
      <c r="K31" s="75"/>
      <c r="L31" s="75"/>
      <c r="M31" s="163">
        <f>E31</f>
        <v>199517622.55165914</v>
      </c>
      <c r="N31" s="76">
        <f>AVERAGE(N21:N30)</f>
        <v>0.17519150000828898</v>
      </c>
      <c r="O31" s="163">
        <f>M31*N31</f>
        <v>34953791.57291279</v>
      </c>
      <c r="P31" s="70">
        <f>IF($J$19='2. Customer Classes'!$B$14,+O31/'4. Customer Growth'!$C26,+IF($J$19='2. Customer Classes'!$B$15,+O31/'4. Customer Growth'!$E26,+IF($J$19='2. Customer Classes'!$B$16,+O31/'4. Customer Growth'!$G26,+IF($J$19='2. Customer Classes'!$B$17,+O31/'4. Customer Growth'!$I26,+IF($J$19='2. Customer Classes'!$B$18,+O31/'4. Customer Growth'!$K26,+IF($J$19='2. Customer Classes'!$B$19,+O31/'4. Customer Growth'!$M26,IF($J$19='2. Customer Classes'!$B$20,+O31/'4. Customer Growth'!$O26)))))))</f>
        <v>26520.327445305607</v>
      </c>
      <c r="Q31" s="82"/>
      <c r="R31" s="179" t="str">
        <f t="shared" si="15"/>
        <v>2015</v>
      </c>
      <c r="S31" s="75"/>
      <c r="T31" s="75"/>
      <c r="U31" s="131">
        <f>M31</f>
        <v>199517622.55165914</v>
      </c>
      <c r="V31" s="76">
        <f>AVERAGE(V21:V30)</f>
        <v>0.37997135446440339</v>
      </c>
      <c r="W31" s="131">
        <f>U31*V31</f>
        <v>75810981.280471519</v>
      </c>
      <c r="X31" s="70">
        <f>IF($R$19='2. Customer Classes'!$B$14,+W31/'4. Customer Growth'!$C26,+IF($R$19='2. Customer Classes'!$B$15,+W31/'4. Customer Growth'!$E26,+IF($R$19='2. Customer Classes'!$B$16,+W31/'4. Customer Growth'!$G26,+IF($R$19='2. Customer Classes'!$B$17,+W31/'4. Customer Growth'!$I26,+IF($R$19='2. Customer Classes'!$B$18,+W31/'4. Customer Growth'!$K26,+IF($R$19='2. Customer Classes'!$B$19,+W31/'4. Customer Growth'!$M26,IF($R$19='2. Customer Classes'!$B$20,+W31/'4. Customer Growth'!$O26)))))))</f>
        <v>517481.10089059058</v>
      </c>
      <c r="Z31" s="179" t="str">
        <f t="shared" si="18"/>
        <v>2015</v>
      </c>
      <c r="AA31" s="75"/>
      <c r="AB31" s="75"/>
      <c r="AC31" s="280">
        <f>U31</f>
        <v>199517622.55165914</v>
      </c>
      <c r="AD31" s="76">
        <f>AVERAGE(AD21:AD30)</f>
        <v>0</v>
      </c>
      <c r="AE31" s="280">
        <f>AC31*AD31</f>
        <v>0</v>
      </c>
      <c r="AF31" s="70" t="e">
        <f>IF($Z$19='2. Customer Classes'!$B$14,+AE31/'4. Customer Growth'!$C26,+IF($Z$19='2. Customer Classes'!$B$15,+AE31/'4. Customer Growth'!$E26,+IF($Z$19='2. Customer Classes'!$B$16,+AE31/'4. Customer Growth'!$G26,+IF($Z$19='2. Customer Classes'!$B$17,+AE31/'4. Customer Growth'!$I26,+IF($Z$19='2. Customer Classes'!$B$18,+AE31/'4. Customer Growth'!$K26,+IF($Z$19='2. Customer Classes'!$B$19,+AE31/'4. Customer Growth'!$M26,IF($Z$19='2. Customer Classes'!$B$20,+AE31/'4. Customer Growth'!$O26)))))))</f>
        <v>#DIV/0!</v>
      </c>
      <c r="AH31" s="179" t="str">
        <f t="shared" si="20"/>
        <v>2015</v>
      </c>
      <c r="AI31" s="75"/>
      <c r="AJ31" s="75"/>
      <c r="AK31" s="280">
        <f>AC31</f>
        <v>199517622.55165914</v>
      </c>
      <c r="AL31" s="76">
        <f>AL30</f>
        <v>0</v>
      </c>
      <c r="AM31" s="280">
        <f>AK31*AL31</f>
        <v>0</v>
      </c>
      <c r="AN31" s="70" t="e">
        <f>IF($AH$19='2. Customer Classes'!$B$14,+AM31/'4. Customer Growth'!$C26,+IF($AH$19='2. Customer Classes'!$B$15,+AM31/'4. Customer Growth'!$E26,+IF($AH$19='2. Customer Classes'!$B$16,+AM31/'4. Customer Growth'!$G26,+IF($AH$19='2. Customer Classes'!$B$17,+AM31/'4. Customer Growth'!$I26,+IF($AH$19='2. Customer Classes'!$B$18,+AM31/'4. Customer Growth'!$K26,+IF($AH$19='2. Customer Classes'!$B$19,+AM31/'4. Customer Growth'!$M26,IF($AH$19='2. Customer Classes'!$B$20,+AM31/'4. Customer Growth'!$O26)))))))</f>
        <v>#DIV/0!</v>
      </c>
    </row>
    <row r="32" spans="2:40" ht="14.25" customHeight="1" thickBot="1" x14ac:dyDescent="0.25">
      <c r="B32" s="180" t="str">
        <f>'4. Customer Growth'!B31</f>
        <v>2016</v>
      </c>
      <c r="C32" s="77"/>
      <c r="D32" s="77"/>
      <c r="E32" s="164">
        <f>SUM('6. WS Regression Analysis'!R152:R163)</f>
        <v>199084954.49928209</v>
      </c>
      <c r="F32" s="78">
        <f>F31</f>
        <v>0.39314218055825734</v>
      </c>
      <c r="G32" s="164">
        <f t="shared" si="11"/>
        <v>78268693.128189206</v>
      </c>
      <c r="H32" s="70">
        <f>IF($B$19='2. Customer Classes'!$B$14,+G32/'4. Customer Growth'!$C26,+IF($B$19='2. Customer Classes'!$B$15,+G32/'4. Customer Growth'!$E26,+IF($B$19='2. Customer Classes'!$B$16,+G32/'4. Customer Growth'!$G26,+IF($B$19='2. Customer Classes'!$B$17,+G32/'4. Customer Growth'!$I26,+IF($B$19='2. Customer Classes'!$B$18,+G32/'4. Customer Growth'!$K26,+IF($B$19='2. Customer Classes'!$B$19,+G32/'4. Customer Growth'!$M26,IF($B$19='2. Customer Classes'!$B$20,+G32/'4. Customer Growth'!$O26)))))))</f>
        <v>8411.4662147436011</v>
      </c>
      <c r="I32" s="82"/>
      <c r="J32" s="180" t="str">
        <f t="shared" si="12"/>
        <v>2016</v>
      </c>
      <c r="K32" s="77"/>
      <c r="L32" s="77"/>
      <c r="M32" s="164">
        <f>E32</f>
        <v>199084954.49928209</v>
      </c>
      <c r="N32" s="78">
        <f>N31</f>
        <v>0.17519150000828898</v>
      </c>
      <c r="O32" s="164">
        <f>M32*N32</f>
        <v>34877991.807811193</v>
      </c>
      <c r="P32" s="70">
        <f>IF($J$19='2. Customer Classes'!$B$14,+O32/'4. Customer Growth'!$C26,+IF($J$19='2. Customer Classes'!$B$15,+O32/'4. Customer Growth'!$E26,+IF($J$19='2. Customer Classes'!$B$16,+O32/'4. Customer Growth'!$G26,+IF($J$19='2. Customer Classes'!$B$17,+O32/'4. Customer Growth'!$I26,+IF($J$19='2. Customer Classes'!$B$18,+O32/'4. Customer Growth'!$K26,+IF($J$19='2. Customer Classes'!$B$19,+O32/'4. Customer Growth'!$M26,IF($J$19='2. Customer Classes'!$B$20,+O32/'4. Customer Growth'!$O26)))))))</f>
        <v>26462.816242648856</v>
      </c>
      <c r="Q32" s="82"/>
      <c r="R32" s="179" t="str">
        <f t="shared" si="15"/>
        <v>2016</v>
      </c>
      <c r="S32" s="77"/>
      <c r="T32" s="77"/>
      <c r="U32" s="132">
        <f>M32</f>
        <v>199084954.49928209</v>
      </c>
      <c r="V32" s="78">
        <f>V31</f>
        <v>0.37997135446440339</v>
      </c>
      <c r="W32" s="132">
        <f>U32*V32</f>
        <v>75646579.814576343</v>
      </c>
      <c r="X32" s="70">
        <f>IF($R$19='2. Customer Classes'!$B$14,+W32/'4. Customer Growth'!$C26,+IF($R$19='2. Customer Classes'!$B$15,+W32/'4. Customer Growth'!$E26,+IF($R$19='2. Customer Classes'!$B$16,+W32/'4. Customer Growth'!$G26,+IF($R$19='2. Customer Classes'!$B$17,+W32/'4. Customer Growth'!$I26,+IF($R$19='2. Customer Classes'!$B$18,+W32/'4. Customer Growth'!$K26,+IF($R$19='2. Customer Classes'!$B$19,+W32/'4. Customer Growth'!$M26,IF($R$19='2. Customer Classes'!$B$20,+W32/'4. Customer Growth'!$O26)))))))</f>
        <v>516358.90658413887</v>
      </c>
      <c r="Z32" s="179" t="str">
        <f t="shared" si="18"/>
        <v>2016</v>
      </c>
      <c r="AA32" s="77"/>
      <c r="AB32" s="77"/>
      <c r="AC32" s="279">
        <f>U32</f>
        <v>199084954.49928209</v>
      </c>
      <c r="AD32" s="78">
        <f>AD31</f>
        <v>0</v>
      </c>
      <c r="AE32" s="279">
        <f>AC32*AD32</f>
        <v>0</v>
      </c>
      <c r="AF32" s="70" t="e">
        <f>IF($Z$19='2. Customer Classes'!$B$14,+AE32/'4. Customer Growth'!$C26,+IF($Z$19='2. Customer Classes'!$B$15,+AE32/'4. Customer Growth'!$E26,+IF($Z$19='2. Customer Classes'!$B$16,+AE32/'4. Customer Growth'!$G26,+IF($Z$19='2. Customer Classes'!$B$17,+AE32/'4. Customer Growth'!$I26,+IF($Z$19='2. Customer Classes'!$B$18,+AE32/'4. Customer Growth'!$K26,+IF($Z$19='2. Customer Classes'!$B$19,+AE32/'4. Customer Growth'!$M26,IF($Z$19='2. Customer Classes'!$B$20,+AE32/'4. Customer Growth'!$O26)))))))</f>
        <v>#DIV/0!</v>
      </c>
      <c r="AH32" s="179" t="str">
        <f t="shared" si="20"/>
        <v>2016</v>
      </c>
      <c r="AI32" s="77"/>
      <c r="AJ32" s="77"/>
      <c r="AK32" s="279">
        <f>AC32</f>
        <v>199084954.49928209</v>
      </c>
      <c r="AL32" s="78">
        <f>AL31</f>
        <v>0</v>
      </c>
      <c r="AM32" s="279">
        <f>AK32*AL32</f>
        <v>0</v>
      </c>
      <c r="AN32" s="70" t="e">
        <f>IF($AH$19='2. Customer Classes'!$B$14,+AM32/'4. Customer Growth'!$C26,+IF($AH$19='2. Customer Classes'!$B$15,+AM32/'4. Customer Growth'!$E26,+IF($AH$19='2. Customer Classes'!$B$16,+AM32/'4. Customer Growth'!$G26,+IF($AH$19='2. Customer Classes'!$B$17,+AM32/'4. Customer Growth'!$I26,+IF($AH$19='2. Customer Classes'!$B$18,+AM32/'4. Customer Growth'!$K26,+IF($AH$19='2. Customer Classes'!$B$19,+AM32/'4. Customer Growth'!$M26,IF($AH$19='2. Customer Classes'!$B$20,+AM32/'4. Customer Growth'!$O26)))))))</f>
        <v>#DIV/0!</v>
      </c>
    </row>
    <row r="33" spans="2:40" ht="13.5" customHeight="1" x14ac:dyDescent="0.2">
      <c r="B33" s="862" t="s">
        <v>156</v>
      </c>
      <c r="C33" s="862"/>
      <c r="D33" s="862"/>
      <c r="E33" s="862"/>
      <c r="F33" s="862"/>
      <c r="G33" s="862"/>
      <c r="H33" s="862"/>
      <c r="I33" s="30"/>
      <c r="J33" s="862" t="s">
        <v>156</v>
      </c>
      <c r="K33" s="862"/>
      <c r="L33" s="862"/>
      <c r="M33" s="862"/>
      <c r="N33" s="862"/>
      <c r="O33" s="862"/>
      <c r="P33" s="862"/>
      <c r="R33" s="862" t="s">
        <v>156</v>
      </c>
      <c r="S33" s="862"/>
      <c r="T33" s="862"/>
      <c r="U33" s="862"/>
      <c r="V33" s="862"/>
      <c r="W33" s="862"/>
      <c r="X33" s="862"/>
      <c r="Z33" s="862" t="s">
        <v>156</v>
      </c>
      <c r="AA33" s="862"/>
      <c r="AB33" s="862"/>
      <c r="AC33" s="862"/>
      <c r="AD33" s="862"/>
      <c r="AE33" s="862"/>
      <c r="AF33" s="862"/>
      <c r="AH33" s="862" t="s">
        <v>156</v>
      </c>
      <c r="AI33" s="862"/>
      <c r="AJ33" s="862"/>
      <c r="AK33" s="862"/>
      <c r="AL33" s="862"/>
      <c r="AM33" s="862"/>
      <c r="AN33" s="862"/>
    </row>
    <row r="34" spans="2:40" x14ac:dyDescent="0.2">
      <c r="B34" s="148"/>
      <c r="C34" s="148"/>
      <c r="D34" s="148"/>
      <c r="E34" s="149"/>
      <c r="F34" s="150"/>
      <c r="G34" s="151"/>
      <c r="H34" s="153"/>
      <c r="I34" s="30"/>
      <c r="J34" s="152"/>
      <c r="K34" s="152"/>
      <c r="L34" s="152"/>
      <c r="M34" s="152"/>
      <c r="N34" s="152"/>
      <c r="O34" s="151"/>
      <c r="P34" s="152"/>
      <c r="R34" s="152"/>
      <c r="S34" s="152"/>
      <c r="T34" s="152"/>
      <c r="U34" s="152"/>
      <c r="V34" s="152"/>
      <c r="W34" s="151"/>
      <c r="X34" s="152"/>
      <c r="Z34" s="152"/>
      <c r="AA34" s="152"/>
      <c r="AB34" s="152"/>
      <c r="AC34" s="152"/>
      <c r="AD34" s="152"/>
      <c r="AE34" s="151"/>
      <c r="AF34" s="152"/>
      <c r="AH34" s="152"/>
      <c r="AI34" s="152"/>
      <c r="AJ34" s="152"/>
      <c r="AK34" s="152"/>
      <c r="AL34" s="152"/>
      <c r="AM34" s="151"/>
      <c r="AN34" s="152"/>
    </row>
    <row r="35" spans="2:40" x14ac:dyDescent="0.2">
      <c r="B35" s="148"/>
      <c r="C35" s="148"/>
      <c r="D35" s="148"/>
      <c r="E35" s="149"/>
      <c r="F35" s="150"/>
      <c r="G35" s="151"/>
      <c r="H35" s="153"/>
      <c r="I35" s="30"/>
      <c r="J35" s="152"/>
      <c r="K35" s="152"/>
      <c r="L35" s="152"/>
      <c r="M35" s="152"/>
      <c r="N35" s="152"/>
      <c r="O35" s="151"/>
      <c r="P35" s="152"/>
      <c r="R35" s="152"/>
      <c r="S35" s="152"/>
      <c r="T35" s="152"/>
      <c r="U35" s="152"/>
      <c r="V35" s="152"/>
      <c r="W35" s="151"/>
      <c r="X35" s="152"/>
      <c r="Z35" s="152"/>
      <c r="AA35" s="152"/>
      <c r="AB35" s="152"/>
      <c r="AC35" s="152"/>
      <c r="AD35" s="152"/>
      <c r="AE35" s="151"/>
      <c r="AF35" s="152"/>
      <c r="AH35" s="152"/>
      <c r="AI35" s="152"/>
      <c r="AJ35" s="152"/>
      <c r="AK35" s="152"/>
      <c r="AL35" s="152"/>
      <c r="AM35" s="151"/>
      <c r="AN35" s="152"/>
    </row>
    <row r="36" spans="2:40" x14ac:dyDescent="0.2">
      <c r="B36" s="148"/>
      <c r="C36" s="148"/>
      <c r="D36" s="148"/>
      <c r="E36" s="149"/>
      <c r="F36" s="150"/>
      <c r="G36" s="151"/>
      <c r="H36" s="153"/>
      <c r="I36" s="30"/>
      <c r="J36" s="152"/>
      <c r="K36" s="152"/>
      <c r="L36" s="152"/>
      <c r="M36" s="152"/>
      <c r="N36" s="152"/>
      <c r="O36" s="151"/>
      <c r="P36" s="152"/>
      <c r="R36" s="152"/>
      <c r="S36" s="152"/>
      <c r="T36" s="152"/>
      <c r="U36" s="152"/>
      <c r="V36" s="152"/>
      <c r="W36" s="151"/>
      <c r="X36" s="152"/>
      <c r="Z36" s="152"/>
      <c r="AA36" s="152"/>
      <c r="AB36" s="152"/>
      <c r="AC36" s="152"/>
      <c r="AD36" s="152"/>
      <c r="AE36" s="151"/>
      <c r="AF36" s="152"/>
      <c r="AH36" s="152"/>
      <c r="AI36" s="152"/>
      <c r="AJ36" s="152"/>
      <c r="AK36" s="152"/>
      <c r="AL36" s="152"/>
      <c r="AM36" s="151"/>
      <c r="AN36" s="152"/>
    </row>
    <row r="37" spans="2:40" x14ac:dyDescent="0.2">
      <c r="B37" s="148"/>
      <c r="C37" s="148"/>
      <c r="D37" s="148"/>
      <c r="E37" s="149"/>
      <c r="F37" s="150"/>
      <c r="G37" s="151"/>
      <c r="H37" s="153"/>
      <c r="I37" s="30"/>
      <c r="J37" s="152"/>
      <c r="K37" s="152"/>
      <c r="L37" s="152"/>
      <c r="M37" s="152"/>
      <c r="N37" s="152"/>
      <c r="O37" s="151"/>
      <c r="P37" s="152"/>
      <c r="R37" s="152"/>
      <c r="S37" s="152"/>
      <c r="T37" s="152"/>
      <c r="U37" s="152"/>
      <c r="V37" s="152"/>
      <c r="W37" s="151"/>
      <c r="X37" s="152"/>
      <c r="Z37" s="152"/>
      <c r="AA37" s="152"/>
      <c r="AB37" s="152"/>
      <c r="AC37" s="152"/>
      <c r="AD37" s="152"/>
      <c r="AE37" s="151"/>
      <c r="AF37" s="152"/>
      <c r="AH37" s="152"/>
      <c r="AI37" s="152"/>
      <c r="AJ37" s="152"/>
      <c r="AK37" s="152"/>
      <c r="AL37" s="152"/>
      <c r="AM37" s="151"/>
      <c r="AN37" s="152"/>
    </row>
    <row r="38" spans="2:40" ht="15" x14ac:dyDescent="0.2">
      <c r="B38" s="861" t="s">
        <v>176</v>
      </c>
      <c r="C38" s="861"/>
      <c r="D38" s="861"/>
      <c r="E38" s="861"/>
      <c r="F38" s="861"/>
      <c r="G38" s="861"/>
      <c r="H38" s="861"/>
      <c r="I38" s="82"/>
      <c r="J38" s="861" t="s">
        <v>176</v>
      </c>
      <c r="K38" s="861"/>
      <c r="L38" s="861"/>
      <c r="M38" s="861"/>
      <c r="N38" s="861"/>
      <c r="O38" s="861"/>
      <c r="P38" s="861"/>
      <c r="Q38" s="82"/>
      <c r="R38" s="861" t="s">
        <v>176</v>
      </c>
      <c r="S38" s="861"/>
      <c r="T38" s="861"/>
      <c r="U38" s="861"/>
      <c r="V38" s="861"/>
      <c r="W38" s="861"/>
      <c r="X38" s="861"/>
      <c r="Z38" s="861" t="s">
        <v>176</v>
      </c>
      <c r="AA38" s="861"/>
      <c r="AB38" s="861"/>
      <c r="AC38" s="861"/>
      <c r="AD38" s="861"/>
      <c r="AE38" s="861"/>
      <c r="AF38" s="861"/>
      <c r="AH38" s="861" t="s">
        <v>176</v>
      </c>
      <c r="AI38" s="861"/>
      <c r="AJ38" s="861"/>
      <c r="AK38" s="861"/>
      <c r="AL38" s="861"/>
      <c r="AM38" s="861"/>
      <c r="AN38" s="861"/>
    </row>
    <row r="39" spans="2:40" ht="13.5" thickBot="1" x14ac:dyDescent="0.25">
      <c r="B39" s="79"/>
      <c r="C39" s="80"/>
      <c r="D39" s="80"/>
      <c r="E39" s="80"/>
      <c r="F39" s="80"/>
      <c r="G39" s="80"/>
      <c r="H39" s="82"/>
      <c r="I39" s="82"/>
      <c r="J39" s="79"/>
      <c r="K39" s="80"/>
      <c r="L39" s="80"/>
      <c r="M39" s="80"/>
      <c r="N39" s="80"/>
      <c r="O39" s="80"/>
      <c r="P39" s="82"/>
      <c r="Q39" s="82"/>
      <c r="R39" s="79"/>
      <c r="S39" s="80"/>
      <c r="T39" s="80"/>
      <c r="U39" s="80"/>
      <c r="V39" s="80"/>
      <c r="W39" s="80"/>
      <c r="X39" s="82"/>
      <c r="Z39" s="79"/>
      <c r="AA39" s="80"/>
      <c r="AB39" s="80"/>
      <c r="AC39" s="80"/>
      <c r="AD39" s="80"/>
      <c r="AE39" s="80"/>
      <c r="AF39" s="82"/>
      <c r="AH39" s="79"/>
      <c r="AI39" s="80"/>
      <c r="AJ39" s="80"/>
      <c r="AK39" s="80"/>
      <c r="AL39" s="80"/>
      <c r="AM39" s="80"/>
      <c r="AN39" s="82"/>
    </row>
    <row r="40" spans="2:40" ht="14.25" customHeight="1" thickBot="1" x14ac:dyDescent="0.25">
      <c r="B40" s="858" t="str">
        <f>B19</f>
        <v>Residential</v>
      </c>
      <c r="C40" s="859"/>
      <c r="D40" s="859"/>
      <c r="E40" s="859"/>
      <c r="F40" s="859"/>
      <c r="G40" s="859"/>
      <c r="H40" s="860"/>
      <c r="I40" s="145"/>
      <c r="J40" s="858" t="str">
        <f>J19</f>
        <v>General Service &lt; 50 kW</v>
      </c>
      <c r="K40" s="859"/>
      <c r="L40" s="859"/>
      <c r="M40" s="859"/>
      <c r="N40" s="859"/>
      <c r="O40" s="859"/>
      <c r="P40" s="860"/>
      <c r="Q40" s="145"/>
      <c r="R40" s="858" t="str">
        <f>R19</f>
        <v>General Service &gt; 50 kW - 4999 kW</v>
      </c>
      <c r="S40" s="859"/>
      <c r="T40" s="859"/>
      <c r="U40" s="859"/>
      <c r="V40" s="859"/>
      <c r="W40" s="859"/>
      <c r="X40" s="860"/>
      <c r="Z40" s="858">
        <f>Z19</f>
        <v>0</v>
      </c>
      <c r="AA40" s="859"/>
      <c r="AB40" s="859"/>
      <c r="AC40" s="859"/>
      <c r="AD40" s="859"/>
      <c r="AE40" s="859"/>
      <c r="AF40" s="860"/>
      <c r="AH40" s="858">
        <f>AH19</f>
        <v>0</v>
      </c>
      <c r="AI40" s="859"/>
      <c r="AJ40" s="859"/>
      <c r="AK40" s="859"/>
      <c r="AL40" s="859"/>
      <c r="AM40" s="859"/>
      <c r="AN40" s="860"/>
    </row>
    <row r="41" spans="2:40" ht="42" customHeight="1" x14ac:dyDescent="0.2">
      <c r="B41" s="69" t="s">
        <v>33</v>
      </c>
      <c r="C41" s="282" t="s">
        <v>40</v>
      </c>
      <c r="D41" s="851" t="s">
        <v>160</v>
      </c>
      <c r="E41" s="851"/>
      <c r="F41" s="853" t="s">
        <v>39</v>
      </c>
      <c r="G41" s="854"/>
      <c r="H41" s="81" t="s">
        <v>16</v>
      </c>
      <c r="I41" s="146"/>
      <c r="J41" s="69" t="s">
        <v>33</v>
      </c>
      <c r="K41" s="282" t="s">
        <v>40</v>
      </c>
      <c r="L41" s="851" t="s">
        <v>160</v>
      </c>
      <c r="M41" s="851"/>
      <c r="N41" s="847" t="s">
        <v>39</v>
      </c>
      <c r="O41" s="848"/>
      <c r="P41" s="81" t="s">
        <v>16</v>
      </c>
      <c r="Q41" s="146"/>
      <c r="R41" s="69" t="s">
        <v>33</v>
      </c>
      <c r="S41" s="282" t="s">
        <v>40</v>
      </c>
      <c r="T41" s="851" t="s">
        <v>160</v>
      </c>
      <c r="U41" s="851"/>
      <c r="V41" s="847" t="s">
        <v>39</v>
      </c>
      <c r="W41" s="848"/>
      <c r="X41" s="81" t="s">
        <v>16</v>
      </c>
      <c r="Z41" s="69" t="s">
        <v>33</v>
      </c>
      <c r="AA41" s="282" t="s">
        <v>40</v>
      </c>
      <c r="AB41" s="851" t="s">
        <v>160</v>
      </c>
      <c r="AC41" s="851"/>
      <c r="AD41" s="847" t="s">
        <v>39</v>
      </c>
      <c r="AE41" s="848"/>
      <c r="AF41" s="81" t="s">
        <v>16</v>
      </c>
      <c r="AH41" s="358" t="s">
        <v>33</v>
      </c>
      <c r="AI41" s="359" t="s">
        <v>40</v>
      </c>
      <c r="AJ41" s="863" t="s">
        <v>160</v>
      </c>
      <c r="AK41" s="863"/>
      <c r="AL41" s="864" t="s">
        <v>39</v>
      </c>
      <c r="AM41" s="865"/>
      <c r="AN41" s="338" t="s">
        <v>16</v>
      </c>
    </row>
    <row r="42" spans="2:40" x14ac:dyDescent="0.2">
      <c r="B42" s="181" t="str">
        <f>B31</f>
        <v>2015</v>
      </c>
      <c r="C42" s="70">
        <v>0</v>
      </c>
      <c r="D42" s="852">
        <f>IF(F30&gt;0,+H31,0)</f>
        <v>8429.7467157182818</v>
      </c>
      <c r="E42" s="852"/>
      <c r="F42" s="849">
        <f>IF(+$G$16="yes",+C42*D42,0)</f>
        <v>0</v>
      </c>
      <c r="G42" s="850"/>
      <c r="H42" s="83">
        <f>G31+F42</f>
        <v>78438793.189758614</v>
      </c>
      <c r="I42" s="147"/>
      <c r="J42" s="181" t="str">
        <f>B42</f>
        <v>2015</v>
      </c>
      <c r="K42" s="70">
        <v>0</v>
      </c>
      <c r="L42" s="852">
        <f>IF(N30&gt;0,+P31,0)</f>
        <v>26520.327445305607</v>
      </c>
      <c r="M42" s="852"/>
      <c r="N42" s="849">
        <f>IF(+$G$16="yes",+K42*L42,0)</f>
        <v>0</v>
      </c>
      <c r="O42" s="850"/>
      <c r="P42" s="83">
        <f>O31+N42</f>
        <v>34953791.57291279</v>
      </c>
      <c r="Q42" s="147"/>
      <c r="R42" s="181" t="str">
        <f>B42</f>
        <v>2015</v>
      </c>
      <c r="S42" s="70">
        <v>0</v>
      </c>
      <c r="T42" s="852">
        <f>IF(V30&gt;0,+X31,0)</f>
        <v>517481.10089059058</v>
      </c>
      <c r="U42" s="852"/>
      <c r="V42" s="849">
        <f>IF(+$G$16="yes",+S42*T42,0)</f>
        <v>0</v>
      </c>
      <c r="W42" s="850"/>
      <c r="X42" s="83">
        <f>W31+V42</f>
        <v>75810981.280471519</v>
      </c>
      <c r="Z42" s="181" t="str">
        <f>J42</f>
        <v>2015</v>
      </c>
      <c r="AA42" s="70">
        <f>IF($Z$19='2. Customer Classes'!$B$14,+('4. Customer Growth'!$C$42-'4. Customer Growth'!$C$26),+IF($Z$19='2. Customer Classes'!$B$15,+('4. Customer Growth'!$E$42-'4. Customer Growth'!$E$26),+IF($Z$19='2. Customer Classes'!$B$16,+('4. Customer Growth'!$G$42-'4. Customer Growth'!$G$26),+IF($Z$19='2. Customer Classes'!$B$17,+('4. Customer Growth'!$I$42-'4. Customer Growth'!$I$26),+IF($Z$19='2. Customer Classes'!$B$18,+('4. Customer Growth'!$K$42-'4. Customer Growth'!$K$26),+IF($Z$19='2. Customer Classes'!$B$19,+('4. Customer Growth'!$M$42-'4. Customer Growth'!$M$26),IF($Z$19='2. Customer Classes'!$B$20,+('4. Customer Growth'!$O$42-'4. Customer Growth'!$O$26),0)))))))</f>
        <v>0</v>
      </c>
      <c r="AB42" s="852">
        <f>IF(AD30&gt;0,+AF31,0)</f>
        <v>0</v>
      </c>
      <c r="AC42" s="852"/>
      <c r="AD42" s="849">
        <f>IF(+$G$16="yes",+AA42*AB42,0)</f>
        <v>0</v>
      </c>
      <c r="AE42" s="850"/>
      <c r="AF42" s="83">
        <f>AE31+AD42</f>
        <v>0</v>
      </c>
      <c r="AH42" s="181" t="str">
        <f>R42</f>
        <v>2015</v>
      </c>
      <c r="AI42" s="70">
        <f>IF($AH$19='2. Customer Classes'!$B$14,+('4. Customer Growth'!$C$42-'4. Customer Growth'!$C$26),+IF($AH$19='2. Customer Classes'!$B$15,+('4. Customer Growth'!$E$42-'4. Customer Growth'!$E$26),+IF($AH$19='2. Customer Classes'!$B$16,+('4. Customer Growth'!$G$42-'4. Customer Growth'!$G$26),+IF($AH$19='2. Customer Classes'!$B$17,+('4. Customer Growth'!$I$42-'4. Customer Growth'!$I$26),+IF($AH$19='2. Customer Classes'!$B$18,+('4. Customer Growth'!$K$42-'4. Customer Growth'!$K$26),+IF($AH$19='2. Customer Classes'!$B$19,+('4. Customer Growth'!$M$42-'4. Customer Growth'!$M$26),IF($AH$19='2. Customer Classes'!$B$20,+('4. Customer Growth'!$O$42-'4. Customer Growth'!$O$26),0)))))))</f>
        <v>0</v>
      </c>
      <c r="AJ42" s="852">
        <f>IF(AL30&gt;0,+AN31,0)</f>
        <v>0</v>
      </c>
      <c r="AK42" s="852"/>
      <c r="AL42" s="849">
        <f>IF(+$G$16="yes",+AI42*AJ42,0)</f>
        <v>0</v>
      </c>
      <c r="AM42" s="850"/>
      <c r="AN42" s="83">
        <f>AM31+AL42</f>
        <v>0</v>
      </c>
    </row>
    <row r="43" spans="2:40" ht="13.5" thickBot="1" x14ac:dyDescent="0.25">
      <c r="B43" s="308" t="str">
        <f>B32</f>
        <v>2016</v>
      </c>
      <c r="C43" s="309">
        <v>0</v>
      </c>
      <c r="D43" s="844">
        <f>IF(F30&gt;0,+H32,0)</f>
        <v>8411.4662147436011</v>
      </c>
      <c r="E43" s="844"/>
      <c r="F43" s="845">
        <f>IF(+$G$16="yes",+C43*D43,0)</f>
        <v>0</v>
      </c>
      <c r="G43" s="846"/>
      <c r="H43" s="84">
        <f>G32+F43</f>
        <v>78268693.128189206</v>
      </c>
      <c r="I43" s="147"/>
      <c r="J43" s="308" t="str">
        <f>B43</f>
        <v>2016</v>
      </c>
      <c r="K43" s="309">
        <v>0</v>
      </c>
      <c r="L43" s="844">
        <f>IF(N30&gt;0,+P32,0)</f>
        <v>26462.816242648856</v>
      </c>
      <c r="M43" s="844"/>
      <c r="N43" s="845">
        <f>IF(+$G$16="yes",+K43*L43,0)</f>
        <v>0</v>
      </c>
      <c r="O43" s="846"/>
      <c r="P43" s="84">
        <f>O32+N43</f>
        <v>34877991.807811193</v>
      </c>
      <c r="Q43" s="147"/>
      <c r="R43" s="308" t="str">
        <f>B43</f>
        <v>2016</v>
      </c>
      <c r="S43" s="309">
        <v>0</v>
      </c>
      <c r="T43" s="844">
        <f>IF(V30&gt;0,+X32,0)</f>
        <v>516358.90658413887</v>
      </c>
      <c r="U43" s="844"/>
      <c r="V43" s="845">
        <f>IF(+$G$16="yes",+S43*T43,0)</f>
        <v>0</v>
      </c>
      <c r="W43" s="846"/>
      <c r="X43" s="84">
        <f>W32+V43</f>
        <v>75646579.814576343</v>
      </c>
      <c r="Z43" s="308" t="str">
        <f>J43</f>
        <v>2016</v>
      </c>
      <c r="AA43" s="309">
        <f>IF($Z$19='2. Customer Classes'!$B$14,+('4. Customer Growth'!$C$43-'4. Customer Growth'!$C$26),+IF($Z$19='2. Customer Classes'!$B$15,+('4. Customer Growth'!$E$43-'4. Customer Growth'!$E$26),+IF($Z$19='2. Customer Classes'!$B$16,+('4. Customer Growth'!$G$43-'4. Customer Growth'!$G$26),+IF($Z$19='2. Customer Classes'!$B$17,+('4. Customer Growth'!$I$43-'4. Customer Growth'!$I$26),+IF($Z$19='2. Customer Classes'!$B$18,+('4. Customer Growth'!$K$43-'4. Customer Growth'!$K$26),+IF($Z$19='2. Customer Classes'!$B$19,+('4. Customer Growth'!$M$43-'4. Customer Growth'!$M$26),IF($Z$19='2. Customer Classes'!$B$20,+('4. Customer Growth'!$O$43-'4. Customer Growth'!$O$26),0)))))))</f>
        <v>0</v>
      </c>
      <c r="AB43" s="844">
        <f>IF(AD30&gt;0,+AF32,0)</f>
        <v>0</v>
      </c>
      <c r="AC43" s="844"/>
      <c r="AD43" s="845">
        <f>IF(+$G$16="yes",+AA43*AB43,0)</f>
        <v>0</v>
      </c>
      <c r="AE43" s="846"/>
      <c r="AF43" s="84">
        <f>AE32+AD43</f>
        <v>0</v>
      </c>
      <c r="AG43" s="310"/>
      <c r="AH43" s="308" t="str">
        <f>R43</f>
        <v>2016</v>
      </c>
      <c r="AI43" s="309">
        <f>IF($AH$19='2. Customer Classes'!$B$14,+('4. Customer Growth'!$C$43-'4. Customer Growth'!$C$26),+IF($AH$19='2. Customer Classes'!$B$15,+('4. Customer Growth'!$E$43-'4. Customer Growth'!$E$26),+IF($AH$19='2. Customer Classes'!$B$16,+('4. Customer Growth'!$G$43-'4. Customer Growth'!$G$26),+IF($AH$19='2. Customer Classes'!$B$17,+('4. Customer Growth'!$I$43-'4. Customer Growth'!$I$26),+IF($AH$19='2. Customer Classes'!$B$18,+('4. Customer Growth'!$K$43-'4. Customer Growth'!$K$26),+IF($AH$19='2. Customer Classes'!$B$19,+('4. Customer Growth'!$M$43-'4. Customer Growth'!$M$26),IF($AH$19='2. Customer Classes'!$B$20,+('4. Customer Growth'!$O$43-'4. Customer Growth'!$O$26),0)))))))</f>
        <v>0</v>
      </c>
      <c r="AJ43" s="844">
        <f>IF(AL30&gt;0,+AN32,0)</f>
        <v>0</v>
      </c>
      <c r="AK43" s="844"/>
      <c r="AL43" s="845">
        <f>IF(+$G$16="yes",+AI43*AJ43,0)</f>
        <v>0</v>
      </c>
      <c r="AM43" s="846"/>
      <c r="AN43" s="84">
        <f>AM32+AL43</f>
        <v>0</v>
      </c>
    </row>
    <row r="44" spans="2:40" x14ac:dyDescent="0.2">
      <c r="B44" s="1"/>
      <c r="C44" s="1"/>
      <c r="D44" s="1"/>
      <c r="E44" s="1"/>
      <c r="F44" s="1"/>
      <c r="G44" s="1"/>
    </row>
    <row r="46" spans="2:40" x14ac:dyDescent="0.2">
      <c r="X46" s="277"/>
    </row>
    <row r="47" spans="2:40" x14ac:dyDescent="0.2">
      <c r="G47" s="238"/>
    </row>
    <row r="54" spans="2:3" x14ac:dyDescent="0.2">
      <c r="B54" s="843" t="s">
        <v>177</v>
      </c>
      <c r="C54" s="843"/>
    </row>
    <row r="55" spans="2:3" x14ac:dyDescent="0.2">
      <c r="B55" s="567" t="s">
        <v>178</v>
      </c>
      <c r="C55" s="568"/>
    </row>
    <row r="56" spans="2:3" x14ac:dyDescent="0.2">
      <c r="B56" s="567" t="s">
        <v>179</v>
      </c>
      <c r="C56" s="568"/>
    </row>
  </sheetData>
  <mergeCells count="51">
    <mergeCell ref="AH19:AN19"/>
    <mergeCell ref="AH33:AN33"/>
    <mergeCell ref="AH38:AN38"/>
    <mergeCell ref="AH40:AN40"/>
    <mergeCell ref="AJ41:AK41"/>
    <mergeCell ref="AL41:AM41"/>
    <mergeCell ref="AB42:AC42"/>
    <mergeCell ref="AD42:AE42"/>
    <mergeCell ref="AJ42:AK42"/>
    <mergeCell ref="AL42:AM42"/>
    <mergeCell ref="AB43:AC43"/>
    <mergeCell ref="AD43:AE43"/>
    <mergeCell ref="AJ43:AK43"/>
    <mergeCell ref="AL43:AM43"/>
    <mergeCell ref="Z19:AF19"/>
    <mergeCell ref="Z33:AF33"/>
    <mergeCell ref="Z38:AF38"/>
    <mergeCell ref="Z40:AF40"/>
    <mergeCell ref="AB41:AC41"/>
    <mergeCell ref="AD41:AE41"/>
    <mergeCell ref="F42:G42"/>
    <mergeCell ref="D41:E41"/>
    <mergeCell ref="D42:E42"/>
    <mergeCell ref="J19:P19"/>
    <mergeCell ref="R19:X19"/>
    <mergeCell ref="B19:H19"/>
    <mergeCell ref="B40:H40"/>
    <mergeCell ref="J40:P40"/>
    <mergeCell ref="R40:X40"/>
    <mergeCell ref="B38:H38"/>
    <mergeCell ref="J38:P38"/>
    <mergeCell ref="R38:X38"/>
    <mergeCell ref="B33:H33"/>
    <mergeCell ref="J33:P33"/>
    <mergeCell ref="R33:X33"/>
    <mergeCell ref="B54:C54"/>
    <mergeCell ref="T43:U43"/>
    <mergeCell ref="V43:W43"/>
    <mergeCell ref="F43:G43"/>
    <mergeCell ref="N41:O41"/>
    <mergeCell ref="N42:O42"/>
    <mergeCell ref="N43:O43"/>
    <mergeCell ref="T41:U41"/>
    <mergeCell ref="V41:W41"/>
    <mergeCell ref="T42:U42"/>
    <mergeCell ref="V42:W42"/>
    <mergeCell ref="D43:E43"/>
    <mergeCell ref="L41:M41"/>
    <mergeCell ref="L42:M42"/>
    <mergeCell ref="L43:M43"/>
    <mergeCell ref="F41:G41"/>
  </mergeCells>
  <pageMargins left="0.7" right="0.7" top="0.75" bottom="0.75" header="0.3" footer="0.3"/>
  <pageSetup scale="44" orientation="landscape" horizontalDpi="4294967293"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'2. Customer Classes'!$B$14:$B$21</xm:f>
          </x14:formula1>
          <xm:sqref>B19:H19 J19:P19 R19:X19 Z19:AF19 AH19:AN19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8"/>
  <sheetViews>
    <sheetView showGridLines="0" tabSelected="1" topLeftCell="A10" workbookViewId="0">
      <selection activeCell="G32" sqref="G32"/>
    </sheetView>
  </sheetViews>
  <sheetFormatPr defaultColWidth="11.1640625" defaultRowHeight="12.75" x14ac:dyDescent="0.2"/>
  <cols>
    <col min="1" max="1" width="13.6640625" style="1" customWidth="1"/>
    <col min="2" max="6" width="15.1640625" style="58" customWidth="1"/>
    <col min="7" max="7" width="17" style="58" customWidth="1"/>
    <col min="8" max="8" width="16.6640625" style="58" customWidth="1"/>
    <col min="9" max="9" width="17.83203125" style="58" customWidth="1"/>
    <col min="10" max="10" width="16.1640625" style="58" customWidth="1"/>
    <col min="11" max="12" width="4.33203125" style="58" customWidth="1"/>
    <col min="13" max="15" width="15.1640625" style="145" customWidth="1"/>
    <col min="16" max="16" width="15.1640625" style="58" customWidth="1"/>
    <col min="17" max="21" width="15.1640625" style="1" customWidth="1"/>
    <col min="22" max="22" width="4.33203125" style="1" customWidth="1"/>
    <col min="23" max="29" width="15.1640625" style="1" customWidth="1"/>
    <col min="30" max="30" width="13.83203125" style="64" customWidth="1"/>
    <col min="31" max="31" width="13.83203125" style="1" customWidth="1"/>
    <col min="32" max="32" width="2.33203125" style="1" customWidth="1"/>
    <col min="33" max="40" width="15.1640625" style="1" customWidth="1"/>
    <col min="41" max="41" width="20.33203125" style="1" customWidth="1"/>
    <col min="42" max="42" width="3.33203125" style="1" customWidth="1"/>
    <col min="43" max="51" width="15.1640625" style="1" customWidth="1"/>
    <col min="52" max="16384" width="11.1640625" style="1"/>
  </cols>
  <sheetData>
    <row r="1" spans="1:30" s="536" customFormat="1" x14ac:dyDescent="0.2">
      <c r="A1" s="758" t="s">
        <v>272</v>
      </c>
      <c r="B1" s="58"/>
      <c r="C1" s="58"/>
      <c r="D1" s="58"/>
      <c r="E1" s="58"/>
      <c r="F1" s="58"/>
      <c r="G1" s="58"/>
      <c r="H1" s="58"/>
      <c r="I1" s="58"/>
      <c r="J1" s="58"/>
      <c r="K1" s="58"/>
      <c r="L1" s="58"/>
      <c r="M1" s="145"/>
      <c r="N1" s="145"/>
      <c r="O1" s="145"/>
      <c r="P1" s="58"/>
      <c r="AD1" s="64"/>
    </row>
    <row r="2" spans="1:30" s="536" customFormat="1" x14ac:dyDescent="0.2">
      <c r="B2" s="58"/>
      <c r="C2" s="58"/>
      <c r="D2" s="58"/>
      <c r="E2" s="58"/>
      <c r="F2" s="58"/>
      <c r="G2" s="58"/>
      <c r="H2" s="58"/>
      <c r="I2" s="58"/>
      <c r="J2" s="58"/>
      <c r="K2" s="58"/>
      <c r="L2" s="58"/>
      <c r="M2" s="145"/>
      <c r="N2" s="145"/>
      <c r="O2" s="145"/>
      <c r="P2" s="58"/>
      <c r="AD2" s="64"/>
    </row>
    <row r="3" spans="1:30" s="536" customFormat="1" x14ac:dyDescent="0.2">
      <c r="B3" s="58"/>
      <c r="C3" s="58"/>
      <c r="D3" s="58"/>
      <c r="E3" s="58"/>
      <c r="F3" s="58"/>
      <c r="G3" s="58"/>
      <c r="H3" s="58"/>
      <c r="I3" s="58"/>
      <c r="J3" s="58"/>
      <c r="K3" s="58"/>
      <c r="L3" s="58"/>
      <c r="M3" s="145"/>
      <c r="N3" s="145"/>
      <c r="O3" s="145"/>
      <c r="P3" s="58"/>
      <c r="AD3" s="64"/>
    </row>
    <row r="4" spans="1:30" s="536" customFormat="1" x14ac:dyDescent="0.2">
      <c r="B4" s="58"/>
      <c r="C4" s="58"/>
      <c r="D4" s="58"/>
      <c r="E4" s="58"/>
      <c r="F4" s="58"/>
      <c r="G4" s="58"/>
      <c r="H4" s="58"/>
      <c r="I4" s="58"/>
      <c r="J4" s="58"/>
      <c r="K4" s="58"/>
      <c r="L4" s="58"/>
      <c r="M4" s="145"/>
      <c r="N4" s="145"/>
      <c r="O4" s="145"/>
      <c r="P4" s="58"/>
      <c r="AD4" s="64"/>
    </row>
    <row r="5" spans="1:30" s="536" customFormat="1" x14ac:dyDescent="0.2">
      <c r="B5" s="58"/>
      <c r="C5" s="58"/>
      <c r="D5" s="58"/>
      <c r="E5" s="58"/>
      <c r="F5" s="58"/>
      <c r="G5" s="58"/>
      <c r="H5" s="58"/>
      <c r="I5" s="58"/>
      <c r="J5" s="58"/>
      <c r="K5" s="58"/>
      <c r="L5" s="58"/>
      <c r="M5" s="145"/>
      <c r="N5" s="145"/>
      <c r="O5" s="145"/>
      <c r="P5" s="58"/>
      <c r="AD5" s="64"/>
    </row>
    <row r="6" spans="1:30" s="536" customFormat="1" x14ac:dyDescent="0.2">
      <c r="B6" s="58"/>
      <c r="C6" s="58"/>
      <c r="D6" s="58"/>
      <c r="E6" s="58"/>
      <c r="F6" s="58"/>
      <c r="G6" s="58"/>
      <c r="H6" s="58"/>
      <c r="I6" s="58"/>
      <c r="J6" s="58"/>
      <c r="K6" s="58"/>
      <c r="L6" s="58"/>
      <c r="M6" s="145"/>
      <c r="N6" s="145"/>
      <c r="O6" s="145"/>
      <c r="P6" s="58"/>
      <c r="AD6" s="64"/>
    </row>
    <row r="7" spans="1:30" s="536" customFormat="1" x14ac:dyDescent="0.2">
      <c r="B7" s="58"/>
      <c r="C7" s="58"/>
      <c r="D7" s="58"/>
      <c r="E7" s="58"/>
      <c r="F7" s="58"/>
      <c r="G7" s="58"/>
      <c r="H7" s="58"/>
      <c r="I7" s="58"/>
      <c r="J7" s="58"/>
      <c r="K7" s="58"/>
      <c r="L7" s="58"/>
      <c r="M7" s="145"/>
      <c r="N7" s="145"/>
      <c r="O7" s="145"/>
      <c r="P7" s="58"/>
      <c r="AD7" s="64"/>
    </row>
    <row r="8" spans="1:30" s="536" customFormat="1" x14ac:dyDescent="0.2">
      <c r="B8" s="58"/>
      <c r="C8" s="58"/>
      <c r="D8" s="58"/>
      <c r="E8" s="58"/>
      <c r="F8" s="58"/>
      <c r="G8" s="58"/>
      <c r="H8" s="58"/>
      <c r="I8" s="58"/>
      <c r="J8" s="58"/>
      <c r="K8" s="58"/>
      <c r="L8" s="58"/>
      <c r="M8" s="145"/>
      <c r="N8" s="145"/>
      <c r="O8" s="145"/>
      <c r="P8" s="58"/>
      <c r="AD8" s="64"/>
    </row>
    <row r="9" spans="1:30" s="536" customFormat="1" x14ac:dyDescent="0.2">
      <c r="B9" s="58"/>
      <c r="C9" s="58"/>
      <c r="D9" s="58"/>
      <c r="E9" s="58"/>
      <c r="F9" s="58"/>
      <c r="G9" s="58"/>
      <c r="H9" s="58"/>
      <c r="I9" s="58"/>
      <c r="J9" s="58"/>
      <c r="K9" s="58"/>
      <c r="L9" s="58"/>
      <c r="M9" s="145"/>
      <c r="N9" s="145"/>
      <c r="O9" s="145"/>
      <c r="P9" s="58"/>
      <c r="AD9" s="64"/>
    </row>
    <row r="11" spans="1:30" ht="23.25" x14ac:dyDescent="0.2">
      <c r="B11" s="133" t="s">
        <v>100</v>
      </c>
      <c r="C11" s="133"/>
      <c r="D11" s="133"/>
      <c r="Z11" s="64"/>
      <c r="AD11" s="1"/>
    </row>
    <row r="12" spans="1:30" ht="15" customHeight="1" x14ac:dyDescent="0.2">
      <c r="B12" s="63" t="s">
        <v>64</v>
      </c>
      <c r="C12" s="133"/>
      <c r="D12" s="133"/>
    </row>
    <row r="13" spans="1:30" ht="15" customHeight="1" x14ac:dyDescent="0.2">
      <c r="B13" s="100" t="s">
        <v>258</v>
      </c>
      <c r="C13" s="133"/>
      <c r="D13" s="133"/>
    </row>
    <row r="14" spans="1:30" ht="15" customHeight="1" x14ac:dyDescent="0.2">
      <c r="B14" s="100" t="s">
        <v>259</v>
      </c>
      <c r="C14" s="133"/>
      <c r="D14" s="133"/>
    </row>
    <row r="15" spans="1:30" ht="15" customHeight="1" x14ac:dyDescent="0.2">
      <c r="B15" s="100" t="s">
        <v>260</v>
      </c>
      <c r="C15" s="133"/>
      <c r="D15" s="133"/>
    </row>
    <row r="16" spans="1:30" ht="14.25" x14ac:dyDescent="0.2">
      <c r="B16" s="100" t="s">
        <v>261</v>
      </c>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0"/>
      <c r="AD16" s="30"/>
    </row>
    <row r="17" spans="2:51" s="536" customFormat="1" ht="15" thickBot="1" x14ac:dyDescent="0.25">
      <c r="B17" s="100"/>
      <c r="C17" s="537"/>
      <c r="D17" s="537"/>
      <c r="E17" s="537"/>
      <c r="F17" s="537"/>
      <c r="G17" s="537"/>
      <c r="H17" s="537"/>
      <c r="I17" s="537"/>
      <c r="J17" s="537"/>
      <c r="K17" s="537"/>
      <c r="L17" s="537"/>
      <c r="M17" s="537"/>
      <c r="N17" s="537"/>
      <c r="O17" s="537"/>
      <c r="P17" s="537"/>
      <c r="Q17" s="537"/>
      <c r="R17" s="537"/>
      <c r="S17" s="537"/>
      <c r="T17" s="537"/>
      <c r="U17" s="537"/>
      <c r="V17" s="537"/>
      <c r="W17" s="537"/>
      <c r="X17" s="537"/>
      <c r="Y17" s="537"/>
      <c r="Z17" s="537"/>
      <c r="AA17" s="537"/>
      <c r="AB17" s="537"/>
      <c r="AC17" s="30"/>
      <c r="AD17" s="30"/>
    </row>
    <row r="18" spans="2:51" ht="12.75" customHeight="1" thickBot="1" x14ac:dyDescent="0.25">
      <c r="B18" s="855" t="s">
        <v>267</v>
      </c>
      <c r="C18" s="856"/>
      <c r="D18" s="856"/>
      <c r="E18" s="856"/>
      <c r="F18" s="856"/>
      <c r="G18" s="856"/>
      <c r="H18" s="856"/>
      <c r="I18" s="856"/>
      <c r="J18" s="857"/>
      <c r="K18" s="185"/>
      <c r="L18" s="185"/>
      <c r="M18" s="855" t="s">
        <v>104</v>
      </c>
      <c r="N18" s="856"/>
      <c r="O18" s="856"/>
      <c r="P18" s="856"/>
      <c r="Q18" s="856"/>
      <c r="R18" s="856"/>
      <c r="S18" s="856"/>
      <c r="T18" s="856"/>
      <c r="U18" s="857"/>
      <c r="V18" s="185"/>
      <c r="W18" s="855" t="s">
        <v>87</v>
      </c>
      <c r="X18" s="856"/>
      <c r="Y18" s="856"/>
      <c r="Z18" s="856"/>
      <c r="AA18" s="856"/>
      <c r="AB18" s="856"/>
      <c r="AC18" s="856"/>
      <c r="AD18" s="856"/>
      <c r="AE18" s="857"/>
      <c r="AG18" s="855" t="s">
        <v>105</v>
      </c>
      <c r="AH18" s="856"/>
      <c r="AI18" s="856"/>
      <c r="AJ18" s="856"/>
      <c r="AK18" s="856"/>
      <c r="AL18" s="856"/>
      <c r="AM18" s="856"/>
      <c r="AN18" s="856"/>
      <c r="AO18" s="857"/>
      <c r="AQ18" s="855"/>
      <c r="AR18" s="856"/>
      <c r="AS18" s="856"/>
      <c r="AT18" s="856"/>
      <c r="AU18" s="856"/>
      <c r="AV18" s="856"/>
      <c r="AW18" s="856"/>
      <c r="AX18" s="856"/>
      <c r="AY18" s="857"/>
    </row>
    <row r="19" spans="2:51" ht="46.5" customHeight="1" x14ac:dyDescent="0.2">
      <c r="B19" s="404" t="s">
        <v>33</v>
      </c>
      <c r="C19" s="490" t="s">
        <v>36</v>
      </c>
      <c r="D19" s="490" t="s">
        <v>235</v>
      </c>
      <c r="E19" s="402" t="s">
        <v>36</v>
      </c>
      <c r="F19" s="402" t="s">
        <v>37</v>
      </c>
      <c r="G19" s="402" t="s">
        <v>183</v>
      </c>
      <c r="H19" s="402" t="s">
        <v>181</v>
      </c>
      <c r="I19" s="402" t="s">
        <v>182</v>
      </c>
      <c r="J19" s="403" t="s">
        <v>41</v>
      </c>
      <c r="K19" s="186"/>
      <c r="L19" s="186"/>
      <c r="M19" s="404" t="s">
        <v>33</v>
      </c>
      <c r="N19" s="490" t="s">
        <v>36</v>
      </c>
      <c r="O19" s="490" t="s">
        <v>235</v>
      </c>
      <c r="P19" s="402" t="s">
        <v>36</v>
      </c>
      <c r="Q19" s="402" t="s">
        <v>37</v>
      </c>
      <c r="R19" s="402" t="s">
        <v>183</v>
      </c>
      <c r="S19" s="402" t="s">
        <v>181</v>
      </c>
      <c r="T19" s="402" t="s">
        <v>182</v>
      </c>
      <c r="U19" s="403" t="s">
        <v>41</v>
      </c>
      <c r="V19" s="64"/>
      <c r="W19" s="380" t="s">
        <v>33</v>
      </c>
      <c r="X19" s="490" t="s">
        <v>36</v>
      </c>
      <c r="Y19" s="490" t="s">
        <v>235</v>
      </c>
      <c r="Z19" s="375" t="s">
        <v>36</v>
      </c>
      <c r="AA19" s="375" t="s">
        <v>37</v>
      </c>
      <c r="AB19" s="375" t="s">
        <v>183</v>
      </c>
      <c r="AC19" s="375" t="s">
        <v>181</v>
      </c>
      <c r="AD19" s="375" t="s">
        <v>182</v>
      </c>
      <c r="AE19" s="336" t="s">
        <v>41</v>
      </c>
      <c r="AG19" s="404" t="s">
        <v>33</v>
      </c>
      <c r="AH19" s="490" t="s">
        <v>36</v>
      </c>
      <c r="AI19" s="490" t="s">
        <v>235</v>
      </c>
      <c r="AJ19" s="375" t="s">
        <v>36</v>
      </c>
      <c r="AK19" s="402" t="s">
        <v>37</v>
      </c>
      <c r="AL19" s="402" t="s">
        <v>183</v>
      </c>
      <c r="AM19" s="402" t="s">
        <v>181</v>
      </c>
      <c r="AN19" s="402" t="s">
        <v>182</v>
      </c>
      <c r="AO19" s="403" t="s">
        <v>41</v>
      </c>
      <c r="AQ19" s="404" t="s">
        <v>33</v>
      </c>
      <c r="AR19" s="490" t="s">
        <v>36</v>
      </c>
      <c r="AS19" s="490" t="s">
        <v>235</v>
      </c>
      <c r="AT19" s="375" t="s">
        <v>36</v>
      </c>
      <c r="AU19" s="402" t="s">
        <v>37</v>
      </c>
      <c r="AV19" s="402" t="s">
        <v>183</v>
      </c>
      <c r="AW19" s="402" t="s">
        <v>181</v>
      </c>
      <c r="AX19" s="402" t="s">
        <v>182</v>
      </c>
      <c r="AY19" s="403" t="s">
        <v>41</v>
      </c>
    </row>
    <row r="20" spans="2:51" x14ac:dyDescent="0.2">
      <c r="B20" s="92" t="s">
        <v>30</v>
      </c>
      <c r="C20" s="491"/>
      <c r="D20" s="491"/>
      <c r="E20" s="93"/>
      <c r="F20" s="93"/>
      <c r="G20" s="330"/>
      <c r="H20" s="330"/>
      <c r="I20" s="225"/>
      <c r="J20" s="377"/>
      <c r="K20" s="146"/>
      <c r="L20" s="146"/>
      <c r="M20" s="92" t="s">
        <v>30</v>
      </c>
      <c r="N20" s="491"/>
      <c r="O20" s="491"/>
      <c r="P20" s="93"/>
      <c r="Q20" s="93"/>
      <c r="R20" s="93"/>
      <c r="S20" s="93"/>
      <c r="T20" s="93"/>
      <c r="U20" s="94"/>
      <c r="V20" s="64"/>
      <c r="W20" s="92" t="s">
        <v>30</v>
      </c>
      <c r="X20" s="491"/>
      <c r="Y20" s="491"/>
      <c r="Z20" s="93"/>
      <c r="AA20" s="93"/>
      <c r="AB20" s="93"/>
      <c r="AC20" s="93"/>
      <c r="AD20" s="93"/>
      <c r="AE20" s="242"/>
      <c r="AG20" s="92" t="s">
        <v>30</v>
      </c>
      <c r="AH20" s="491"/>
      <c r="AI20" s="491"/>
      <c r="AJ20" s="93"/>
      <c r="AK20" s="93"/>
      <c r="AL20" s="93"/>
      <c r="AM20" s="93"/>
      <c r="AN20" s="93"/>
      <c r="AO20" s="242"/>
      <c r="AQ20" s="92" t="s">
        <v>30</v>
      </c>
      <c r="AR20" s="491"/>
      <c r="AS20" s="491"/>
      <c r="AT20" s="93"/>
      <c r="AU20" s="93"/>
      <c r="AV20" s="93"/>
      <c r="AW20" s="93"/>
      <c r="AX20" s="93"/>
      <c r="AY20" s="242"/>
    </row>
    <row r="21" spans="2:51" ht="12.75" customHeight="1" x14ac:dyDescent="0.2">
      <c r="B21" s="190">
        <f>'4. Customer Growth'!B17</f>
        <v>2005</v>
      </c>
      <c r="C21" s="70">
        <f>IF($B$18='2. Customer Classes'!$B$14,+SUM('3. Consumption by Rate Class'!$D$25:$D$36),+IF($B$18='2. Customer Classes'!$B$15,+SUM('3. Consumption by Rate Class'!$F$25:$F$36),+IF($B$18='2. Customer Classes'!$B$16,+SUM('3. Consumption by Rate Class'!$H$25:$H$36),+IF($B$18='2. Customer Classes'!$B$17,+SUM('3. Consumption by Rate Class'!$J$25:$J$36),+IF($B$18='2. Customer Classes'!$B$18,+SUM('3. Consumption by Rate Class'!$L$25:$L$36),+IF($B$18='2. Customer Classes'!$B$19,+SUM('3. Consumption by Rate Class'!$O$25:$O$36),IF($B$18='2. Customer Classes'!$B$20,+SUM('3. Consumption by Rate Class'!$R$25:$R$36),0)))))))</f>
        <v>74429057</v>
      </c>
      <c r="D21" s="458"/>
      <c r="E21" s="70">
        <f>+D21+C21</f>
        <v>74429057</v>
      </c>
      <c r="F21" s="70">
        <f>+IF($B$18='2. Customer Classes'!$B$18,+SUM('3. Consumption by Rate Class'!$M$25:$M$36),+IF($B$18='2. Customer Classes'!$B$19,+SUM('3. Consumption by Rate Class'!$P$25:$P$36),IF($B$18='2. Customer Classes'!$B$20,+SUM('3. Consumption by Rate Class'!$S$25:$S$36),0)))</f>
        <v>212943</v>
      </c>
      <c r="G21" s="70">
        <f>IF($B$18='2. Customer Classes'!$B$14,+'4. Customer Growth'!$C17,+IF($B$18='2. Customer Classes'!$B$15,+'4. Customer Growth'!$E17,+IF($B$18='2. Customer Classes'!$B$16,+'4. Customer Growth'!$G17,+IF($B$18='2. Customer Classes'!$B$17,+'4. Customer Growth'!$I17,+IF($B$18='2. Customer Classes'!$B$18,+'4. Customer Growth'!$K17,+IF($B$18='2. Customer Classes'!$B$19,+'4. Customer Growth'!$M17,IF($B$18='2. Customer Classes'!$B$20,+'4. Customer Growth'!$O17,0)))))))</f>
        <v>134</v>
      </c>
      <c r="H21" s="376">
        <f>IF(F21&gt;0,+E21/G21,0)</f>
        <v>555440.72388059704</v>
      </c>
      <c r="I21" s="379">
        <f>IF(F21&gt;0,+F21/G21,0)</f>
        <v>1589.1268656716418</v>
      </c>
      <c r="J21" s="342">
        <f>IF(F21&gt;0,+F21/E21,0)</f>
        <v>2.8610197224452271E-3</v>
      </c>
      <c r="K21" s="183"/>
      <c r="L21" s="183"/>
      <c r="M21" s="190">
        <f t="shared" ref="M21:M32" si="0">B21</f>
        <v>2005</v>
      </c>
      <c r="N21" s="70">
        <f>IF($M$18='2. Customer Classes'!$B$14,+SUM('3. Consumption by Rate Class'!$D$25:$D$36),+IF($M$18='2. Customer Classes'!$B$15,+SUM('3. Consumption by Rate Class'!$F$25:$F$36),+IF($M$18='2. Customer Classes'!$B$16,+SUM('3. Consumption by Rate Class'!$H$25:$H$36),+IF($M$18='2. Customer Classes'!$B$17,+SUM('3. Consumption by Rate Class'!$J$25:$J$36),+IF($M$18='2. Customer Classes'!$B$18,+SUM('3. Consumption by Rate Class'!$L$25:$L$36),+IF($M$18='2. Customer Classes'!$B$19,+SUM('3. Consumption by Rate Class'!$O$25:$O$36),IF($M$18='2. Customer Classes'!$B$20,+SUM('3. Consumption by Rate Class'!$R$25:$R$36),0)))))))</f>
        <v>2426613</v>
      </c>
      <c r="O21" s="458"/>
      <c r="P21" s="70">
        <f>+N21+O21</f>
        <v>2426613</v>
      </c>
      <c r="Q21" s="225">
        <f>+IF($M$18='2. Customer Classes'!$B$18,+SUM('3. Consumption by Rate Class'!$M$25:$M$36),+IF($M$18='2. Customer Classes'!$B$19,+SUM('3. Consumption by Rate Class'!$P$25:$P$36),IF($M$18='2. Customer Classes'!$B$20,+SUM('3. Consumption by Rate Class'!$S$25:$S$36),0)))</f>
        <v>6774</v>
      </c>
      <c r="R21" s="225">
        <f>IF($M$18='2. Customer Classes'!$B$14,+'4. Customer Growth'!$C17,+IF($M$18='2. Customer Classes'!$B$15,+'4. Customer Growth'!$E17,+IF($M$18='2. Customer Classes'!$B$16,+'4. Customer Growth'!$G17,+IF($M$18='2. Customer Classes'!$B$17,+'4. Customer Growth'!$I17,+IF($M$18='2. Customer Classes'!$B$18,+'4. Customer Growth'!$K17,+IF($M$18='2. Customer Classes'!$B$19,+'4. Customer Growth'!$M17,IF($M$18='2. Customer Classes'!$B$20,+'4. Customer Growth'!$O17,0)))))))</f>
        <v>2604</v>
      </c>
      <c r="S21" s="376">
        <f>IF(Q21&gt;0,+P21/R21,0)</f>
        <v>931.87903225806451</v>
      </c>
      <c r="T21" s="379">
        <f>IF(Q21&gt;0,+Q21/R21,0)</f>
        <v>2.6013824884792625</v>
      </c>
      <c r="U21" s="342">
        <f>IF(Q21&gt;0,+Q21/P21,0)</f>
        <v>2.7915452525804486E-3</v>
      </c>
      <c r="V21" s="64"/>
      <c r="W21" s="190">
        <f t="shared" ref="W21:W32" si="1">B21</f>
        <v>2005</v>
      </c>
      <c r="X21" s="70">
        <f>IF($W$18='2. Customer Classes'!$B$14,+SUM('3. Consumption by Rate Class'!$D$25:$D$36),+IF($W$18='2. Customer Classes'!$B$15,+SUM('3. Consumption by Rate Class'!$F$25:$F$36),+IF($W$18='2. Customer Classes'!$B$16,+SUM('3. Consumption by Rate Class'!$H$25:$H$36),+IF($W$18='2. Customer Classes'!$B$17,+SUM('3. Consumption by Rate Class'!$J$25:$J$36),+IF($W$18='2. Customer Classes'!$B$18,+SUM('3. Consumption by Rate Class'!$L$25:$L$36),+IF($W$18='2. Customer Classes'!$B$19,+SUM('3. Consumption by Rate Class'!$O$25:$O$36),IF($W$18='2. Customer Classes'!$B$20,+SUM('3. Consumption by Rate Class'!$R$25:$R$36),0)))))))</f>
        <v>284178</v>
      </c>
      <c r="Y21" s="458"/>
      <c r="Z21" s="70">
        <f>+X21+Y21</f>
        <v>284178</v>
      </c>
      <c r="AA21" s="225">
        <f>+IF($W$18='2. Customer Classes'!$B$18,+SUM('3. Consumption by Rate Class'!$M$25:$M$36),+IF($W$18='2. Customer Classes'!$B$19,+SUM('3. Consumption by Rate Class'!$P$25:$P$36),IF($W$18='2. Customer Classes'!$B$20,+SUM('3. Consumption by Rate Class'!$S$25:$S$36),0)))</f>
        <v>783</v>
      </c>
      <c r="AB21" s="225">
        <f>IF($W$18='2. Customer Classes'!$B$14,+'4. Customer Growth'!$C17,+IF($W$18='2. Customer Classes'!$B$15,+'4. Customer Growth'!$E17,+IF($W$18='2. Customer Classes'!$B$16,+'4. Customer Growth'!$G17,+IF($W$18='2. Customer Classes'!$B$17,+'4. Customer Growth'!$I17,+IF($W$18='2. Customer Classes'!$B$18,+'4. Customer Growth'!$K17,+IF($W$18='2. Customer Classes'!$B$19,+'4. Customer Growth'!$M17,IF($W$18='2. Customer Classes'!$B$20,+'4. Customer Growth'!$O17,0)))))))</f>
        <v>250</v>
      </c>
      <c r="AC21" s="376">
        <f>IF(AA21&gt;0,+Z21/AB21,0)</f>
        <v>1136.712</v>
      </c>
      <c r="AD21" s="379">
        <f>IF(AA21&gt;0,+AA21/AB21,0)</f>
        <v>3.1320000000000001</v>
      </c>
      <c r="AE21" s="342">
        <f>IF(AA21&gt;0,+AA21/Z21,0)</f>
        <v>2.7553153305322721E-3</v>
      </c>
      <c r="AG21" s="357">
        <f>+B21</f>
        <v>2005</v>
      </c>
      <c r="AH21" s="70">
        <f>IF($AG$18='2. Customer Classes'!$B$14,+SUM('3. Consumption by Rate Class'!$D$25:$D$36),+IF($AG$18='2. Customer Classes'!$B$15,+SUM('3. Consumption by Rate Class'!$F$25:$F$36),+IF($AG$18='2. Customer Classes'!$B$16,+SUM('3. Consumption by Rate Class'!$H$25:$H$36),+IF($AG$18='2. Customer Classes'!$B$17,+SUM('3. Consumption by Rate Class'!$J$25:$J$36),+IF($AG$18='2. Customer Classes'!$B$18,+SUM('3. Consumption by Rate Class'!$L$25:$L$36),+IF($AG$18='2. Customer Classes'!$B$19,+SUM('3. Consumption by Rate Class'!$O$25:$O$36),IF($AG$18='2. Customer Classes'!$B$20,+SUM('3. Consumption by Rate Class'!$R$25:$R$36),IF($AG$18='2. Customer Classes'!$B$21,+SUM('3. Consumption by Rate Class'!$U$25:$U$36),0))))))))</f>
        <v>593390</v>
      </c>
      <c r="AI21" s="458"/>
      <c r="AJ21" s="70">
        <f>+AH21+AI21</f>
        <v>593390</v>
      </c>
      <c r="AK21" s="225">
        <f>+IF($AG$18='2. Customer Classes'!$B$18,+SUM('3. Consumption by Rate Class'!$M$25:$M$36),+IF($AG$18='2. Customer Classes'!$B$19,+SUM('3. Consumption by Rate Class'!$P$25:$P$36),IF($AG$18='2. Customer Classes'!$B$20,+SUM('3. Consumption by Rate Class'!$S$25:$S$36),IF($AG$18='2. Customer Classes'!$B$21,+SUM('3. Consumption by Rate Class'!$V$25:$V$36),0))))</f>
        <v>0</v>
      </c>
      <c r="AL21" s="225">
        <f>IF($AG$18='2. Customer Classes'!$B$14,+'4. Customer Growth'!$C17,+IF($AG$18='2. Customer Classes'!$B$15,+'4. Customer Growth'!$E17,+IF($AG$18='2. Customer Classes'!$B$16,+'4. Customer Growth'!$G17,+IF($AG$18='2. Customer Classes'!$B$17,+'4. Customer Growth'!$I17,+IF($AG$18='2. Customer Classes'!$B$18,+'4. Customer Growth'!$K17,+IF($AG$18='2. Customer Classes'!$B$19,+'4. Customer Growth'!$M17,IF($AG$18='2. Customer Classes'!$B$20,+'4. Customer Growth'!$O17,IF($AG$18='2. Customer Classes'!$B$21,+'4. Customer Growth'!$Q17,0))))))))</f>
        <v>17</v>
      </c>
      <c r="AM21" s="376">
        <f>IF(AK21=0,+AJ21/AL21,0)</f>
        <v>34905.294117647056</v>
      </c>
      <c r="AN21" s="379">
        <f>IF(AK21&gt;0,+AK21/AL21,0)</f>
        <v>0</v>
      </c>
      <c r="AO21" s="342">
        <f>IF(AK21=0,+AK21/AJ21,0)</f>
        <v>0</v>
      </c>
      <c r="AQ21" s="357">
        <f>+B21</f>
        <v>2005</v>
      </c>
      <c r="AR21" s="70">
        <f>IF($AQ$18='2. Customer Classes'!$B$14,+SUM('3. Consumption by Rate Class'!$D$25:$D$36),+IF($AQ$18='2. Customer Classes'!$B$15,+SUM('3. Consumption by Rate Class'!$F$25:$F$36),+IF($AQ$18='2. Customer Classes'!$B$16,+SUM('3. Consumption by Rate Class'!$H$25:$H$36),+IF($AQ$18='2. Customer Classes'!$B$17,+SUM('3. Consumption by Rate Class'!$J$25:$J$36),+IF($AQ$18='2. Customer Classes'!$B$18,+SUM('3. Consumption by Rate Class'!$L$25:$L$36),+IF($AQ$18='2. Customer Classes'!$B$19,+SUM('3. Consumption by Rate Class'!$O$25:$O$36),IF($AQ$18='2. Customer Classes'!$B$20,+SUM('3. Consumption by Rate Class'!$R$25:$R$36),0)))))))</f>
        <v>0</v>
      </c>
      <c r="AS21" s="458"/>
      <c r="AT21" s="70">
        <f>+AR21+AS21</f>
        <v>0</v>
      </c>
      <c r="AU21" s="225">
        <f>+IF($AQ$18='2. Customer Classes'!$B$18,+SUM('3. Consumption by Rate Class'!$M$25:$M$36),+IF($AQ$18='2. Customer Classes'!$B$19,+SUM('3. Consumption by Rate Class'!$P$25:$P$36),IF($AQ$18='2. Customer Classes'!$B$20,+SUM('3. Consumption by Rate Class'!$S$25:$S$36),0)))</f>
        <v>0</v>
      </c>
      <c r="AV21" s="225">
        <f>IF($AQ$18='2. Customer Classes'!$B$14,+'4. Customer Growth'!$C17,+IF($AQ$18='2. Customer Classes'!$B$15,+'4. Customer Growth'!$E17,+IF($AQ$18='2. Customer Classes'!$B$16,+'4. Customer Growth'!$G17,+IF($AQ$18='2. Customer Classes'!$B$17,+'4. Customer Growth'!$I17,+IF($AQ$18='2. Customer Classes'!$B$18,+'4. Customer Growth'!$K17,+IF($AQ$18='2. Customer Classes'!$B$19,+'4. Customer Growth'!$M17,IF($AQ$18='2. Customer Classes'!$B$20,+'4. Customer Growth'!$O17,0)))))))</f>
        <v>0</v>
      </c>
      <c r="AW21" s="376">
        <f>IF(AV21&gt;0,+AT21/AV21,0)</f>
        <v>0</v>
      </c>
      <c r="AX21" s="379">
        <f>IF(AU21&gt;0,+AU21/AV21,0)</f>
        <v>0</v>
      </c>
      <c r="AY21" s="342">
        <f>IF(AU21&gt;0,+AU21/AT21,0)</f>
        <v>0</v>
      </c>
    </row>
    <row r="22" spans="2:51" ht="12.75" customHeight="1" x14ac:dyDescent="0.2">
      <c r="B22" s="190">
        <f>'4. Customer Growth'!B18</f>
        <v>2006</v>
      </c>
      <c r="C22" s="70">
        <f>IF($B$18='2. Customer Classes'!$B$14,+SUM('3. Consumption by Rate Class'!$D$37:$D$48),+IF($B$18='2. Customer Classes'!$B$15,+SUM('3. Consumption by Rate Class'!$F$37:$F$48),+IF($B$18='2. Customer Classes'!$B$16,+SUM('3. Consumption by Rate Class'!$H$37:$H$48),+IF($B$18='2. Customer Classes'!$B$17,+SUM('3. Consumption by Rate Class'!$J$37:$J$48),+IF($B$18='2. Customer Classes'!$B$18,+SUM('3. Consumption by Rate Class'!$L$37:$L$48),+IF($B$18='2. Customer Classes'!$B$19,+SUM('3. Consumption by Rate Class'!$O$37:$O$48),IF($B$18='2. Customer Classes'!$B$20,+SUM('3. Consumption by Rate Class'!$R$37:$R$48),0)))))))</f>
        <v>75435895</v>
      </c>
      <c r="D22" s="458"/>
      <c r="E22" s="70">
        <f t="shared" ref="E22:E32" si="2">+D22+C22</f>
        <v>75435895</v>
      </c>
      <c r="F22" s="70">
        <f>+IF($B$18='2. Customer Classes'!$B$18,+SUM('3. Consumption by Rate Class'!$M$37:$M$48),+IF($B$18='2. Customer Classes'!$B$19,+SUM('3. Consumption by Rate Class'!$P$37:$P$48),IF($B$18='2. Customer Classes'!$B$20,+SUM('3. Consumption by Rate Class'!$S$37:$S$48),0)))</f>
        <v>207000</v>
      </c>
      <c r="G22" s="70">
        <f>IF($B$18='2. Customer Classes'!$B$14,+'4. Customer Growth'!$C18,+IF($B$18='2. Customer Classes'!$B$15,+'4. Customer Growth'!$E18,+IF($B$18='2. Customer Classes'!$B$16,+'4. Customer Growth'!$G18,+IF($B$18='2. Customer Classes'!$B$17,+'4. Customer Growth'!$I18,+IF($B$18='2. Customer Classes'!$B$18,+'4. Customer Growth'!$K18,+IF($B$18='2. Customer Classes'!$B$19,+'4. Customer Growth'!$M18,IF($B$18='2. Customer Classes'!$B$20,+'4. Customer Growth'!$O18,0)))))))</f>
        <v>136</v>
      </c>
      <c r="H22" s="376">
        <f t="shared" ref="H22:H32" si="3">IF(F22&gt;0,+E22/G22,0)</f>
        <v>554675.69852941181</v>
      </c>
      <c r="I22" s="379">
        <f t="shared" ref="I22:I32" si="4">IF(F22&gt;0,+F22/G22,0)</f>
        <v>1522.0588235294117</v>
      </c>
      <c r="J22" s="342">
        <f t="shared" ref="J22:J30" si="5">IF(F22&gt;0,+F22/E22,0)</f>
        <v>2.7440517541417121E-3</v>
      </c>
      <c r="K22" s="183"/>
      <c r="L22" s="183"/>
      <c r="M22" s="190">
        <f t="shared" si="0"/>
        <v>2006</v>
      </c>
      <c r="N22" s="70">
        <f>IF($M$18='2. Customer Classes'!$B$14,+SUM('3. Consumption by Rate Class'!$D$37:$D$48),+IF($M$18='2. Customer Classes'!$B$15,+SUM('3. Consumption by Rate Class'!$F$37:$F$48),+IF($M$18='2. Customer Classes'!$B$16,+SUM('3. Consumption by Rate Class'!$H$37:$H$48),+IF($M$18='2. Customer Classes'!$B$17,+SUM('3. Consumption by Rate Class'!$J$37:$J$48),+IF($M$18='2. Customer Classes'!$B$18,+SUM('3. Consumption by Rate Class'!$L$37:$L$48),+IF($M$18='2. Customer Classes'!$B$19,+SUM('3. Consumption by Rate Class'!$O$37:$O$48),IF($M$18='2. Customer Classes'!$B$20,+SUM('3. Consumption by Rate Class'!$R$37:$R$48),0)))))))</f>
        <v>2517491</v>
      </c>
      <c r="O22" s="458"/>
      <c r="P22" s="70">
        <f t="shared" ref="P22:P32" si="6">+N22+O22</f>
        <v>2517491</v>
      </c>
      <c r="Q22" s="225">
        <f>+IF($M$18='2. Customer Classes'!$B$18,+SUM('3. Consumption by Rate Class'!$M$37:$M$48),+IF($M$18='2. Customer Classes'!$B$19,+SUM('3. Consumption by Rate Class'!$P$37:$P$48),IF($M$18='2. Customer Classes'!$B$20,+SUM('3. Consumption by Rate Class'!$S$37:$S$48),0)))</f>
        <v>6784</v>
      </c>
      <c r="R22" s="225">
        <f>IF($M$18='2. Customer Classes'!$B$14,+'4. Customer Growth'!$C18,+IF($M$18='2. Customer Classes'!$B$15,+'4. Customer Growth'!$E18,+IF($M$18='2. Customer Classes'!$B$16,+'4. Customer Growth'!$G18,+IF($M$18='2. Customer Classes'!$B$17,+'4. Customer Growth'!$I18,+IF($M$18='2. Customer Classes'!$B$18,+'4. Customer Growth'!$K18,+IF($M$18='2. Customer Classes'!$B$19,+'4. Customer Growth'!$M18,IF($M$18='2. Customer Classes'!$B$20,+'4. Customer Growth'!$O18,0)))))))</f>
        <v>2635</v>
      </c>
      <c r="S22" s="376">
        <f t="shared" ref="S22:S32" si="7">IF(Q22&gt;0,+P22/R22,0)</f>
        <v>955.40455407969637</v>
      </c>
      <c r="T22" s="379">
        <f t="shared" ref="T22:T32" si="8">IF(Q22&gt;0,+Q22/R22,0)</f>
        <v>2.5745730550284631</v>
      </c>
      <c r="U22" s="342">
        <f t="shared" ref="U22:U30" si="9">IF(Q22&gt;0,+Q22/P22,0)</f>
        <v>2.6947464757570137E-3</v>
      </c>
      <c r="V22" s="64"/>
      <c r="W22" s="190">
        <f t="shared" si="1"/>
        <v>2006</v>
      </c>
      <c r="X22" s="70">
        <f>IF($W$18='2. Customer Classes'!$B$14,+SUM('3. Consumption by Rate Class'!$D$37:$D$48),+IF($W$18='2. Customer Classes'!$B$15,+SUM('3. Consumption by Rate Class'!$F$37:$F$48),+IF($W$18='2. Customer Classes'!$B$16,+SUM('3. Consumption by Rate Class'!$H$37:$H$48),+IF($W$18='2. Customer Classes'!$B$17,+SUM('3. Consumption by Rate Class'!$J$37:$J$48),+IF($W$18='2. Customer Classes'!$B$18,+SUM('3. Consumption by Rate Class'!$L$37:$L$48),+IF($W$18='2. Customer Classes'!$B$19,+SUM('3. Consumption by Rate Class'!$O$37:$O$48),IF($W$18='2. Customer Classes'!$B$20,+SUM('3. Consumption by Rate Class'!$R$37:$R$48),0)))))))</f>
        <v>267504</v>
      </c>
      <c r="Y22" s="458"/>
      <c r="Z22" s="70">
        <f t="shared" ref="Z22:Z32" si="10">+X22+Y22</f>
        <v>267504</v>
      </c>
      <c r="AA22" s="225">
        <f>+IF($W$18='2. Customer Classes'!$B$18,+SUM('3. Consumption by Rate Class'!$M$37:$M$48),+IF($W$18='2. Customer Classes'!$B$19,+SUM('3. Consumption by Rate Class'!$P$37:$P$48),IF($W$18='2. Customer Classes'!$B$20,+SUM('3. Consumption by Rate Class'!$S$37:$S$48),0)))</f>
        <v>767</v>
      </c>
      <c r="AB22" s="225">
        <f>IF($W$18='2. Customer Classes'!$B$14,+'4. Customer Growth'!$C18,+IF($W$18='2. Customer Classes'!$B$15,+'4. Customer Growth'!$E18,+IF($W$18='2. Customer Classes'!$B$16,+'4. Customer Growth'!$G18,+IF($W$18='2. Customer Classes'!$B$17,+'4. Customer Growth'!$I18,+IF($W$18='2. Customer Classes'!$B$18,+'4. Customer Growth'!$K18,+IF($W$18='2. Customer Classes'!$B$19,+'4. Customer Growth'!$M18,IF($W$18='2. Customer Classes'!$B$20,+'4. Customer Growth'!$O18,0)))))))</f>
        <v>225</v>
      </c>
      <c r="AC22" s="376">
        <f t="shared" ref="AC22:AC32" si="11">IF(AA22&gt;0,+Z22/AB22,0)</f>
        <v>1188.9066666666668</v>
      </c>
      <c r="AD22" s="379">
        <f t="shared" ref="AD22:AD32" si="12">IF(AA22&gt;0,+AA22/AB22,0)</f>
        <v>3.4088888888888889</v>
      </c>
      <c r="AE22" s="342">
        <f t="shared" ref="AE22:AE30" si="13">IF(AA22&gt;0,+AA22/Z22,0)</f>
        <v>2.867246844906992E-3</v>
      </c>
      <c r="AG22" s="357">
        <f t="shared" ref="AG22:AG32" si="14">+B22</f>
        <v>2006</v>
      </c>
      <c r="AH22" s="70">
        <f>IF($AG$18='2. Customer Classes'!$B$14,+SUM('3. Consumption by Rate Class'!$D$37:$D$48),+IF($AG$18='2. Customer Classes'!$B$15,+SUM('3. Consumption by Rate Class'!$F$37:$F$48),+IF($AG$18='2. Customer Classes'!$B$16,+SUM('3. Consumption by Rate Class'!$H$37:$H$48),+IF($AG$18='2. Customer Classes'!$B$17,+SUM('3. Consumption by Rate Class'!$J$37:$J$48),+IF($AG$18='2. Customer Classes'!$B$18,+SUM('3. Consumption by Rate Class'!$L$37:$L$48),+IF($AG$18='2. Customer Classes'!$B$19,+SUM('3. Consumption by Rate Class'!$O$37:$O$48),IF($AG$18='2. Customer Classes'!$B$20,+SUM('3. Consumption by Rate Class'!$R$37:$R$48),IF($AG$18='2. Customer Classes'!$B$21,+SUM('3. Consumption by Rate Class'!$U$37:$U$48),0))))))))</f>
        <v>364006</v>
      </c>
      <c r="AI22" s="458"/>
      <c r="AJ22" s="70">
        <f t="shared" ref="AJ22:AJ32" si="15">+AH22+AI22</f>
        <v>364006</v>
      </c>
      <c r="AK22" s="225">
        <f>+IF($AG$18='2. Customer Classes'!$B$18,+SUM('3. Consumption by Rate Class'!$M$37:$M$48),+IF($AG$18='2. Customer Classes'!$B$19,+SUM('3. Consumption by Rate Class'!$P$37:$P$48),IF($AG$18='2. Customer Classes'!$B$20,+SUM('3. Consumption by Rate Class'!$S$37:$S$48),IF($AG$18='2. Customer Classes'!$B$21,+SUM('3. Consumption by Rate Class'!$V$37:$V$48),0))))</f>
        <v>0</v>
      </c>
      <c r="AL22" s="225">
        <f>IF($AG$18='2. Customer Classes'!$B$14,+'4. Customer Growth'!$C18,+IF($AG$18='2. Customer Classes'!$B$15,+'4. Customer Growth'!$E18,+IF($AG$18='2. Customer Classes'!$B$16,+'4. Customer Growth'!$G18,+IF($AG$18='2. Customer Classes'!$B$17,+'4. Customer Growth'!$I18,+IF($AG$18='2. Customer Classes'!$B$18,+'4. Customer Growth'!$K18,+IF($AG$18='2. Customer Classes'!$B$19,+'4. Customer Growth'!$M18,IF($AG$18='2. Customer Classes'!$B$20,+'4. Customer Growth'!$O18,IF($AG$18='2. Customer Classes'!$B$21,+'4. Customer Growth'!$Q18,0))))))))</f>
        <v>20</v>
      </c>
      <c r="AM22" s="376">
        <f t="shared" ref="AM22:AM32" si="16">IF(AK22=0,+AJ22/AL22,0)</f>
        <v>18200.3</v>
      </c>
      <c r="AN22" s="379">
        <f t="shared" ref="AN22:AN32" si="17">IF(AK22&gt;0,+AK22/AL22,0)</f>
        <v>0</v>
      </c>
      <c r="AO22" s="342">
        <f t="shared" ref="AO22:AO30" si="18">IF(AK22&gt;0,+AK22/AJ22,0)</f>
        <v>0</v>
      </c>
      <c r="AQ22" s="357">
        <f t="shared" ref="AQ22:AQ32" si="19">+B22</f>
        <v>2006</v>
      </c>
      <c r="AR22" s="70">
        <f>IF($AQ$18='2. Customer Classes'!$B$14,+SUM('3. Consumption by Rate Class'!$D$37:$D$48),+IF($AQ$18='2. Customer Classes'!$B$15,+SUM('3. Consumption by Rate Class'!$F$37:$F$48),+IF($AQ$18='2. Customer Classes'!$B$16,+SUM('3. Consumption by Rate Class'!$H$37:$H$48),+IF($AQ$18='2. Customer Classes'!$B$17,+SUM('3. Consumption by Rate Class'!$J$37:$J$48),+IF($AQ$18='2. Customer Classes'!$B$18,+SUM('3. Consumption by Rate Class'!$L$37:$L$48),+IF($AQ$18='2. Customer Classes'!$B$19,+SUM('3. Consumption by Rate Class'!$O$37:$O$48),IF($AQ$18='2. Customer Classes'!$B$20,+SUM('3. Consumption by Rate Class'!$R$37:$R$48),0)))))))</f>
        <v>0</v>
      </c>
      <c r="AS22" s="458"/>
      <c r="AT22" s="70">
        <f t="shared" ref="AT22:AT32" si="20">+AR22+AS22</f>
        <v>0</v>
      </c>
      <c r="AU22" s="225">
        <f>+IF($AQ$18='2. Customer Classes'!$B$18,+SUM('3. Consumption by Rate Class'!$M$37:$M$48),+IF($AQ$18='2. Customer Classes'!$B$19,+SUM('3. Consumption by Rate Class'!$P$37:$P$48),IF($AQ$18='2. Customer Classes'!$B$20,+SUM('3. Consumption by Rate Class'!$S$37:$S$48),0)))</f>
        <v>0</v>
      </c>
      <c r="AV22" s="225">
        <f>IF($AQ$18='2. Customer Classes'!$B$14,+'4. Customer Growth'!$C18,+IF($AQ$18='2. Customer Classes'!$B$15,+'4. Customer Growth'!$E18,+IF($AQ$18='2. Customer Classes'!$B$16,+'4. Customer Growth'!$G18,+IF($AQ$18='2. Customer Classes'!$B$17,+'4. Customer Growth'!$I18,+IF($AQ$18='2. Customer Classes'!$B$18,+'4. Customer Growth'!$K18,+IF($AQ$18='2. Customer Classes'!$B$19,+'4. Customer Growth'!$M18,IF($AQ$18='2. Customer Classes'!$B$20,+'4. Customer Growth'!$O18,0)))))))</f>
        <v>0</v>
      </c>
      <c r="AW22" s="376">
        <f t="shared" ref="AW22:AW32" si="21">IF(AV22&gt;0,+AT22/AV22,0)</f>
        <v>0</v>
      </c>
      <c r="AX22" s="379">
        <f t="shared" ref="AX22:AX32" si="22">IF(AU22&gt;0,+AU22/AV22,0)</f>
        <v>0</v>
      </c>
      <c r="AY22" s="342">
        <f t="shared" ref="AY22:AY30" si="23">IF(AU22&gt;0,+AU22/AT22,0)</f>
        <v>0</v>
      </c>
    </row>
    <row r="23" spans="2:51" ht="12.75" customHeight="1" x14ac:dyDescent="0.2">
      <c r="B23" s="190">
        <f>'4. Customer Growth'!B19</f>
        <v>2007</v>
      </c>
      <c r="C23" s="70">
        <f>IF($B$18='2. Customer Classes'!$B$14,+SUM('3. Consumption by Rate Class'!$D$49:$D$60),+IF($B$18='2. Customer Classes'!$B$15,+SUM('3. Consumption by Rate Class'!$F$49:$F$60),+IF($B$18='2. Customer Classes'!$B$16,+SUM('3. Consumption by Rate Class'!$H$49:$H$60),+IF($B$18='2. Customer Classes'!$B$17,+SUM('3. Consumption by Rate Class'!$J$49:$J$60),+IF($B$18='2. Customer Classes'!$B$18,+SUM('3. Consumption by Rate Class'!$L$49:$L$60),+IF($B$18='2. Customer Classes'!$B$19,+SUM('3. Consumption by Rate Class'!$O$49:$O$60),IF($B$18='2. Customer Classes'!$B$20,+SUM('3. Consumption by Rate Class'!$R$49:$R$60),0)))))))</f>
        <v>78527667</v>
      </c>
      <c r="D23" s="458"/>
      <c r="E23" s="70">
        <f t="shared" si="2"/>
        <v>78527667</v>
      </c>
      <c r="F23" s="70">
        <f>+IF($B$18='2. Customer Classes'!$B$18,+SUM('3. Consumption by Rate Class'!$M$49:$M$60),+IF($B$18='2. Customer Classes'!$B$19,+SUM('3. Consumption by Rate Class'!$P$49:$P$60),IF($B$18='2. Customer Classes'!$B$20,+SUM('3. Consumption by Rate Class'!$S$49:$S$60),0)))</f>
        <v>213039</v>
      </c>
      <c r="G23" s="70">
        <f>IF($B$18='2. Customer Classes'!$B$14,+'4. Customer Growth'!$C19,+IF($B$18='2. Customer Classes'!$B$15,+'4. Customer Growth'!$E19,+IF($B$18='2. Customer Classes'!$B$16,+'4. Customer Growth'!$G19,+IF($B$18='2. Customer Classes'!$B$17,+'4. Customer Growth'!$I19,+IF($B$18='2. Customer Classes'!$B$18,+'4. Customer Growth'!$K19,+IF($B$18='2. Customer Classes'!$B$19,+'4. Customer Growth'!$M19,IF($B$18='2. Customer Classes'!$B$20,+'4. Customer Growth'!$O19,0)))))))</f>
        <v>136</v>
      </c>
      <c r="H23" s="376">
        <f t="shared" si="3"/>
        <v>577409.3161764706</v>
      </c>
      <c r="I23" s="379">
        <f t="shared" si="4"/>
        <v>1566.4632352941176</v>
      </c>
      <c r="J23" s="342">
        <f t="shared" si="5"/>
        <v>2.7129164552921201E-3</v>
      </c>
      <c r="K23" s="183"/>
      <c r="L23" s="183"/>
      <c r="M23" s="190">
        <f t="shared" si="0"/>
        <v>2007</v>
      </c>
      <c r="N23" s="70">
        <f>IF($M$18='2. Customer Classes'!$B$14,+SUM('3. Consumption by Rate Class'!$D$49:$D$60),+IF($M$18='2. Customer Classes'!$B$15,+SUM('3. Consumption by Rate Class'!$F$49:$F$60),+IF($M$18='2. Customer Classes'!$B$16,+SUM('3. Consumption by Rate Class'!$H$49:$H$60),+IF($M$18='2. Customer Classes'!$B$17,+SUM('3. Consumption by Rate Class'!$J$49:$J$60),+IF($M$18='2. Customer Classes'!$B$18,+SUM('3. Consumption by Rate Class'!$L$49:$L$60),+IF($M$18='2. Customer Classes'!$B$19,+SUM('3. Consumption by Rate Class'!$O$49:$O$60),IF($M$18='2. Customer Classes'!$B$20,+SUM('3. Consumption by Rate Class'!$R$49:$R$60),0)))))))</f>
        <v>2426477</v>
      </c>
      <c r="O23" s="458"/>
      <c r="P23" s="70">
        <f t="shared" si="6"/>
        <v>2426477</v>
      </c>
      <c r="Q23" s="225">
        <f>+IF($M$18='2. Customer Classes'!$B$18,+SUM('3. Consumption by Rate Class'!$M$49:$M$60),+IF($M$18='2. Customer Classes'!$B$19,+SUM('3. Consumption by Rate Class'!$P$49:$P$60),IF($M$18='2. Customer Classes'!$B$20,+SUM('3. Consumption by Rate Class'!$S$49:$S$60),0)))</f>
        <v>6778</v>
      </c>
      <c r="R23" s="225">
        <f>IF($M$18='2. Customer Classes'!$B$14,+'4. Customer Growth'!$C19,+IF($M$18='2. Customer Classes'!$B$15,+'4. Customer Growth'!$E19,+IF($M$18='2. Customer Classes'!$B$16,+'4. Customer Growth'!$G19,+IF($M$18='2. Customer Classes'!$B$17,+'4. Customer Growth'!$I19,+IF($M$18='2. Customer Classes'!$B$18,+'4. Customer Growth'!$K19,+IF($M$18='2. Customer Classes'!$B$19,+'4. Customer Growth'!$M19,IF($M$18='2. Customer Classes'!$B$20,+'4. Customer Growth'!$O19,0)))))))</f>
        <v>2648</v>
      </c>
      <c r="S23" s="376">
        <f t="shared" si="7"/>
        <v>916.34327794561932</v>
      </c>
      <c r="T23" s="379">
        <f t="shared" si="8"/>
        <v>2.559667673716012</v>
      </c>
      <c r="U23" s="342">
        <f t="shared" si="9"/>
        <v>2.7933501945413041E-3</v>
      </c>
      <c r="V23" s="64"/>
      <c r="W23" s="190">
        <f t="shared" si="1"/>
        <v>2007</v>
      </c>
      <c r="X23" s="70">
        <f>IF($W$18='2. Customer Classes'!$B$14,+SUM('3. Consumption by Rate Class'!$D$49:$D$60),+IF($W$18='2. Customer Classes'!$B$15,+SUM('3. Consumption by Rate Class'!$F$49:$F$60),+IF($W$18='2. Customer Classes'!$B$16,+SUM('3. Consumption by Rate Class'!$H$49:$H$60),+IF($W$18='2. Customer Classes'!$B$17,+SUM('3. Consumption by Rate Class'!$J$49:$J$60),+IF($W$18='2. Customer Classes'!$B$18,+SUM('3. Consumption by Rate Class'!$L$49:$L$60),+IF($W$18='2. Customer Classes'!$B$19,+SUM('3. Consumption by Rate Class'!$O$49:$O$60),IF($W$18='2. Customer Classes'!$B$20,+SUM('3. Consumption by Rate Class'!$R$49:$R$60),0)))))))</f>
        <v>266011</v>
      </c>
      <c r="Y23" s="458"/>
      <c r="Z23" s="70">
        <f t="shared" si="10"/>
        <v>266011</v>
      </c>
      <c r="AA23" s="225">
        <f>+IF($W$18='2. Customer Classes'!$B$18,+SUM('3. Consumption by Rate Class'!$M$49:$M$60),+IF($W$18='2. Customer Classes'!$B$19,+SUM('3. Consumption by Rate Class'!$P$49:$P$60),IF($W$18='2. Customer Classes'!$B$20,+SUM('3. Consumption by Rate Class'!$S$49:$S$60),0)))</f>
        <v>766</v>
      </c>
      <c r="AB23" s="225">
        <f>IF($W$18='2. Customer Classes'!$B$14,+'4. Customer Growth'!$C19,+IF($W$18='2. Customer Classes'!$B$15,+'4. Customer Growth'!$E19,+IF($W$18='2. Customer Classes'!$B$16,+'4. Customer Growth'!$G19,+IF($W$18='2. Customer Classes'!$B$17,+'4. Customer Growth'!$I19,+IF($W$18='2. Customer Classes'!$B$18,+'4. Customer Growth'!$K19,+IF($W$18='2. Customer Classes'!$B$19,+'4. Customer Growth'!$M19,IF($W$18='2. Customer Classes'!$B$20,+'4. Customer Growth'!$O19,0)))))))</f>
        <v>225</v>
      </c>
      <c r="AC23" s="376">
        <f t="shared" si="11"/>
        <v>1182.2711111111112</v>
      </c>
      <c r="AD23" s="379">
        <f t="shared" si="12"/>
        <v>3.4044444444444446</v>
      </c>
      <c r="AE23" s="342">
        <f t="shared" si="13"/>
        <v>2.8795801677374243E-3</v>
      </c>
      <c r="AG23" s="357">
        <f t="shared" si="14"/>
        <v>2007</v>
      </c>
      <c r="AH23" s="70">
        <f>IF($AG$18='2. Customer Classes'!$B$14,+SUM('3. Consumption by Rate Class'!$D$49:$D$60),+IF($AG$18='2. Customer Classes'!$B$15,+SUM('3. Consumption by Rate Class'!$F$49:$F$60),+IF($AG$18='2. Customer Classes'!$B$16,+SUM('3. Consumption by Rate Class'!$H$49:$H$60),+IF($AG$18='2. Customer Classes'!$B$17,+SUM('3. Consumption by Rate Class'!$J$49:$J$60),+IF($AG$18='2. Customer Classes'!$B$18,+SUM('3. Consumption by Rate Class'!$L$49:$L$60),+IF($AG$18='2. Customer Classes'!$B$19,+SUM('3. Consumption by Rate Class'!$O$49:$O$60),IF($AG$18='2. Customer Classes'!$B$20,+SUM('3. Consumption by Rate Class'!$R$49:$R$60),IF($AG$18='2. Customer Classes'!$B$21,+SUM('3. Consumption by Rate Class'!$U$49:$U$60),0))))))))</f>
        <v>348199</v>
      </c>
      <c r="AI23" s="458"/>
      <c r="AJ23" s="70">
        <f t="shared" si="15"/>
        <v>348199</v>
      </c>
      <c r="AK23" s="225">
        <f>+IF($AG$18='2. Customer Classes'!$B$18,+SUM('3. Consumption by Rate Class'!$M$49:$M$60),+IF($AG$18='2. Customer Classes'!$B$19,+SUM('3. Consumption by Rate Class'!$P$49:$P$60),IF($AG$18='2. Customer Classes'!$B$20,+SUM('3. Consumption by Rate Class'!$S$49:$S$60),IF($AG$18='2. Customer Classes'!$B$21,+SUM('3. Consumption by Rate Class'!$V$49:$V$60),0))))</f>
        <v>0</v>
      </c>
      <c r="AL23" s="225">
        <f>IF($AG$18='2. Customer Classes'!$B$14,+'4. Customer Growth'!$C19,+IF($AG$18='2. Customer Classes'!$B$15,+'4. Customer Growth'!$E19,+IF($AG$18='2. Customer Classes'!$B$16,+'4. Customer Growth'!$G19,+IF($AG$18='2. Customer Classes'!$B$17,+'4. Customer Growth'!$I19,+IF($AG$18='2. Customer Classes'!$B$18,+'4. Customer Growth'!$K19,+IF($AG$18='2. Customer Classes'!$B$19,+'4. Customer Growth'!$M19,IF($AG$18='2. Customer Classes'!$B$20,+'4. Customer Growth'!$O19,IF($AG$18='2. Customer Classes'!$B$21,+'4. Customer Growth'!$Q19,0))))))))</f>
        <v>20</v>
      </c>
      <c r="AM23" s="376">
        <f t="shared" si="16"/>
        <v>17409.95</v>
      </c>
      <c r="AN23" s="379">
        <f t="shared" si="17"/>
        <v>0</v>
      </c>
      <c r="AO23" s="342">
        <f t="shared" si="18"/>
        <v>0</v>
      </c>
      <c r="AQ23" s="357">
        <f t="shared" si="19"/>
        <v>2007</v>
      </c>
      <c r="AR23" s="70">
        <f>IF($AQ$18='2. Customer Classes'!$B$14,+SUM('3. Consumption by Rate Class'!$D$49:$D$60),+IF($AQ$18='2. Customer Classes'!$B$15,+SUM('3. Consumption by Rate Class'!$F$49:$F$60),+IF($AQ$18='2. Customer Classes'!$B$16,+SUM('3. Consumption by Rate Class'!$H$49:$H$60),+IF($AQ$18='2. Customer Classes'!$B$17,+SUM('3. Consumption by Rate Class'!$J$49:$J$60),+IF($AQ$18='2. Customer Classes'!$B$18,+SUM('3. Consumption by Rate Class'!$L$49:$L$60),+IF($AQ$18='2. Customer Classes'!$B$19,+SUM('3. Consumption by Rate Class'!$O$49:$O$60),IF($AQ$18='2. Customer Classes'!$B$20,+SUM('3. Consumption by Rate Class'!$R$49:$R$60),0)))))))</f>
        <v>0</v>
      </c>
      <c r="AS23" s="458"/>
      <c r="AT23" s="70">
        <f t="shared" si="20"/>
        <v>0</v>
      </c>
      <c r="AU23" s="225">
        <f>+IF($AQ$18='2. Customer Classes'!$B$18,+SUM('3. Consumption by Rate Class'!$M$49:$M$60),+IF($AQ$18='2. Customer Classes'!$B$19,+SUM('3. Consumption by Rate Class'!$P$49:$P$60),IF($AQ$18='2. Customer Classes'!$B$20,+SUM('3. Consumption by Rate Class'!$S$49:$S$60),0)))</f>
        <v>0</v>
      </c>
      <c r="AV23" s="225">
        <f>IF($AQ$18='2. Customer Classes'!$B$14,+'4. Customer Growth'!$C19,+IF($AQ$18='2. Customer Classes'!$B$15,+'4. Customer Growth'!$E19,+IF($AQ$18='2. Customer Classes'!$B$16,+'4. Customer Growth'!$G19,+IF($AQ$18='2. Customer Classes'!$B$17,+'4. Customer Growth'!$I19,+IF($AQ$18='2. Customer Classes'!$B$18,+'4. Customer Growth'!$K19,+IF($AQ$18='2. Customer Classes'!$B$19,+'4. Customer Growth'!$M19,IF($AQ$18='2. Customer Classes'!$B$20,+'4. Customer Growth'!$O19,0)))))))</f>
        <v>0</v>
      </c>
      <c r="AW23" s="376">
        <f t="shared" si="21"/>
        <v>0</v>
      </c>
      <c r="AX23" s="379">
        <f t="shared" si="22"/>
        <v>0</v>
      </c>
      <c r="AY23" s="342">
        <f t="shared" si="23"/>
        <v>0</v>
      </c>
    </row>
    <row r="24" spans="2:51" ht="12.75" customHeight="1" x14ac:dyDescent="0.2">
      <c r="B24" s="190">
        <f>'4. Customer Growth'!B20</f>
        <v>2008</v>
      </c>
      <c r="C24" s="70">
        <f>IF($B$18='2. Customer Classes'!$B$14,+SUM('3. Consumption by Rate Class'!$D$61:$D$72),+IF($B$18='2. Customer Classes'!$B$15,+SUM('3. Consumption by Rate Class'!$F$61:$F$72),+IF($B$18='2. Customer Classes'!$B$16,+SUM('3. Consumption by Rate Class'!$H$61:$H$72),+IF($B$18='2. Customer Classes'!$B$17,+SUM('3. Consumption by Rate Class'!$J$61:$J$72),+IF($B$18='2. Customer Classes'!$B$18,+SUM('3. Consumption by Rate Class'!$L$61:$L$72),+IF($B$18='2. Customer Classes'!$B$19,+SUM('3. Consumption by Rate Class'!$O$61:$O$72),IF($B$18='2. Customer Classes'!$B$20,+SUM('3. Consumption by Rate Class'!$R$61:$R$72),0)))))))</f>
        <v>78693630</v>
      </c>
      <c r="D24" s="458"/>
      <c r="E24" s="70">
        <f t="shared" si="2"/>
        <v>78693630</v>
      </c>
      <c r="F24" s="70">
        <f>+IF($B$18='2. Customer Classes'!$B$18,+SUM('3. Consumption by Rate Class'!$M$61:$M$72),+IF($B$18='2. Customer Classes'!$B$19,+SUM('3. Consumption by Rate Class'!$P$61:$P$72),IF($B$18='2. Customer Classes'!$B$20,+SUM('3. Consumption by Rate Class'!$S$61:$S$72),0)))</f>
        <v>202855</v>
      </c>
      <c r="G24" s="70">
        <f>IF($B$18='2. Customer Classes'!$B$14,+'4. Customer Growth'!$C20,+IF($B$18='2. Customer Classes'!$B$15,+'4. Customer Growth'!$E20,+IF($B$18='2. Customer Classes'!$B$16,+'4. Customer Growth'!$G20,+IF($B$18='2. Customer Classes'!$B$17,+'4. Customer Growth'!$I20,+IF($B$18='2. Customer Classes'!$B$18,+'4. Customer Growth'!$K20,+IF($B$18='2. Customer Classes'!$B$19,+'4. Customer Growth'!$M20,IF($B$18='2. Customer Classes'!$B$20,+'4. Customer Growth'!$O20,0)))))))</f>
        <v>143</v>
      </c>
      <c r="H24" s="376">
        <f t="shared" si="3"/>
        <v>550305.10489510489</v>
      </c>
      <c r="I24" s="379">
        <f t="shared" si="4"/>
        <v>1418.5664335664335</v>
      </c>
      <c r="J24" s="342">
        <f t="shared" si="5"/>
        <v>2.5777817086338499E-3</v>
      </c>
      <c r="K24" s="183"/>
      <c r="L24" s="183"/>
      <c r="M24" s="190">
        <f t="shared" si="0"/>
        <v>2008</v>
      </c>
      <c r="N24" s="70">
        <f>IF($M$18='2. Customer Classes'!$B$14,+SUM('3. Consumption by Rate Class'!$D$61:$D$72),+IF($M$18='2. Customer Classes'!$B$15,+SUM('3. Consumption by Rate Class'!$F$61:$F$72),+IF($M$18='2. Customer Classes'!$B$16,+SUM('3. Consumption by Rate Class'!$H$61:$H$72),+IF($M$18='2. Customer Classes'!$B$17,+SUM('3. Consumption by Rate Class'!$J$61:$J$72),+IF($M$18='2. Customer Classes'!$B$18,+SUM('3. Consumption by Rate Class'!$L$61:$L$72),+IF($M$18='2. Customer Classes'!$B$19,+SUM('3. Consumption by Rate Class'!$O$61:$O$72),IF($M$18='2. Customer Classes'!$B$20,+SUM('3. Consumption by Rate Class'!$R$61:$R$72),0)))))))</f>
        <v>2370504</v>
      </c>
      <c r="O24" s="458"/>
      <c r="P24" s="70">
        <f t="shared" si="6"/>
        <v>2370504</v>
      </c>
      <c r="Q24" s="225">
        <f>+IF($M$18='2. Customer Classes'!$B$18,+SUM('3. Consumption by Rate Class'!$M$61:$M$72),+IF($M$18='2. Customer Classes'!$B$19,+SUM('3. Consumption by Rate Class'!$P$61:$P$72),IF($M$18='2. Customer Classes'!$B$20,+SUM('3. Consumption by Rate Class'!$S$61:$S$72),0)))</f>
        <v>6728</v>
      </c>
      <c r="R24" s="225">
        <f>IF($M$18='2. Customer Classes'!$B$14,+'4. Customer Growth'!$C20,+IF($M$18='2. Customer Classes'!$B$15,+'4. Customer Growth'!$E20,+IF($M$18='2. Customer Classes'!$B$16,+'4. Customer Growth'!$G20,+IF($M$18='2. Customer Classes'!$B$17,+'4. Customer Growth'!$I20,+IF($M$18='2. Customer Classes'!$B$18,+'4. Customer Growth'!$K20,+IF($M$18='2. Customer Classes'!$B$19,+'4. Customer Growth'!$M20,IF($M$18='2. Customer Classes'!$B$20,+'4. Customer Growth'!$O20,0)))))))</f>
        <v>2653</v>
      </c>
      <c r="S24" s="376">
        <f t="shared" si="7"/>
        <v>893.51828119110439</v>
      </c>
      <c r="T24" s="379">
        <f t="shared" si="8"/>
        <v>2.5359969845457973</v>
      </c>
      <c r="U24" s="342">
        <f t="shared" si="9"/>
        <v>2.8382149956296212E-3</v>
      </c>
      <c r="V24" s="64"/>
      <c r="W24" s="190">
        <f t="shared" si="1"/>
        <v>2008</v>
      </c>
      <c r="X24" s="70">
        <f>IF($W$18='2. Customer Classes'!$B$14,+SUM('3. Consumption by Rate Class'!$D$61:$D$72),+IF($W$18='2. Customer Classes'!$B$15,+SUM('3. Consumption by Rate Class'!$F$61:$F$72),+IF($W$18='2. Customer Classes'!$B$16,+SUM('3. Consumption by Rate Class'!$H$61:$H$72),+IF($W$18='2. Customer Classes'!$B$17,+SUM('3. Consumption by Rate Class'!$J$61:$J$72),+IF($W$18='2. Customer Classes'!$B$18,+SUM('3. Consumption by Rate Class'!$L$61:$L$72),+IF($W$18='2. Customer Classes'!$B$19,+SUM('3. Consumption by Rate Class'!$O$61:$O$72),IF($W$18='2. Customer Classes'!$B$20,+SUM('3. Consumption by Rate Class'!$R$61:$R$72),0)))))))</f>
        <v>262124</v>
      </c>
      <c r="Y24" s="458"/>
      <c r="Z24" s="70">
        <f t="shared" si="10"/>
        <v>262124</v>
      </c>
      <c r="AA24" s="540">
        <f>+IF($W$18='2. Customer Classes'!$B$18,+SUM('3. Consumption by Rate Class'!$M$61:$M$72),+IF($W$18='2. Customer Classes'!$B$19,+SUM('3. Consumption by Rate Class'!$P$61:$P$72),IF($W$18='2. Customer Classes'!$B$20,+SUM('3. Consumption by Rate Class'!$S$61:$S$72),0)))</f>
        <v>751</v>
      </c>
      <c r="AB24" s="225">
        <f>IF($W$18='2. Customer Classes'!$B$14,+'4. Customer Growth'!$C20,+IF($W$18='2. Customer Classes'!$B$15,+'4. Customer Growth'!$E20,+IF($W$18='2. Customer Classes'!$B$16,+'4. Customer Growth'!$G20,+IF($W$18='2. Customer Classes'!$B$17,+'4. Customer Growth'!$I20,+IF($W$18='2. Customer Classes'!$B$18,+'4. Customer Growth'!$K20,+IF($W$18='2. Customer Classes'!$B$19,+'4. Customer Growth'!$M20,IF($W$18='2. Customer Classes'!$B$20,+'4. Customer Growth'!$O20,0)))))))</f>
        <v>226</v>
      </c>
      <c r="AC24" s="376">
        <f t="shared" si="11"/>
        <v>1159.8407079646017</v>
      </c>
      <c r="AD24" s="379">
        <f t="shared" si="12"/>
        <v>3.3230088495575223</v>
      </c>
      <c r="AE24" s="342">
        <f t="shared" si="13"/>
        <v>2.8650562329279273E-3</v>
      </c>
      <c r="AG24" s="357">
        <f t="shared" si="14"/>
        <v>2008</v>
      </c>
      <c r="AH24" s="70">
        <f>IF($AG$18='2. Customer Classes'!$B$14,+SUM('3. Consumption by Rate Class'!$D$61:$D$72),+IF($AG$18='2. Customer Classes'!$B$15,+SUM('3. Consumption by Rate Class'!$F$61:$F$72),+IF($AG$18='2. Customer Classes'!$B$16,+SUM('3. Consumption by Rate Class'!$H$61:$H$72),+IF($AG$18='2. Customer Classes'!$B$17,+SUM('3. Consumption by Rate Class'!$J$61:$J$72),+IF($AG$18='2. Customer Classes'!$B$18,+SUM('3. Consumption by Rate Class'!$L$61:$L$72),+IF($AG$18='2. Customer Classes'!$B$19,+SUM('3. Consumption by Rate Class'!$O$61:$O$72),IF($AG$18='2. Customer Classes'!$B$20,+SUM('3. Consumption by Rate Class'!$R$61:$R$72),IF($AG$18='2. Customer Classes'!$B$21,+SUM('3. Consumption by Rate Class'!$U$61:$U$72),0))))))))</f>
        <v>386944</v>
      </c>
      <c r="AI24" s="458"/>
      <c r="AJ24" s="70">
        <f t="shared" si="15"/>
        <v>386944</v>
      </c>
      <c r="AK24" s="225">
        <f>+IF($AG$18='2. Customer Classes'!$B$18,+SUM('3. Consumption by Rate Class'!$M$61:$M$72),+IF($AG$18='2. Customer Classes'!$B$19,+SUM('3. Consumption by Rate Class'!$P$61:$P$72),IF($AG$18='2. Customer Classes'!$B$20,+SUM('3. Consumption by Rate Class'!$S$61:$S$72),IF($AG$18='2. Customer Classes'!$B$21,+SUM('3. Consumption by Rate Class'!$V$61:$V$72),0))))</f>
        <v>0</v>
      </c>
      <c r="AL24" s="225">
        <f>IF($AG$18='2. Customer Classes'!$B$14,+'4. Customer Growth'!$C20,+IF($AG$18='2. Customer Classes'!$B$15,+'4. Customer Growth'!$E20,+IF($AG$18='2. Customer Classes'!$B$16,+'4. Customer Growth'!$G20,+IF($AG$18='2. Customer Classes'!$B$17,+'4. Customer Growth'!$I20,+IF($AG$18='2. Customer Classes'!$B$18,+'4. Customer Growth'!$K20,+IF($AG$18='2. Customer Classes'!$B$19,+'4. Customer Growth'!$M20,IF($AG$18='2. Customer Classes'!$B$20,+'4. Customer Growth'!$O20,IF($AG$18='2. Customer Classes'!$B$21,+'4. Customer Growth'!$Q20,0))))))))</f>
        <v>20</v>
      </c>
      <c r="AM24" s="376">
        <f t="shared" si="16"/>
        <v>19347.2</v>
      </c>
      <c r="AN24" s="379">
        <f t="shared" si="17"/>
        <v>0</v>
      </c>
      <c r="AO24" s="342">
        <f t="shared" si="18"/>
        <v>0</v>
      </c>
      <c r="AQ24" s="357">
        <f t="shared" si="19"/>
        <v>2008</v>
      </c>
      <c r="AR24" s="70">
        <f>IF($AQ$18='2. Customer Classes'!$B$14,+SUM('3. Consumption by Rate Class'!$D$61:$D$72),+IF($AQ$18='2. Customer Classes'!$B$15,+SUM('3. Consumption by Rate Class'!$F$61:$F$72),+IF($AQ$18='2. Customer Classes'!$B$16,+SUM('3. Consumption by Rate Class'!$H$61:$H$72),+IF($AQ$18='2. Customer Classes'!$B$17,+SUM('3. Consumption by Rate Class'!$J$61:$J$72),+IF($AQ$18='2. Customer Classes'!$B$18,+SUM('3. Consumption by Rate Class'!$L$61:$L$72),+IF($AQ$18='2. Customer Classes'!$B$19,+SUM('3. Consumption by Rate Class'!$O$61:$O$72),IF($AQ$18='2. Customer Classes'!$B$20,+SUM('3. Consumption by Rate Class'!$R$61:$R$72),0)))))))</f>
        <v>0</v>
      </c>
      <c r="AS24" s="458"/>
      <c r="AT24" s="70">
        <f t="shared" si="20"/>
        <v>0</v>
      </c>
      <c r="AU24" s="225">
        <f>+IF($AQ$18='2. Customer Classes'!$B$18,+SUM('3. Consumption by Rate Class'!$M$61:$M$72),+IF($AQ$18='2. Customer Classes'!$B$19,+SUM('3. Consumption by Rate Class'!$P$61:$P$72),IF($AQ$18='2. Customer Classes'!$B$20,+SUM('3. Consumption by Rate Class'!$S$61:$S$72),0)))</f>
        <v>0</v>
      </c>
      <c r="AV24" s="225">
        <f>IF($AQ$18='2. Customer Classes'!$B$14,+'4. Customer Growth'!$C20,+IF($AQ$18='2. Customer Classes'!$B$15,+'4. Customer Growth'!$E20,+IF($AQ$18='2. Customer Classes'!$B$16,+'4. Customer Growth'!$G20,+IF($AQ$18='2. Customer Classes'!$B$17,+'4. Customer Growth'!$I20,+IF($AQ$18='2. Customer Classes'!$B$18,+'4. Customer Growth'!$K20,+IF($AQ$18='2. Customer Classes'!$B$19,+'4. Customer Growth'!$M20,IF($AQ$18='2. Customer Classes'!$B$20,+'4. Customer Growth'!$O20,0)))))))</f>
        <v>0</v>
      </c>
      <c r="AW24" s="376">
        <f t="shared" si="21"/>
        <v>0</v>
      </c>
      <c r="AX24" s="379">
        <f t="shared" si="22"/>
        <v>0</v>
      </c>
      <c r="AY24" s="342">
        <f t="shared" si="23"/>
        <v>0</v>
      </c>
    </row>
    <row r="25" spans="2:51" ht="12.75" customHeight="1" x14ac:dyDescent="0.2">
      <c r="B25" s="190">
        <f>'4. Customer Growth'!B21</f>
        <v>2009</v>
      </c>
      <c r="C25" s="70">
        <f>IF($B$18='2. Customer Classes'!$B$14,+SUM('3. Consumption by Rate Class'!$D$73:$D$84),+IF($B$18='2. Customer Classes'!$B$15,+SUM('3. Consumption by Rate Class'!$F$73:$F$84),+IF($B$18='2. Customer Classes'!$B$16,+SUM('3. Consumption by Rate Class'!$H$73:$H$84),+IF($B$18='2. Customer Classes'!$B$17,+SUM('3. Consumption by Rate Class'!$J$73:$J$84),+IF($B$18='2. Customer Classes'!$B$18,+SUM('3. Consumption by Rate Class'!$L$73:$L$84),+IF($B$18='2. Customer Classes'!$B$19,+SUM('3. Consumption by Rate Class'!$O$73:$O$84),IF($B$18='2. Customer Classes'!$B$20,+SUM('3. Consumption by Rate Class'!$R$73:$R$84),0)))))))</f>
        <v>78622635.780000001</v>
      </c>
      <c r="D25" s="458"/>
      <c r="E25" s="70">
        <f t="shared" si="2"/>
        <v>78622635.780000001</v>
      </c>
      <c r="F25" s="70">
        <f>+IF($B$18='2. Customer Classes'!$B$18,+SUM('3. Consumption by Rate Class'!$M$73:$M$84),+IF($B$18='2. Customer Classes'!$B$19,+SUM('3. Consumption by Rate Class'!$P$73:$P$84),IF($B$18='2. Customer Classes'!$B$20,+SUM('3. Consumption by Rate Class'!$S$73:$S$84),0)))</f>
        <v>209853</v>
      </c>
      <c r="G25" s="70">
        <f>IF($B$18='2. Customer Classes'!$B$14,+'4. Customer Growth'!$C21,+IF($B$18='2. Customer Classes'!$B$15,+'4. Customer Growth'!$E21,+IF($B$18='2. Customer Classes'!$B$16,+'4. Customer Growth'!$G21,+IF($B$18='2. Customer Classes'!$B$17,+'4. Customer Growth'!$I21,+IF($B$18='2. Customer Classes'!$B$18,+'4. Customer Growth'!$K21,+IF($B$18='2. Customer Classes'!$B$19,+'4. Customer Growth'!$M21,IF($B$18='2. Customer Classes'!$B$20,+'4. Customer Growth'!$O21,0)))))))</f>
        <v>144</v>
      </c>
      <c r="H25" s="376">
        <f t="shared" si="3"/>
        <v>545990.52625</v>
      </c>
      <c r="I25" s="379">
        <f t="shared" si="4"/>
        <v>1457.3125</v>
      </c>
      <c r="J25" s="342">
        <f t="shared" si="5"/>
        <v>2.6691168251749497E-3</v>
      </c>
      <c r="K25" s="183"/>
      <c r="L25" s="183"/>
      <c r="M25" s="190">
        <f t="shared" si="0"/>
        <v>2009</v>
      </c>
      <c r="N25" s="70">
        <f>IF($M$18='2. Customer Classes'!$B$14,+SUM('3. Consumption by Rate Class'!$D$73:$D$84),+IF($M$18='2. Customer Classes'!$B$15,+SUM('3. Consumption by Rate Class'!$F$73:$F$84),+IF($M$18='2. Customer Classes'!$B$16,+SUM('3. Consumption by Rate Class'!$H$73:$H$84),+IF($M$18='2. Customer Classes'!$B$17,+SUM('3. Consumption by Rate Class'!$J$73:$J$84),+IF($M$18='2. Customer Classes'!$B$18,+SUM('3. Consumption by Rate Class'!$L$73:$L$84),+IF($M$18='2. Customer Classes'!$B$19,+SUM('3. Consumption by Rate Class'!$O$73:$O$84),IF($M$18='2. Customer Classes'!$B$20,+SUM('3. Consumption by Rate Class'!$R$73:$R$84),0)))))))</f>
        <v>2414486.62</v>
      </c>
      <c r="O25" s="458"/>
      <c r="P25" s="70">
        <f t="shared" si="6"/>
        <v>2414486.62</v>
      </c>
      <c r="Q25" s="225">
        <f>+IF($M$18='2. Customer Classes'!$B$18,+SUM('3. Consumption by Rate Class'!$M$73:$M$84),+IF($M$18='2. Customer Classes'!$B$19,+SUM('3. Consumption by Rate Class'!$P$73:$P$84),IF($M$18='2. Customer Classes'!$B$20,+SUM('3. Consumption by Rate Class'!$S$73:$S$84),0)))</f>
        <v>6652</v>
      </c>
      <c r="R25" s="225">
        <f>IF($M$18='2. Customer Classes'!$B$14,+'4. Customer Growth'!$C21,+IF($M$18='2. Customer Classes'!$B$15,+'4. Customer Growth'!$E21,+IF($M$18='2. Customer Classes'!$B$16,+'4. Customer Growth'!$G21,+IF($M$18='2. Customer Classes'!$B$17,+'4. Customer Growth'!$I21,+IF($M$18='2. Customer Classes'!$B$18,+'4. Customer Growth'!$K21,+IF($M$18='2. Customer Classes'!$B$19,+'4. Customer Growth'!$M21,IF($M$18='2. Customer Classes'!$B$20,+'4. Customer Growth'!$O21,0)))))))</f>
        <v>2701</v>
      </c>
      <c r="S25" s="376">
        <f t="shared" si="7"/>
        <v>893.92322102924845</v>
      </c>
      <c r="T25" s="379">
        <f t="shared" si="8"/>
        <v>2.4627915586819698</v>
      </c>
      <c r="U25" s="342">
        <f t="shared" si="9"/>
        <v>2.7550370107248721E-3</v>
      </c>
      <c r="V25" s="64"/>
      <c r="W25" s="190">
        <f t="shared" si="1"/>
        <v>2009</v>
      </c>
      <c r="X25" s="70">
        <f>IF($W$18='2. Customer Classes'!$B$14,+SUM('3. Consumption by Rate Class'!$D$73:$D$84),+IF($W$18='2. Customer Classes'!$B$15,+SUM('3. Consumption by Rate Class'!$F$73:$F$84),+IF($W$18='2. Customer Classes'!$B$16,+SUM('3. Consumption by Rate Class'!$H$73:$H$84),+IF($W$18='2. Customer Classes'!$B$17,+SUM('3. Consumption by Rate Class'!$J$73:$J$84),+IF($W$18='2. Customer Classes'!$B$18,+SUM('3. Consumption by Rate Class'!$L$73:$L$84),+IF($W$18='2. Customer Classes'!$B$19,+SUM('3. Consumption by Rate Class'!$O$73:$O$84),IF($W$18='2. Customer Classes'!$B$20,+SUM('3. Consumption by Rate Class'!$R$73:$R$84),0)))))))</f>
        <v>265370.21000000002</v>
      </c>
      <c r="Y25" s="458"/>
      <c r="Z25" s="70">
        <f t="shared" si="10"/>
        <v>265370.21000000002</v>
      </c>
      <c r="AA25" s="225">
        <f>+IF($W$18='2. Customer Classes'!$B$18,+SUM('3. Consumption by Rate Class'!$M$73:$M$84),+IF($W$18='2. Customer Classes'!$B$19,+SUM('3. Consumption by Rate Class'!$P$73:$P$84),IF($W$18='2. Customer Classes'!$B$20,+SUM('3. Consumption by Rate Class'!$S$73:$S$84),0)))</f>
        <v>756</v>
      </c>
      <c r="AB25" s="225">
        <f>IF($W$18='2. Customer Classes'!$B$14,+'4. Customer Growth'!$C21,+IF($W$18='2. Customer Classes'!$B$15,+'4. Customer Growth'!$E21,+IF($W$18='2. Customer Classes'!$B$16,+'4. Customer Growth'!$G21,+IF($W$18='2. Customer Classes'!$B$17,+'4. Customer Growth'!$I21,+IF($W$18='2. Customer Classes'!$B$18,+'4. Customer Growth'!$K21,+IF($W$18='2. Customer Classes'!$B$19,+'4. Customer Growth'!$M21,IF($W$18='2. Customer Classes'!$B$20,+'4. Customer Growth'!$O21,0)))))))</f>
        <v>226</v>
      </c>
      <c r="AC25" s="376">
        <f t="shared" si="11"/>
        <v>1174.2044690265488</v>
      </c>
      <c r="AD25" s="379">
        <f t="shared" si="12"/>
        <v>3.3451327433628317</v>
      </c>
      <c r="AE25" s="342">
        <f t="shared" si="13"/>
        <v>2.848850291070727E-3</v>
      </c>
      <c r="AG25" s="357">
        <f t="shared" si="14"/>
        <v>2009</v>
      </c>
      <c r="AH25" s="70">
        <f>IF($AG$18='2. Customer Classes'!$B$14,+SUM('3. Consumption by Rate Class'!$D$73:$D$84),+IF($AG$18='2. Customer Classes'!$B$15,+SUM('3. Consumption by Rate Class'!$F$73:$F$84),+IF($AG$18='2. Customer Classes'!$B$16,+SUM('3. Consumption by Rate Class'!$H$73:$H$84),+IF($AG$18='2. Customer Classes'!$B$17,+SUM('3. Consumption by Rate Class'!$J$73:$J$84),+IF($AG$18='2. Customer Classes'!$B$18,+SUM('3. Consumption by Rate Class'!$L$73:$L$84),+IF($AG$18='2. Customer Classes'!$B$19,+SUM('3. Consumption by Rate Class'!$O$73:$O$84),IF($AG$18='2. Customer Classes'!$B$20,+SUM('3. Consumption by Rate Class'!$R$73:$R$84),IF($AG$18='2. Customer Classes'!$B$21,+SUM('3. Consumption by Rate Class'!$U$73:$U$84),0))))))))</f>
        <v>437952.27</v>
      </c>
      <c r="AI25" s="458"/>
      <c r="AJ25" s="70">
        <f t="shared" si="15"/>
        <v>437952.27</v>
      </c>
      <c r="AK25" s="225">
        <f>+IF($AG$18='2. Customer Classes'!$B$18,+SUM('3. Consumption by Rate Class'!$M$73:$M$84),+IF($AG$18='2. Customer Classes'!$B$19,+SUM('3. Consumption by Rate Class'!$P$73:$P$84),IF($AG$18='2. Customer Classes'!$B$20,+SUM('3. Consumption by Rate Class'!$S$73:$S$84),IF($AG$18='2. Customer Classes'!$B$21,+SUM('3. Consumption by Rate Class'!$V$73:$V$84),0))))</f>
        <v>0</v>
      </c>
      <c r="AL25" s="225">
        <f>IF($AG$18='2. Customer Classes'!$B$14,+'4. Customer Growth'!$C21,+IF($AG$18='2. Customer Classes'!$B$15,+'4. Customer Growth'!$E21,+IF($AG$18='2. Customer Classes'!$B$16,+'4. Customer Growth'!$G21,+IF($AG$18='2. Customer Classes'!$B$17,+'4. Customer Growth'!$I21,+IF($AG$18='2. Customer Classes'!$B$18,+'4. Customer Growth'!$K21,+IF($AG$18='2. Customer Classes'!$B$19,+'4. Customer Growth'!$M21,IF($AG$18='2. Customer Classes'!$B$20,+'4. Customer Growth'!$O21,IF($AG$18='2. Customer Classes'!$B$21,+'4. Customer Growth'!$Q21,0))))))))</f>
        <v>20</v>
      </c>
      <c r="AM25" s="376">
        <f t="shared" si="16"/>
        <v>21897.613499999999</v>
      </c>
      <c r="AN25" s="379">
        <f t="shared" si="17"/>
        <v>0</v>
      </c>
      <c r="AO25" s="342">
        <f t="shared" si="18"/>
        <v>0</v>
      </c>
      <c r="AQ25" s="357">
        <f t="shared" si="19"/>
        <v>2009</v>
      </c>
      <c r="AR25" s="70">
        <f>IF($AQ$18='2. Customer Classes'!$B$14,+SUM('3. Consumption by Rate Class'!$D$73:$D$84),+IF($AQ$18='2. Customer Classes'!$B$15,+SUM('3. Consumption by Rate Class'!$F$73:$F$84),+IF($AQ$18='2. Customer Classes'!$B$16,+SUM('3. Consumption by Rate Class'!$H$73:$H$84),+IF($AQ$18='2. Customer Classes'!$B$17,+SUM('3. Consumption by Rate Class'!$J$73:$J$84),+IF($AQ$18='2. Customer Classes'!$B$18,+SUM('3. Consumption by Rate Class'!$L$73:$L$84),+IF($AQ$18='2. Customer Classes'!$B$19,+SUM('3. Consumption by Rate Class'!$O$73:$O$84),IF($AQ$18='2. Customer Classes'!$B$20,+SUM('3. Consumption by Rate Class'!$R$73:$R$84),0)))))))</f>
        <v>0</v>
      </c>
      <c r="AS25" s="458"/>
      <c r="AT25" s="70">
        <f t="shared" si="20"/>
        <v>0</v>
      </c>
      <c r="AU25" s="225">
        <f>+IF($AQ$18='2. Customer Classes'!$B$18,+SUM('3. Consumption by Rate Class'!$M$73:$M$84),+IF($AQ$18='2. Customer Classes'!$B$19,+SUM('3. Consumption by Rate Class'!$P$73:$P$84),IF($AQ$18='2. Customer Classes'!$B$20,+SUM('3. Consumption by Rate Class'!$S$73:$S$84),0)))</f>
        <v>0</v>
      </c>
      <c r="AV25" s="225">
        <f>IF($AQ$18='2. Customer Classes'!$B$14,+'4. Customer Growth'!$C21,+IF($AQ$18='2. Customer Classes'!$B$15,+'4. Customer Growth'!$E21,+IF($AQ$18='2. Customer Classes'!$B$16,+'4. Customer Growth'!$G21,+IF($AQ$18='2. Customer Classes'!$B$17,+'4. Customer Growth'!$I21,+IF($AQ$18='2. Customer Classes'!$B$18,+'4. Customer Growth'!$K21,+IF($AQ$18='2. Customer Classes'!$B$19,+'4. Customer Growth'!$M21,IF($AQ$18='2. Customer Classes'!$B$20,+'4. Customer Growth'!$O21,0)))))))</f>
        <v>0</v>
      </c>
      <c r="AW25" s="376">
        <f t="shared" si="21"/>
        <v>0</v>
      </c>
      <c r="AX25" s="379">
        <f t="shared" si="22"/>
        <v>0</v>
      </c>
      <c r="AY25" s="342">
        <f t="shared" si="23"/>
        <v>0</v>
      </c>
    </row>
    <row r="26" spans="2:51" ht="12.75" customHeight="1" x14ac:dyDescent="0.2">
      <c r="B26" s="190">
        <f>'4. Customer Growth'!B22</f>
        <v>2010</v>
      </c>
      <c r="C26" s="70">
        <f>IF($B$18='2. Customer Classes'!$B$14,+SUM('3. Consumption by Rate Class'!$D$85:$D$96),+IF($B$18='2. Customer Classes'!$B$15,+SUM('3. Consumption by Rate Class'!$F$85:$F$96),+IF($B$18='2. Customer Classes'!$B$16,+SUM('3. Consumption by Rate Class'!$H$85:$H$96),+IF($B$18='2. Customer Classes'!$B$17,+SUM('3. Consumption by Rate Class'!$J$85:$J$96),+IF($B$18='2. Customer Classes'!$B$18,+SUM('3. Consumption by Rate Class'!$L$85:$L$96),+IF($B$18='2. Customer Classes'!$B$19,+SUM('3. Consumption by Rate Class'!$O$85:$O$96),IF($B$18='2. Customer Classes'!$B$20,+SUM('3. Consumption by Rate Class'!$R$85:$R$96),0)))))))</f>
        <v>76510234.719999999</v>
      </c>
      <c r="D26" s="458"/>
      <c r="E26" s="70">
        <f t="shared" si="2"/>
        <v>76510234.719999999</v>
      </c>
      <c r="F26" s="70">
        <f>+IF($B$18='2. Customer Classes'!$B$18,+SUM('3. Consumption by Rate Class'!$M$85:$M$96),+IF($B$18='2. Customer Classes'!$B$19,+SUM('3. Consumption by Rate Class'!$P$85:$P$96),IF($B$18='2. Customer Classes'!$B$20,+SUM('3. Consumption by Rate Class'!$S$85:$S$96),0)))</f>
        <v>202775</v>
      </c>
      <c r="G26" s="70">
        <f>IF($B$18='2. Customer Classes'!$B$14,+'4. Customer Growth'!$C22,+IF($B$18='2. Customer Classes'!$B$15,+'4. Customer Growth'!$E22,+IF($B$18='2. Customer Classes'!$B$16,+'4. Customer Growth'!$G22,+IF($B$18='2. Customer Classes'!$B$17,+'4. Customer Growth'!$I22,+IF($B$18='2. Customer Classes'!$B$18,+'4. Customer Growth'!$K22,+IF($B$18='2. Customer Classes'!$B$19,+'4. Customer Growth'!$M22,IF($B$18='2. Customer Classes'!$B$20,+'4. Customer Growth'!$O22,0)))))))</f>
        <v>148</v>
      </c>
      <c r="H26" s="376">
        <f t="shared" si="3"/>
        <v>516961.0454054054</v>
      </c>
      <c r="I26" s="379">
        <f t="shared" si="4"/>
        <v>1370.1013513513512</v>
      </c>
      <c r="J26" s="342">
        <f t="shared" si="5"/>
        <v>2.6502990187140811E-3</v>
      </c>
      <c r="K26" s="183"/>
      <c r="L26" s="183"/>
      <c r="M26" s="190">
        <f t="shared" si="0"/>
        <v>2010</v>
      </c>
      <c r="N26" s="70">
        <f>IF($M$18='2. Customer Classes'!$B$14,+SUM('3. Consumption by Rate Class'!$D$85:$D$96),+IF($M$18='2. Customer Classes'!$B$15,+SUM('3. Consumption by Rate Class'!$F$85:$F$96),+IF($M$18='2. Customer Classes'!$B$16,+SUM('3. Consumption by Rate Class'!$H$85:$H$96),+IF($M$18='2. Customer Classes'!$B$17,+SUM('3. Consumption by Rate Class'!$J$85:$J$96),+IF($M$18='2. Customer Classes'!$B$18,+SUM('3. Consumption by Rate Class'!$L$85:$L$96),+IF($M$18='2. Customer Classes'!$B$19,+SUM('3. Consumption by Rate Class'!$O$85:$O$96),IF($M$18='2. Customer Classes'!$B$20,+SUM('3. Consumption by Rate Class'!$R$85:$R$96),0)))))))</f>
        <v>2383707.0499999998</v>
      </c>
      <c r="O26" s="458"/>
      <c r="P26" s="70">
        <f t="shared" si="6"/>
        <v>2383707.0499999998</v>
      </c>
      <c r="Q26" s="225">
        <f>+IF($M$18='2. Customer Classes'!$B$18,+SUM('3. Consumption by Rate Class'!$M$85:$M$96),+IF($M$18='2. Customer Classes'!$B$19,+SUM('3. Consumption by Rate Class'!$P$85:$P$96),IF($M$18='2. Customer Classes'!$B$20,+SUM('3. Consumption by Rate Class'!$S$85:$S$96),0)))</f>
        <v>6766</v>
      </c>
      <c r="R26" s="225">
        <f>IF($M$18='2. Customer Classes'!$B$14,+'4. Customer Growth'!$C22,+IF($M$18='2. Customer Classes'!$B$15,+'4. Customer Growth'!$E22,+IF($M$18='2. Customer Classes'!$B$16,+'4. Customer Growth'!$G22,+IF($M$18='2. Customer Classes'!$B$17,+'4. Customer Growth'!$I22,+IF($M$18='2. Customer Classes'!$B$18,+'4. Customer Growth'!$K22,+IF($M$18='2. Customer Classes'!$B$19,+'4. Customer Growth'!$M22,IF($M$18='2. Customer Classes'!$B$20,+'4. Customer Growth'!$O22,0)))))))</f>
        <v>2713</v>
      </c>
      <c r="S26" s="376">
        <f t="shared" si="7"/>
        <v>878.6240508661997</v>
      </c>
      <c r="T26" s="379">
        <f t="shared" si="8"/>
        <v>2.4939181717655732</v>
      </c>
      <c r="U26" s="342">
        <f t="shared" si="9"/>
        <v>2.8384360402004937E-3</v>
      </c>
      <c r="V26" s="64"/>
      <c r="W26" s="190">
        <f t="shared" si="1"/>
        <v>2010</v>
      </c>
      <c r="X26" s="70">
        <f>IF($W$18='2. Customer Classes'!$B$14,+SUM('3. Consumption by Rate Class'!$D$85:$D$96),+IF($W$18='2. Customer Classes'!$B$15,+SUM('3. Consumption by Rate Class'!$F$85:$F$96),+IF($W$18='2. Customer Classes'!$B$16,+SUM('3. Consumption by Rate Class'!$H$85:$H$96),+IF($W$18='2. Customer Classes'!$B$17,+SUM('3. Consumption by Rate Class'!$J$85:$J$96),+IF($W$18='2. Customer Classes'!$B$18,+SUM('3. Consumption by Rate Class'!$L$85:$L$96),+IF($W$18='2. Customer Classes'!$B$19,+SUM('3. Consumption by Rate Class'!$O$85:$O$96),IF($W$18='2. Customer Classes'!$B$20,+SUM('3. Consumption by Rate Class'!$R$85:$R$96),0)))))))</f>
        <v>233685.69</v>
      </c>
      <c r="Y26" s="458"/>
      <c r="Z26" s="70">
        <f t="shared" si="10"/>
        <v>233685.69</v>
      </c>
      <c r="AA26" s="225">
        <f>+IF($W$18='2. Customer Classes'!$B$18,+SUM('3. Consumption by Rate Class'!$M$85:$M$96),+IF($W$18='2. Customer Classes'!$B$19,+SUM('3. Consumption by Rate Class'!$P$85:$P$96),IF($W$18='2. Customer Classes'!$B$20,+SUM('3. Consumption by Rate Class'!$S$85:$S$96),0)))</f>
        <v>766</v>
      </c>
      <c r="AB26" s="225">
        <f>IF($W$18='2. Customer Classes'!$B$14,+'4. Customer Growth'!$C22,+IF($W$18='2. Customer Classes'!$B$15,+'4. Customer Growth'!$E22,+IF($W$18='2. Customer Classes'!$B$16,+'4. Customer Growth'!$G22,+IF($W$18='2. Customer Classes'!$B$17,+'4. Customer Growth'!$I22,+IF($W$18='2. Customer Classes'!$B$18,+'4. Customer Growth'!$K22,+IF($W$18='2. Customer Classes'!$B$19,+'4. Customer Growth'!$M22,IF($W$18='2. Customer Classes'!$B$20,+'4. Customer Growth'!$O22,0)))))))</f>
        <v>216</v>
      </c>
      <c r="AC26" s="376">
        <f t="shared" si="11"/>
        <v>1081.8781944444445</v>
      </c>
      <c r="AD26" s="379">
        <f t="shared" si="12"/>
        <v>3.5462962962962963</v>
      </c>
      <c r="AE26" s="342">
        <f t="shared" si="13"/>
        <v>3.2779071752318252E-3</v>
      </c>
      <c r="AG26" s="357">
        <f t="shared" si="14"/>
        <v>2010</v>
      </c>
      <c r="AH26" s="70">
        <f>IF($AG$18='2. Customer Classes'!$B$14,+SUM('3. Consumption by Rate Class'!$D$85:$D$96),+IF($AG$18='2. Customer Classes'!$B$15,+SUM('3. Consumption by Rate Class'!$F$85:$F$96),+IF($AG$18='2. Customer Classes'!$B$16,+SUM('3. Consumption by Rate Class'!$H$85:$H$96),+IF($AG$18='2. Customer Classes'!$B$17,+SUM('3. Consumption by Rate Class'!$J$85:$J$96),+IF($AG$18='2. Customer Classes'!$B$18,+SUM('3. Consumption by Rate Class'!$L$85:$L$96),+IF($AG$18='2. Customer Classes'!$B$19,+SUM('3. Consumption by Rate Class'!$O$85:$O$96),IF($AG$18='2. Customer Classes'!$B$20,+SUM('3. Consumption by Rate Class'!$R$85:$R$96),IF($AG$18='2. Customer Classes'!$B$21,+SUM('3. Consumption by Rate Class'!$U$85:$U$96),0))))))))</f>
        <v>458526.4</v>
      </c>
      <c r="AI26" s="458"/>
      <c r="AJ26" s="70">
        <f t="shared" si="15"/>
        <v>458526.4</v>
      </c>
      <c r="AK26" s="225">
        <f>+IF($AG$18='2. Customer Classes'!$B$18,+SUM('3. Consumption by Rate Class'!$M$85:$M$96),+IF($AG$18='2. Customer Classes'!$B$19,+SUM('3. Consumption by Rate Class'!$P$85:$P$96),IF($AG$18='2. Customer Classes'!$B$20,+SUM('3. Consumption by Rate Class'!$S$85:$S$96),IF($AG$18='2. Customer Classes'!$B$21,+SUM('3. Consumption by Rate Class'!$V$85:$V$96),0))))</f>
        <v>0</v>
      </c>
      <c r="AL26" s="225">
        <f>IF($AG$18='2. Customer Classes'!$B$14,+'4. Customer Growth'!$C22,+IF($AG$18='2. Customer Classes'!$B$15,+'4. Customer Growth'!$E22,+IF($AG$18='2. Customer Classes'!$B$16,+'4. Customer Growth'!$G22,+IF($AG$18='2. Customer Classes'!$B$17,+'4. Customer Growth'!$I22,+IF($AG$18='2. Customer Classes'!$B$18,+'4. Customer Growth'!$K22,+IF($AG$18='2. Customer Classes'!$B$19,+'4. Customer Growth'!$M22,IF($AG$18='2. Customer Classes'!$B$20,+'4. Customer Growth'!$O22,IF($AG$18='2. Customer Classes'!$B$21,+'4. Customer Growth'!$Q22,0))))))))</f>
        <v>20</v>
      </c>
      <c r="AM26" s="376">
        <f t="shared" si="16"/>
        <v>22926.32</v>
      </c>
      <c r="AN26" s="379">
        <f t="shared" si="17"/>
        <v>0</v>
      </c>
      <c r="AO26" s="342">
        <f t="shared" si="18"/>
        <v>0</v>
      </c>
      <c r="AQ26" s="357">
        <f t="shared" si="19"/>
        <v>2010</v>
      </c>
      <c r="AR26" s="70">
        <f>IF($AQ$18='2. Customer Classes'!$B$14,+SUM('3. Consumption by Rate Class'!$D$85:$D$96),+IF($AQ$18='2. Customer Classes'!$B$15,+SUM('3. Consumption by Rate Class'!$F$85:$F$96),+IF($AQ$18='2. Customer Classes'!$B$16,+SUM('3. Consumption by Rate Class'!$H$85:$H$96),+IF($AQ$18='2. Customer Classes'!$B$17,+SUM('3. Consumption by Rate Class'!$J$85:$J$96),+IF($AQ$18='2. Customer Classes'!$B$18,+SUM('3. Consumption by Rate Class'!$L$85:$L$96),+IF($AQ$18='2. Customer Classes'!$B$19,+SUM('3. Consumption by Rate Class'!$O$85:$O$96),IF($AQ$18='2. Customer Classes'!$B$20,+SUM('3. Consumption by Rate Class'!$R$85:$R$96),0)))))))</f>
        <v>0</v>
      </c>
      <c r="AS26" s="458"/>
      <c r="AT26" s="70">
        <f t="shared" si="20"/>
        <v>0</v>
      </c>
      <c r="AU26" s="225">
        <f>+IF($AQ$18='2. Customer Classes'!$B$18,+SUM('3. Consumption by Rate Class'!$M$85:$M$96),+IF($AQ$18='2. Customer Classes'!$B$19,+SUM('3. Consumption by Rate Class'!$P$85:$P$96),IF($AQ$18='2. Customer Classes'!$B$20,+SUM('3. Consumption by Rate Class'!$S$85:$S$96),0)))</f>
        <v>0</v>
      </c>
      <c r="AV26" s="225">
        <f>IF($AQ$18='2. Customer Classes'!$B$14,+'4. Customer Growth'!$C22,+IF($AQ$18='2. Customer Classes'!$B$15,+'4. Customer Growth'!$E22,+IF($AQ$18='2. Customer Classes'!$B$16,+'4. Customer Growth'!$G22,+IF($AQ$18='2. Customer Classes'!$B$17,+'4. Customer Growth'!$I22,+IF($AQ$18='2. Customer Classes'!$B$18,+'4. Customer Growth'!$K22,+IF($AQ$18='2. Customer Classes'!$B$19,+'4. Customer Growth'!$M22,IF($AQ$18='2. Customer Classes'!$B$20,+'4. Customer Growth'!$O22,0)))))))</f>
        <v>0</v>
      </c>
      <c r="AW26" s="376">
        <f t="shared" si="21"/>
        <v>0</v>
      </c>
      <c r="AX26" s="379">
        <f t="shared" si="22"/>
        <v>0</v>
      </c>
      <c r="AY26" s="342">
        <f t="shared" si="23"/>
        <v>0</v>
      </c>
    </row>
    <row r="27" spans="2:51" ht="12.75" customHeight="1" x14ac:dyDescent="0.2">
      <c r="B27" s="190">
        <f>'4. Customer Growth'!B23</f>
        <v>2011</v>
      </c>
      <c r="C27" s="70">
        <f>IF($B$18='2. Customer Classes'!$B$14,+SUM('3. Consumption by Rate Class'!$D$97:$D$108),+IF($B$18='2. Customer Classes'!$B$15,+SUM('3. Consumption by Rate Class'!$F$97:$F$108),+IF($B$18='2. Customer Classes'!$B$16,+SUM('3. Consumption by Rate Class'!$H$97:$H$108),+IF($B$18='2. Customer Classes'!$B$17,+SUM('3. Consumption by Rate Class'!$J$97:$J$108),+IF($B$18='2. Customer Classes'!$B$18,+SUM('3. Consumption by Rate Class'!$L$97:$L$108),+IF($B$18='2. Customer Classes'!$B$19,+SUM('3. Consumption by Rate Class'!$O$97:$O$108),IF($B$18='2. Customer Classes'!$B$20,+SUM('3. Consumption by Rate Class'!$R$97:$R$108),0)))))))</f>
        <v>74853997.430000007</v>
      </c>
      <c r="D27" s="458"/>
      <c r="E27" s="70">
        <f t="shared" si="2"/>
        <v>74853997.430000007</v>
      </c>
      <c r="F27" s="70">
        <f>+IF($B$18='2. Customer Classes'!$B$18,+SUM('3. Consumption by Rate Class'!$M$97:$M$108),+IF($B$18='2. Customer Classes'!$B$19,+SUM('3. Consumption by Rate Class'!$P$97:$P$108),IF($B$18='2. Customer Classes'!$B$20,+SUM('3. Consumption by Rate Class'!$S$97:$S$108),0)))</f>
        <v>203575</v>
      </c>
      <c r="G27" s="70">
        <f>IF($B$18='2. Customer Classes'!$B$14,+'4. Customer Growth'!$C23,+IF($B$18='2. Customer Classes'!$B$15,+'4. Customer Growth'!$E23,+IF($B$18='2. Customer Classes'!$B$16,+'4. Customer Growth'!$G23,+IF($B$18='2. Customer Classes'!$B$17,+'4. Customer Growth'!$I23,+IF($B$18='2. Customer Classes'!$B$18,+'4. Customer Growth'!$K23,+IF($B$18='2. Customer Classes'!$B$19,+'4. Customer Growth'!$M23,IF($B$18='2. Customer Classes'!$B$20,+'4. Customer Growth'!$O23,0)))))))</f>
        <v>145</v>
      </c>
      <c r="H27" s="376">
        <f t="shared" si="3"/>
        <v>516234.46503448283</v>
      </c>
      <c r="I27" s="379">
        <f t="shared" si="4"/>
        <v>1403.9655172413793</v>
      </c>
      <c r="J27" s="342">
        <f t="shared" si="5"/>
        <v>2.7196276349886845E-3</v>
      </c>
      <c r="K27" s="183"/>
      <c r="L27" s="183"/>
      <c r="M27" s="190">
        <f t="shared" si="0"/>
        <v>2011</v>
      </c>
      <c r="N27" s="70">
        <f>IF($M$18='2. Customer Classes'!$B$14,+SUM('3. Consumption by Rate Class'!$D$97:$D$108),+IF($M$18='2. Customer Classes'!$B$15,+SUM('3. Consumption by Rate Class'!$F$97:$F$108),+IF($M$18='2. Customer Classes'!$B$16,+SUM('3. Consumption by Rate Class'!$H$97:$H$108),+IF($M$18='2. Customer Classes'!$B$17,+SUM('3. Consumption by Rate Class'!$J$97:$J$108),+IF($M$18='2. Customer Classes'!$B$18,+SUM('3. Consumption by Rate Class'!$L$97:$L$108),+IF($M$18='2. Customer Classes'!$B$19,+SUM('3. Consumption by Rate Class'!$O$97:$O$108),IF($M$18='2. Customer Classes'!$B$20,+SUM('3. Consumption by Rate Class'!$R$97:$R$108),0)))))))</f>
        <v>2458955</v>
      </c>
      <c r="O27" s="458"/>
      <c r="P27" s="70">
        <f t="shared" si="6"/>
        <v>2458955</v>
      </c>
      <c r="Q27" s="225">
        <f>+IF($M$18='2. Customer Classes'!$B$18,+SUM('3. Consumption by Rate Class'!$M$97:$M$108),+IF($M$18='2. Customer Classes'!$B$19,+SUM('3. Consumption by Rate Class'!$P$97:$P$108),IF($M$18='2. Customer Classes'!$B$20,+SUM('3. Consumption by Rate Class'!$S$97:$S$108),0)))</f>
        <v>6840</v>
      </c>
      <c r="R27" s="225">
        <f>IF($M$18='2. Customer Classes'!$B$14,+'4. Customer Growth'!$C23,+IF($M$18='2. Customer Classes'!$B$15,+'4. Customer Growth'!$E23,+IF($M$18='2. Customer Classes'!$B$16,+'4. Customer Growth'!$G23,+IF($M$18='2. Customer Classes'!$B$17,+'4. Customer Growth'!$I23,+IF($M$18='2. Customer Classes'!$B$18,+'4. Customer Growth'!$K23,+IF($M$18='2. Customer Classes'!$B$19,+'4. Customer Growth'!$M23,IF($M$18='2. Customer Classes'!$B$20,+'4. Customer Growth'!$O23,0)))))))</f>
        <v>2769</v>
      </c>
      <c r="S27" s="376">
        <f t="shared" si="7"/>
        <v>888.02997472011555</v>
      </c>
      <c r="T27" s="379">
        <f t="shared" si="8"/>
        <v>2.4702058504875408</v>
      </c>
      <c r="U27" s="342">
        <f t="shared" si="9"/>
        <v>2.7816694490139103E-3</v>
      </c>
      <c r="V27" s="64"/>
      <c r="W27" s="190">
        <f t="shared" si="1"/>
        <v>2011</v>
      </c>
      <c r="X27" s="70">
        <f>IF($W$18='2. Customer Classes'!$B$14,+SUM('3. Consumption by Rate Class'!$D$97:$D$108),+IF($W$18='2. Customer Classes'!$B$15,+SUM('3. Consumption by Rate Class'!$F$97:$F$108),+IF($W$18='2. Customer Classes'!$B$16,+SUM('3. Consumption by Rate Class'!$H$97:$H$108),+IF($W$18='2. Customer Classes'!$B$17,+SUM('3. Consumption by Rate Class'!$J$97:$J$108),+IF($W$18='2. Customer Classes'!$B$18,+SUM('3. Consumption by Rate Class'!$L$97:$L$108),+IF($W$18='2. Customer Classes'!$B$19,+SUM('3. Consumption by Rate Class'!$O$97:$O$108),IF($W$18='2. Customer Classes'!$B$20,+SUM('3. Consumption by Rate Class'!$R$97:$R$108),0)))))))</f>
        <v>270899.02</v>
      </c>
      <c r="Y27" s="458"/>
      <c r="Z27" s="70">
        <f t="shared" si="10"/>
        <v>270899.02</v>
      </c>
      <c r="AA27" s="225">
        <f>+IF($W$18='2. Customer Classes'!$B$18,+SUM('3. Consumption by Rate Class'!$M$97:$M$108),+IF($W$18='2. Customer Classes'!$B$19,+SUM('3. Consumption by Rate Class'!$P$97:$P$108),IF($W$18='2. Customer Classes'!$B$20,+SUM('3. Consumption by Rate Class'!$S$97:$S$108),0)))</f>
        <v>734</v>
      </c>
      <c r="AB27" s="225">
        <f>IF($W$18='2. Customer Classes'!$B$14,+'4. Customer Growth'!$C23,+IF($W$18='2. Customer Classes'!$B$15,+'4. Customer Growth'!$E23,+IF($W$18='2. Customer Classes'!$B$16,+'4. Customer Growth'!$G23,+IF($W$18='2. Customer Classes'!$B$17,+'4. Customer Growth'!$I23,+IF($W$18='2. Customer Classes'!$B$18,+'4. Customer Growth'!$K23,+IF($W$18='2. Customer Classes'!$B$19,+'4. Customer Growth'!$M23,IF($W$18='2. Customer Classes'!$B$20,+'4. Customer Growth'!$O23,0)))))))</f>
        <v>209</v>
      </c>
      <c r="AC27" s="376">
        <f t="shared" si="11"/>
        <v>1296.1675598086126</v>
      </c>
      <c r="AD27" s="379">
        <f t="shared" si="12"/>
        <v>3.5119617224880382</v>
      </c>
      <c r="AE27" s="342">
        <f t="shared" si="13"/>
        <v>2.7094966973302448E-3</v>
      </c>
      <c r="AG27" s="357">
        <f t="shared" si="14"/>
        <v>2011</v>
      </c>
      <c r="AH27" s="70">
        <f>IF($AG$18='2. Customer Classes'!$B$14,+SUM('3. Consumption by Rate Class'!$D$97:$D$108),+IF($AG$18='2. Customer Classes'!$B$15,+SUM('3. Consumption by Rate Class'!$F$97:$F$108),+IF($AG$18='2. Customer Classes'!$B$16,+SUM('3. Consumption by Rate Class'!$H$97:$H$108),+IF($AG$18='2. Customer Classes'!$B$17,+SUM('3. Consumption by Rate Class'!$J$97:$J$108),+IF($AG$18='2. Customer Classes'!$B$18,+SUM('3. Consumption by Rate Class'!$L$97:$L$108),+IF($AG$18='2. Customer Classes'!$B$19,+SUM('3. Consumption by Rate Class'!$O$97:$O$108),IF($AG$18='2. Customer Classes'!$B$20,+SUM('3. Consumption by Rate Class'!$R$97:$R$108),IF($AG$18='2. Customer Classes'!$B$21,+SUM('3. Consumption by Rate Class'!$U$97:$U$108),0))))))))</f>
        <v>469307.04</v>
      </c>
      <c r="AI27" s="458"/>
      <c r="AJ27" s="70">
        <f t="shared" si="15"/>
        <v>469307.04</v>
      </c>
      <c r="AK27" s="225">
        <f>+IF($AG$18='2. Customer Classes'!$B$18,+SUM('3. Consumption by Rate Class'!$M$97:$M$108),+IF($AG$18='2. Customer Classes'!$B$19,+SUM('3. Consumption by Rate Class'!$P$97:$P$108),IF($AG$18='2. Customer Classes'!$B$20,+SUM('3. Consumption by Rate Class'!$S$97:$S$108),IF($AG$18='2. Customer Classes'!$B$21,+SUM('3. Consumption by Rate Class'!$V$97:$V$108),0))))</f>
        <v>0</v>
      </c>
      <c r="AL27" s="225">
        <f>IF($AG$18='2. Customer Classes'!$B$14,+'4. Customer Growth'!$C23,+IF($AG$18='2. Customer Classes'!$B$15,+'4. Customer Growth'!$E23,+IF($AG$18='2. Customer Classes'!$B$16,+'4. Customer Growth'!$G23,+IF($AG$18='2. Customer Classes'!$B$17,+'4. Customer Growth'!$I23,+IF($AG$18='2. Customer Classes'!$B$18,+'4. Customer Growth'!$K23,+IF($AG$18='2. Customer Classes'!$B$19,+'4. Customer Growth'!$M23,IF($AG$18='2. Customer Classes'!$B$20,+'4. Customer Growth'!$O23,IF($AG$18='2. Customer Classes'!$B$21,+'4. Customer Growth'!$Q23,0))))))))</f>
        <v>20</v>
      </c>
      <c r="AM27" s="376">
        <f t="shared" si="16"/>
        <v>23465.351999999999</v>
      </c>
      <c r="AN27" s="379">
        <f t="shared" si="17"/>
        <v>0</v>
      </c>
      <c r="AO27" s="342">
        <f t="shared" si="18"/>
        <v>0</v>
      </c>
      <c r="AQ27" s="357">
        <f t="shared" si="19"/>
        <v>2011</v>
      </c>
      <c r="AR27" s="70">
        <f>IF($AQ$18='2. Customer Classes'!$B$14,+SUM('3. Consumption by Rate Class'!$D$97:$D$108),+IF($AQ$18='2. Customer Classes'!$B$15,+SUM('3. Consumption by Rate Class'!$F$97:$F$108),+IF($AQ$18='2. Customer Classes'!$B$16,+SUM('3. Consumption by Rate Class'!$H$97:$H$108),+IF($AQ$18='2. Customer Classes'!$B$17,+SUM('3. Consumption by Rate Class'!$J$97:$J$108),+IF($AQ$18='2. Customer Classes'!$B$18,+SUM('3. Consumption by Rate Class'!$L$97:$L$108),+IF($AQ$18='2. Customer Classes'!$B$19,+SUM('3. Consumption by Rate Class'!$O$97:$O$108),IF($AQ$18='2. Customer Classes'!$B$20,+SUM('3. Consumption by Rate Class'!$R$97:$R$108),0)))))))</f>
        <v>0</v>
      </c>
      <c r="AS27" s="458"/>
      <c r="AT27" s="70">
        <f t="shared" si="20"/>
        <v>0</v>
      </c>
      <c r="AU27" s="225">
        <f>+IF($AQ$18='2. Customer Classes'!$B$18,+SUM('3. Consumption by Rate Class'!$M$97:$M$108),+IF($AQ$18='2. Customer Classes'!$B$19,+SUM('3. Consumption by Rate Class'!$P$97:$P$108),IF($AQ$18='2. Customer Classes'!$B$20,+SUM('3. Consumption by Rate Class'!$S$97:$S$108),0)))</f>
        <v>0</v>
      </c>
      <c r="AV27" s="225">
        <f>IF($AQ$18='2. Customer Classes'!$B$14,+'4. Customer Growth'!$C23,+IF($AQ$18='2. Customer Classes'!$B$15,+'4. Customer Growth'!$E23,+IF($AQ$18='2. Customer Classes'!$B$16,+'4. Customer Growth'!$G23,+IF($AQ$18='2. Customer Classes'!$B$17,+'4. Customer Growth'!$I23,+IF($AQ$18='2. Customer Classes'!$B$18,+'4. Customer Growth'!$K23,+IF($AQ$18='2. Customer Classes'!$B$19,+'4. Customer Growth'!$M23,IF($AQ$18='2. Customer Classes'!$B$20,+'4. Customer Growth'!$O23,0)))))))</f>
        <v>0</v>
      </c>
      <c r="AW27" s="376">
        <f t="shared" si="21"/>
        <v>0</v>
      </c>
      <c r="AX27" s="379">
        <f t="shared" si="22"/>
        <v>0</v>
      </c>
      <c r="AY27" s="342">
        <f t="shared" si="23"/>
        <v>0</v>
      </c>
    </row>
    <row r="28" spans="2:51" ht="12.75" customHeight="1" x14ac:dyDescent="0.2">
      <c r="B28" s="190">
        <f>'4. Customer Growth'!B24</f>
        <v>2012</v>
      </c>
      <c r="C28" s="70">
        <f>IF($B$18='2. Customer Classes'!$B$14,+SUM('3. Consumption by Rate Class'!$D$109:$D$120),+IF($B$18='2. Customer Classes'!$B$15,+SUM('3. Consumption by Rate Class'!$F$109:$F$120),+IF($B$18='2. Customer Classes'!$B$16,+SUM('3. Consumption by Rate Class'!$H$109:$H$120),+IF($B$18='2. Customer Classes'!$B$17,+SUM('3. Consumption by Rate Class'!$J$109:$J$120),+IF($B$18='2. Customer Classes'!$B$18,+SUM('3. Consumption by Rate Class'!$L$109:$L$120),+IF($B$18='2. Customer Classes'!$B$19,+SUM('3. Consumption by Rate Class'!$O$109:$O$120),IF($B$18='2. Customer Classes'!$B$20,+SUM('3. Consumption by Rate Class'!$R$109:$R$120),0)))))))</f>
        <v>74516293.329999998</v>
      </c>
      <c r="D28" s="458"/>
      <c r="E28" s="70">
        <f t="shared" si="2"/>
        <v>74516293.329999998</v>
      </c>
      <c r="F28" s="70">
        <f>+IF($B$18='2. Customer Classes'!$B$18,+SUM('3. Consumption by Rate Class'!$M$109:$M$120),+IF($B$18='2. Customer Classes'!$B$19,+SUM('3. Consumption by Rate Class'!$P$109:$P$120),IF($B$18='2. Customer Classes'!$B$20,+SUM('3. Consumption by Rate Class'!$S$109:$S$120),0)))</f>
        <v>207916</v>
      </c>
      <c r="G28" s="70">
        <f>IF($B$18='2. Customer Classes'!$B$14,+'4. Customer Growth'!$C24,+IF($B$18='2. Customer Classes'!$B$15,+'4. Customer Growth'!$E24,+IF($B$18='2. Customer Classes'!$B$16,+'4. Customer Growth'!$G24,+IF($B$18='2. Customer Classes'!$B$17,+'4. Customer Growth'!$I24,+IF($B$18='2. Customer Classes'!$B$18,+'4. Customer Growth'!$K24,+IF($B$18='2. Customer Classes'!$B$19,+'4. Customer Growth'!$M24,IF($B$18='2. Customer Classes'!$B$20,+'4. Customer Growth'!$O24,0)))))))</f>
        <v>145</v>
      </c>
      <c r="H28" s="376">
        <f t="shared" si="3"/>
        <v>513905.47124137927</v>
      </c>
      <c r="I28" s="379">
        <f t="shared" si="4"/>
        <v>1433.903448275862</v>
      </c>
      <c r="J28" s="342">
        <f t="shared" si="5"/>
        <v>2.7902085665913517E-3</v>
      </c>
      <c r="K28" s="183"/>
      <c r="L28" s="183"/>
      <c r="M28" s="190">
        <f t="shared" si="0"/>
        <v>2012</v>
      </c>
      <c r="N28" s="70">
        <f>IF($M$18='2. Customer Classes'!$B$14,+SUM('3. Consumption by Rate Class'!$D$109:$D$120),+IF($M$18='2. Customer Classes'!$B$15,+SUM('3. Consumption by Rate Class'!$F$109:$F$120),+IF($M$18='2. Customer Classes'!$B$16,+SUM('3. Consumption by Rate Class'!$H$109:$H$120),+IF($M$18='2. Customer Classes'!$B$17,+SUM('3. Consumption by Rate Class'!$J$109:$J$120),+IF($M$18='2. Customer Classes'!$B$18,+SUM('3. Consumption by Rate Class'!$L$109:$L$120),+IF($M$18='2. Customer Classes'!$B$19,+SUM('3. Consumption by Rate Class'!$O$109:$O$120),IF($M$18='2. Customer Classes'!$B$20,+SUM('3. Consumption by Rate Class'!$R$109:$R$120),0)))))))</f>
        <v>2432689.94</v>
      </c>
      <c r="O28" s="458"/>
      <c r="P28" s="70">
        <f t="shared" si="6"/>
        <v>2432689.94</v>
      </c>
      <c r="Q28" s="225">
        <f>+IF($M$18='2. Customer Classes'!$B$18,+SUM('3. Consumption by Rate Class'!$M$109:$M$120),+IF($M$18='2. Customer Classes'!$B$19,+SUM('3. Consumption by Rate Class'!$P$109:$P$120),IF($M$18='2. Customer Classes'!$B$20,+SUM('3. Consumption by Rate Class'!$S$109:$S$120),0)))</f>
        <v>6768.3999999999987</v>
      </c>
      <c r="R28" s="225">
        <f>IF($M$18='2. Customer Classes'!$B$14,+'4. Customer Growth'!$C24,+IF($M$18='2. Customer Classes'!$B$15,+'4. Customer Growth'!$E24,+IF($M$18='2. Customer Classes'!$B$16,+'4. Customer Growth'!$G24,+IF($M$18='2. Customer Classes'!$B$17,+'4. Customer Growth'!$I24,+IF($M$18='2. Customer Classes'!$B$18,+'4. Customer Growth'!$K24,+IF($M$18='2. Customer Classes'!$B$19,+'4. Customer Growth'!$M24,IF($M$18='2. Customer Classes'!$B$20,+'4. Customer Growth'!$O24,0)))))))</f>
        <v>2774.5</v>
      </c>
      <c r="S28" s="376">
        <f t="shared" si="7"/>
        <v>876.80300594701748</v>
      </c>
      <c r="T28" s="379">
        <f t="shared" si="8"/>
        <v>2.4395026130834379</v>
      </c>
      <c r="U28" s="342">
        <f t="shared" si="9"/>
        <v>2.7822699016052982E-3</v>
      </c>
      <c r="V28" s="64"/>
      <c r="W28" s="190">
        <f t="shared" si="1"/>
        <v>2012</v>
      </c>
      <c r="X28" s="70">
        <f>IF($W$18='2. Customer Classes'!$B$14,+SUM('3. Consumption by Rate Class'!$D$109:$D$120),+IF($W$18='2. Customer Classes'!$B$15,+SUM('3. Consumption by Rate Class'!$F$109:$F$120),+IF($W$18='2. Customer Classes'!$B$16,+SUM('3. Consumption by Rate Class'!$H$109:$H$120),+IF($W$18='2. Customer Classes'!$B$17,+SUM('3. Consumption by Rate Class'!$J$109:$J$120),+IF($W$18='2. Customer Classes'!$B$18,+SUM('3. Consumption by Rate Class'!$L$109:$L$120),+IF($W$18='2. Customer Classes'!$B$19,+SUM('3. Consumption by Rate Class'!$O$109:$O$120),IF($W$18='2. Customer Classes'!$B$20,+SUM('3. Consumption by Rate Class'!$R$109:$R$120),0)))))))</f>
        <v>243747.31</v>
      </c>
      <c r="Y28" s="458"/>
      <c r="Z28" s="70">
        <f t="shared" si="10"/>
        <v>243747.31</v>
      </c>
      <c r="AA28" s="225">
        <f>+IF($W$18='2. Customer Classes'!$B$18,+SUM('3. Consumption by Rate Class'!$M$109:$M$120),+IF($W$18='2. Customer Classes'!$B$19,+SUM('3. Consumption by Rate Class'!$P$109:$P$120),IF($W$18='2. Customer Classes'!$B$20,+SUM('3. Consumption by Rate Class'!$S$109:$S$120),0)))</f>
        <v>713</v>
      </c>
      <c r="AB28" s="225">
        <f>IF($W$18='2. Customer Classes'!$B$14,+'4. Customer Growth'!$C24,+IF($W$18='2. Customer Classes'!$B$15,+'4. Customer Growth'!$E24,+IF($W$18='2. Customer Classes'!$B$16,+'4. Customer Growth'!$G24,+IF($W$18='2. Customer Classes'!$B$17,+'4. Customer Growth'!$I24,+IF($W$18='2. Customer Classes'!$B$18,+'4. Customer Growth'!$K24,+IF($W$18='2. Customer Classes'!$B$19,+'4. Customer Growth'!$M24,IF($W$18='2. Customer Classes'!$B$20,+'4. Customer Growth'!$O24,0)))))))</f>
        <v>208.5</v>
      </c>
      <c r="AC28" s="376">
        <f t="shared" si="11"/>
        <v>1169.0518465227817</v>
      </c>
      <c r="AD28" s="379">
        <f t="shared" si="12"/>
        <v>3.4196642685851319</v>
      </c>
      <c r="AE28" s="342">
        <f t="shared" si="13"/>
        <v>2.9251604868993221E-3</v>
      </c>
      <c r="AG28" s="357">
        <f t="shared" si="14"/>
        <v>2012</v>
      </c>
      <c r="AH28" s="70">
        <f>IF($AG$18='2. Customer Classes'!$B$14,+SUM('3. Consumption by Rate Class'!$D$109:$D$120),+IF($AG$18='2. Customer Classes'!$B$15,+SUM('3. Consumption by Rate Class'!$F$109:$F$120),+IF($AG$18='2. Customer Classes'!$B$16,+SUM('3. Consumption by Rate Class'!$H$109:$H$120),+IF($AG$18='2. Customer Classes'!$B$17,+SUM('3. Consumption by Rate Class'!$J$109:$J$120),+IF($AG$18='2. Customer Classes'!$B$18,+SUM('3. Consumption by Rate Class'!$L$109:$L$120),+IF($AG$18='2. Customer Classes'!$B$19,+SUM('3. Consumption by Rate Class'!$O$109:$O$120),IF($AG$18='2. Customer Classes'!$B$20,+SUM('3. Consumption by Rate Class'!$R$109:$R$120),IF($AG$18='2. Customer Classes'!$B$21,+SUM('3. Consumption by Rate Class'!$U$109:$U$120),0))))))))</f>
        <v>448159.09</v>
      </c>
      <c r="AI28" s="458"/>
      <c r="AJ28" s="70">
        <f t="shared" si="15"/>
        <v>448159.09</v>
      </c>
      <c r="AK28" s="540">
        <f>+IF($AG$18='2. Customer Classes'!$B$18,+SUM('3. Consumption by Rate Class'!$M$109:$M$120),+IF($AG$18='2. Customer Classes'!$B$19,+SUM('3. Consumption by Rate Class'!$P$109:$P$120),IF($AG$18='2. Customer Classes'!$B$20,+SUM('3. Consumption by Rate Class'!$S$109:$S$120),IF($AG$18='2. Customer Classes'!$B$21,+SUM('3. Consumption by Rate Class'!$V$109:$V$120),0))))</f>
        <v>0</v>
      </c>
      <c r="AL28" s="225">
        <f>IF($AG$18='2. Customer Classes'!$B$14,+'4. Customer Growth'!$C24,+IF($AG$18='2. Customer Classes'!$B$15,+'4. Customer Growth'!$E24,+IF($AG$18='2. Customer Classes'!$B$16,+'4. Customer Growth'!$G24,+IF($AG$18='2. Customer Classes'!$B$17,+'4. Customer Growth'!$I24,+IF($AG$18='2. Customer Classes'!$B$18,+'4. Customer Growth'!$K24,+IF($AG$18='2. Customer Classes'!$B$19,+'4. Customer Growth'!$M24,IF($AG$18='2. Customer Classes'!$B$20,+'4. Customer Growth'!$O24,IF($AG$18='2. Customer Classes'!$B$21,+'4. Customer Growth'!$Q24,0))))))))</f>
        <v>20</v>
      </c>
      <c r="AM28" s="376">
        <f t="shared" si="16"/>
        <v>22407.9545</v>
      </c>
      <c r="AN28" s="379">
        <f t="shared" si="17"/>
        <v>0</v>
      </c>
      <c r="AO28" s="342">
        <f t="shared" si="18"/>
        <v>0</v>
      </c>
      <c r="AQ28" s="357">
        <f t="shared" si="19"/>
        <v>2012</v>
      </c>
      <c r="AR28" s="70">
        <f>IF($AQ$18='2. Customer Classes'!$B$14,+SUM('3. Consumption by Rate Class'!$D$109:$D$120),+IF($AQ$18='2. Customer Classes'!$B$15,+SUM('3. Consumption by Rate Class'!$F$109:$F$120),+IF($AQ$18='2. Customer Classes'!$B$16,+SUM('3. Consumption by Rate Class'!$H$109:$H$120),+IF($AQ$18='2. Customer Classes'!$B$17,+SUM('3. Consumption by Rate Class'!$J$109:$J$120),+IF($AQ$18='2. Customer Classes'!$B$18,+SUM('3. Consumption by Rate Class'!$L$109:$L$120),+IF($AQ$18='2. Customer Classes'!$B$19,+SUM('3. Consumption by Rate Class'!$O$109:$O$120),IF($AQ$18='2. Customer Classes'!$B$20,+SUM('3. Consumption by Rate Class'!$R$109:$R$120),0)))))))</f>
        <v>0</v>
      </c>
      <c r="AS28" s="458"/>
      <c r="AT28" s="70">
        <f t="shared" si="20"/>
        <v>0</v>
      </c>
      <c r="AU28" s="225">
        <f>+IF($AQ$18='2. Customer Classes'!$B$18,+SUM('3. Consumption by Rate Class'!$M$109:$M$120),+IF($AQ$18='2. Customer Classes'!$B$19,+SUM('3. Consumption by Rate Class'!$P$109:$P$120),IF($AQ$18='2. Customer Classes'!$B$20,+SUM('3. Consumption by Rate Class'!$S$109:$S$120),0)))</f>
        <v>0</v>
      </c>
      <c r="AV28" s="225">
        <f>IF($AQ$18='2. Customer Classes'!$B$14,+'4. Customer Growth'!$C24,+IF($AQ$18='2. Customer Classes'!$B$15,+'4. Customer Growth'!$E24,+IF($AQ$18='2. Customer Classes'!$B$16,+'4. Customer Growth'!$G24,+IF($AQ$18='2. Customer Classes'!$B$17,+'4. Customer Growth'!$I24,+IF($AQ$18='2. Customer Classes'!$B$18,+'4. Customer Growth'!$K24,+IF($AQ$18='2. Customer Classes'!$B$19,+'4. Customer Growth'!$M24,IF($AQ$18='2. Customer Classes'!$B$20,+'4. Customer Growth'!$O24,0)))))))</f>
        <v>0</v>
      </c>
      <c r="AW28" s="376">
        <f t="shared" si="21"/>
        <v>0</v>
      </c>
      <c r="AX28" s="379">
        <f t="shared" si="22"/>
        <v>0</v>
      </c>
      <c r="AY28" s="342">
        <f t="shared" si="23"/>
        <v>0</v>
      </c>
    </row>
    <row r="29" spans="2:51" ht="12.75" customHeight="1" x14ac:dyDescent="0.2">
      <c r="B29" s="190">
        <f>'4. Customer Growth'!B25</f>
        <v>2013</v>
      </c>
      <c r="C29" s="70">
        <f>IF($B$18='2. Customer Classes'!$B$14,+SUM('3. Consumption by Rate Class'!$D$121:$D$132),+IF($B$18='2. Customer Classes'!$B$15,+SUM('3. Consumption by Rate Class'!$F$121:$F$132),+IF($B$18='2. Customer Classes'!$B$16,+SUM('3. Consumption by Rate Class'!$H$121:$H$132),+IF($B$18='2. Customer Classes'!$B$17,+SUM('3. Consumption by Rate Class'!$J$121:$J$132),+IF($B$18='2. Customer Classes'!$B$18,+SUM('3. Consumption by Rate Class'!$L$121:$L$132),+IF($B$18='2. Customer Classes'!$B$19,+SUM('3. Consumption by Rate Class'!$O$121:$O$132),IF($B$18='2. Customer Classes'!$B$20,+SUM('3. Consumption by Rate Class'!$R$121:$R$132),0)))))))</f>
        <v>73596923.409999996</v>
      </c>
      <c r="D29" s="458"/>
      <c r="E29" s="70">
        <f t="shared" si="2"/>
        <v>73596923.409999996</v>
      </c>
      <c r="F29" s="70">
        <f>+IF($B$18='2. Customer Classes'!$B$18,+SUM('3. Consumption by Rate Class'!$M$121:$M$132),+IF($B$18='2. Customer Classes'!$B$19,+SUM('3. Consumption by Rate Class'!$P$121:$P$132),IF($B$18='2. Customer Classes'!$B$20,+SUM('3. Consumption by Rate Class'!$S$121:$S$132),0)))</f>
        <v>216501</v>
      </c>
      <c r="G29" s="70">
        <f>IF($B$18='2. Customer Classes'!$B$14,+'4. Customer Growth'!$C25,+IF($B$18='2. Customer Classes'!$B$15,+'4. Customer Growth'!$E25,+IF($B$18='2. Customer Classes'!$B$16,+'4. Customer Growth'!$G25,+IF($B$18='2. Customer Classes'!$B$17,+'4. Customer Growth'!$I25,+IF($B$18='2. Customer Classes'!$B$18,+'4. Customer Growth'!$K25,+IF($B$18='2. Customer Classes'!$B$19,+'4. Customer Growth'!$M25,IF($B$18='2. Customer Classes'!$B$20,+'4. Customer Growth'!$O25,0)))))))</f>
        <v>145.5</v>
      </c>
      <c r="H29" s="376">
        <f t="shared" si="3"/>
        <v>505820.7794501718</v>
      </c>
      <c r="I29" s="379">
        <f t="shared" si="4"/>
        <v>1487.979381443299</v>
      </c>
      <c r="J29" s="342">
        <f t="shared" si="5"/>
        <v>2.9417126418980564E-3</v>
      </c>
      <c r="K29" s="183"/>
      <c r="L29" s="183"/>
      <c r="M29" s="190">
        <f t="shared" si="0"/>
        <v>2013</v>
      </c>
      <c r="N29" s="70">
        <f>IF($M$18='2. Customer Classes'!$B$14,+SUM('3. Consumption by Rate Class'!$D$121:$D$132),+IF($M$18='2. Customer Classes'!$B$15,+SUM('3. Consumption by Rate Class'!$F$121:$F$132),+IF($M$18='2. Customer Classes'!$B$16,+SUM('3. Consumption by Rate Class'!$H$121:$H$132),+IF($M$18='2. Customer Classes'!$B$17,+SUM('3. Consumption by Rate Class'!$J$121:$J$132),+IF($M$18='2. Customer Classes'!$B$18,+SUM('3. Consumption by Rate Class'!$L$121:$L$132),+IF($M$18='2. Customer Classes'!$B$19,+SUM('3. Consumption by Rate Class'!$O$121:$O$132),IF($M$18='2. Customer Classes'!$B$20,+SUM('3. Consumption by Rate Class'!$R$121:$R$132),0)))))))</f>
        <v>2424248.81</v>
      </c>
      <c r="O29" s="458"/>
      <c r="P29" s="70">
        <f t="shared" si="6"/>
        <v>2424248.81</v>
      </c>
      <c r="Q29" s="225">
        <f>+IF($M$18='2. Customer Classes'!$B$18,+SUM('3. Consumption by Rate Class'!$M$121:$M$132),+IF($M$18='2. Customer Classes'!$B$19,+SUM('3. Consumption by Rate Class'!$P$121:$P$132),IF($M$18='2. Customer Classes'!$B$20,+SUM('3. Consumption by Rate Class'!$S$121:$S$132),0)))</f>
        <v>6765.9000000000005</v>
      </c>
      <c r="R29" s="225">
        <f>IF($M$18='2. Customer Classes'!$B$14,+'4. Customer Growth'!$C25,+IF($M$18='2. Customer Classes'!$B$15,+'4. Customer Growth'!$E25,+IF($M$18='2. Customer Classes'!$B$16,+'4. Customer Growth'!$G25,+IF($M$18='2. Customer Classes'!$B$17,+'4. Customer Growth'!$I25,+IF($M$18='2. Customer Classes'!$B$18,+'4. Customer Growth'!$K25,+IF($M$18='2. Customer Classes'!$B$19,+'4. Customer Growth'!$M25,IF($M$18='2. Customer Classes'!$B$20,+'4. Customer Growth'!$O25,0)))))))</f>
        <v>2787</v>
      </c>
      <c r="S29" s="376">
        <f t="shared" si="7"/>
        <v>869.84169716541089</v>
      </c>
      <c r="T29" s="379">
        <f t="shared" si="8"/>
        <v>2.4276641550053824</v>
      </c>
      <c r="U29" s="342">
        <f t="shared" si="9"/>
        <v>2.7909263983510011E-3</v>
      </c>
      <c r="V29" s="64"/>
      <c r="W29" s="190">
        <f t="shared" si="1"/>
        <v>2013</v>
      </c>
      <c r="X29" s="70">
        <f>IF($W$18='2. Customer Classes'!$B$14,+SUM('3. Consumption by Rate Class'!$D$121:$D$132),+IF($W$18='2. Customer Classes'!$B$15,+SUM('3. Consumption by Rate Class'!$F$121:$F$132),+IF($W$18='2. Customer Classes'!$B$16,+SUM('3. Consumption by Rate Class'!$H$121:$H$132),+IF($W$18='2. Customer Classes'!$B$17,+SUM('3. Consumption by Rate Class'!$J$121:$J$132),+IF($W$18='2. Customer Classes'!$B$18,+SUM('3. Consumption by Rate Class'!$L$121:$L$132),+IF($W$18='2. Customer Classes'!$B$19,+SUM('3. Consumption by Rate Class'!$O$121:$O$132),IF($W$18='2. Customer Classes'!$B$20,+SUM('3. Consumption by Rate Class'!$R$121:$R$132),0)))))))</f>
        <v>270899.02</v>
      </c>
      <c r="Y29" s="458"/>
      <c r="Z29" s="70">
        <f t="shared" si="10"/>
        <v>270899.02</v>
      </c>
      <c r="AA29" s="225">
        <f>+IF($W$18='2. Customer Classes'!$B$18,+SUM('3. Consumption by Rate Class'!$M$121:$M$132),+IF($W$18='2. Customer Classes'!$B$19,+SUM('3. Consumption by Rate Class'!$P$121:$P$132),IF($W$18='2. Customer Classes'!$B$20,+SUM('3. Consumption by Rate Class'!$S$121:$S$132),0)))</f>
        <v>700</v>
      </c>
      <c r="AB29" s="225">
        <f>IF($W$18='2. Customer Classes'!$B$14,+'4. Customer Growth'!$C25,+IF($W$18='2. Customer Classes'!$B$15,+'4. Customer Growth'!$E25,+IF($W$18='2. Customer Classes'!$B$16,+'4. Customer Growth'!$G25,+IF($W$18='2. Customer Classes'!$B$17,+'4. Customer Growth'!$I25,+IF($W$18='2. Customer Classes'!$B$18,+'4. Customer Growth'!$K25,+IF($W$18='2. Customer Classes'!$B$19,+'4. Customer Growth'!$M25,IF($W$18='2. Customer Classes'!$B$20,+'4. Customer Growth'!$O25,0)))))))</f>
        <v>206.5</v>
      </c>
      <c r="AC29" s="376">
        <f t="shared" si="11"/>
        <v>1311.8596610169493</v>
      </c>
      <c r="AD29" s="379">
        <f t="shared" si="12"/>
        <v>3.3898305084745761</v>
      </c>
      <c r="AE29" s="342">
        <f t="shared" si="13"/>
        <v>2.5839886759280264E-3</v>
      </c>
      <c r="AG29" s="357">
        <f t="shared" si="14"/>
        <v>2013</v>
      </c>
      <c r="AH29" s="70">
        <f>IF($AG$18='2. Customer Classes'!$B$14,+SUM('3. Consumption by Rate Class'!$D$121:$D$132),+IF($AG$18='2. Customer Classes'!$B$15,+SUM('3. Consumption by Rate Class'!$F$121:$F$132),+IF($AG$18='2. Customer Classes'!$B$16,+SUM('3. Consumption by Rate Class'!$H$121:$H$132),+IF($AG$18='2. Customer Classes'!$B$17,+SUM('3. Consumption by Rate Class'!$J$121:$J$132),+IF($AG$18='2. Customer Classes'!$B$18,+SUM('3. Consumption by Rate Class'!$L$121:$L$132),+IF($AG$18='2. Customer Classes'!$B$19,+SUM('3. Consumption by Rate Class'!$O$121:$O$132),IF($AG$18='2. Customer Classes'!$B$20,+SUM('3. Consumption by Rate Class'!$R$121:$R$132),IF($AG$18='2. Customer Classes'!$B$21,+SUM('3. Consumption by Rate Class'!$U$121:$U$132),0))))))))</f>
        <v>453470.7</v>
      </c>
      <c r="AI29" s="458"/>
      <c r="AJ29" s="70">
        <f t="shared" si="15"/>
        <v>453470.7</v>
      </c>
      <c r="AK29" s="225">
        <f>+IF($AG$18='2. Customer Classes'!$B$18,+SUM('3. Consumption by Rate Class'!$M$121:$M$132),+IF($AG$18='2. Customer Classes'!$B$19,+SUM('3. Consumption by Rate Class'!$P$121:$P$132),IF($AG$18='2. Customer Classes'!$B$20,+SUM('3. Consumption by Rate Class'!$S$121:$S$132),IF($AG$18='2. Customer Classes'!$B$21,+SUM('3. Consumption by Rate Class'!$V$121:$V$132),0))))</f>
        <v>0</v>
      </c>
      <c r="AL29" s="225">
        <f>IF($AG$18='2. Customer Classes'!$B$14,+'4. Customer Growth'!$C25,+IF($AG$18='2. Customer Classes'!$B$15,+'4. Customer Growth'!$E25,+IF($AG$18='2. Customer Classes'!$B$16,+'4. Customer Growth'!$G25,+IF($AG$18='2. Customer Classes'!$B$17,+'4. Customer Growth'!$I25,+IF($AG$18='2. Customer Classes'!$B$18,+'4. Customer Growth'!$K25,+IF($AG$18='2. Customer Classes'!$B$19,+'4. Customer Growth'!$M25,IF($AG$18='2. Customer Classes'!$B$20,+'4. Customer Growth'!$O25,IF($AG$18='2. Customer Classes'!$B$21,+'4. Customer Growth'!$Q25,0))))))))</f>
        <v>20</v>
      </c>
      <c r="AM29" s="376">
        <f t="shared" si="16"/>
        <v>22673.535</v>
      </c>
      <c r="AN29" s="379">
        <f t="shared" si="17"/>
        <v>0</v>
      </c>
      <c r="AO29" s="342">
        <f t="shared" si="18"/>
        <v>0</v>
      </c>
      <c r="AQ29" s="357">
        <f t="shared" si="19"/>
        <v>2013</v>
      </c>
      <c r="AR29" s="70">
        <f>IF($AQ$18='2. Customer Classes'!$B$14,+SUM('3. Consumption by Rate Class'!$D$121:$D$132),+IF($AQ$18='2. Customer Classes'!$B$15,+SUM('3. Consumption by Rate Class'!$F$121:$F$132),+IF($AQ$18='2. Customer Classes'!$B$16,+SUM('3. Consumption by Rate Class'!$H$121:$H$132),+IF($AQ$18='2. Customer Classes'!$B$17,+SUM('3. Consumption by Rate Class'!$J$121:$J$132),+IF($AQ$18='2. Customer Classes'!$B$18,+SUM('3. Consumption by Rate Class'!$L$121:$L$132),+IF($AQ$18='2. Customer Classes'!$B$19,+SUM('3. Consumption by Rate Class'!$O$121:$O$132),IF($AQ$18='2. Customer Classes'!$B$20,+SUM('3. Consumption by Rate Class'!$R$121:$R$132),0)))))))</f>
        <v>0</v>
      </c>
      <c r="AS29" s="458"/>
      <c r="AT29" s="70">
        <f t="shared" si="20"/>
        <v>0</v>
      </c>
      <c r="AU29" s="225">
        <f>+IF($AQ$18='2. Customer Classes'!$B$18,+SUM('3. Consumption by Rate Class'!$M$121:$M$132),+IF($AQ$18='2. Customer Classes'!$B$19,+SUM('3. Consumption by Rate Class'!$P$121:$P$132),IF($AQ$18='2. Customer Classes'!$B$20,+SUM('3. Consumption by Rate Class'!$S$121:$S$132),0)))</f>
        <v>0</v>
      </c>
      <c r="AV29" s="225">
        <f>IF($AQ$18='2. Customer Classes'!$B$14,+'4. Customer Growth'!$C25,+IF($AQ$18='2. Customer Classes'!$B$15,+'4. Customer Growth'!$E25,+IF($AQ$18='2. Customer Classes'!$B$16,+'4. Customer Growth'!$G25,+IF($AQ$18='2. Customer Classes'!$B$17,+'4. Customer Growth'!$I25,+IF($AQ$18='2. Customer Classes'!$B$18,+'4. Customer Growth'!$K25,+IF($AQ$18='2. Customer Classes'!$B$19,+'4. Customer Growth'!$M25,IF($AQ$18='2. Customer Classes'!$B$20,+'4. Customer Growth'!$O25,0)))))))</f>
        <v>0</v>
      </c>
      <c r="AW29" s="376">
        <f t="shared" si="21"/>
        <v>0</v>
      </c>
      <c r="AX29" s="379">
        <f t="shared" si="22"/>
        <v>0</v>
      </c>
      <c r="AY29" s="342">
        <f t="shared" si="23"/>
        <v>0</v>
      </c>
    </row>
    <row r="30" spans="2:51" ht="12.75" customHeight="1" x14ac:dyDescent="0.2">
      <c r="B30" s="190">
        <f>'4. Customer Growth'!B26</f>
        <v>2014</v>
      </c>
      <c r="C30" s="70">
        <f>IF($B$18='2. Customer Classes'!$B$14,+SUM('3. Consumption by Rate Class'!$D$133:$D$144),+IF($B$18='2. Customer Classes'!$B$15,+SUM('3. Consumption by Rate Class'!$F$133:$F$144),+IF($B$18='2. Customer Classes'!$B$16,+SUM('3. Consumption by Rate Class'!$H$133:$H$144),+IF($B$18='2. Customer Classes'!$B$17,+SUM('3. Consumption by Rate Class'!$J$133:$J$144),+IF($B$18='2. Customer Classes'!$B$18,+SUM('3. Consumption by Rate Class'!$L$133:$L$144),+IF($B$18='2. Customer Classes'!$B$19,+SUM('3. Consumption by Rate Class'!$O$133:$O$144),IF($B$18='2. Customer Classes'!$B$20,+SUM('3. Consumption by Rate Class'!$R$133:$R$144),0)))))))</f>
        <v>72512848.979999989</v>
      </c>
      <c r="D30" s="458"/>
      <c r="E30" s="70">
        <f t="shared" si="2"/>
        <v>72512848.979999989</v>
      </c>
      <c r="F30" s="70">
        <f>+IF($B$18='2. Customer Classes'!$B$18,+SUM('3. Consumption by Rate Class'!$M$133:$M$144),+IF($B$18='2. Customer Classes'!$B$19,+SUM('3. Consumption by Rate Class'!$P$133:$P$144),IF($B$18='2. Customer Classes'!$B$20,+SUM('3. Consumption by Rate Class'!$S$133:$S$144),0)))</f>
        <v>206399</v>
      </c>
      <c r="G30" s="70">
        <f>IF($B$18='2. Customer Classes'!$B$14,+'4. Customer Growth'!$C26,+IF($B$18='2. Customer Classes'!$B$15,+'4. Customer Growth'!$E26,+IF($B$18='2. Customer Classes'!$B$16,+'4. Customer Growth'!$G26,+IF($B$18='2. Customer Classes'!$B$17,+'4. Customer Growth'!$I26,+IF($B$18='2. Customer Classes'!$B$18,+'4. Customer Growth'!$K26,+IF($B$18='2. Customer Classes'!$B$19,+'4. Customer Growth'!$M26,IF($B$18='2. Customer Classes'!$B$20,+'4. Customer Growth'!$O26,0)))))))</f>
        <v>146.5</v>
      </c>
      <c r="H30" s="376">
        <f t="shared" si="3"/>
        <v>494968.25242320809</v>
      </c>
      <c r="I30" s="379">
        <f t="shared" si="4"/>
        <v>1408.8668941979522</v>
      </c>
      <c r="J30" s="342">
        <f t="shared" si="5"/>
        <v>2.8463783026498875E-3</v>
      </c>
      <c r="K30" s="183"/>
      <c r="L30" s="183"/>
      <c r="M30" s="190">
        <f t="shared" si="0"/>
        <v>2014</v>
      </c>
      <c r="N30" s="70">
        <f>IF($M$18='2. Customer Classes'!$B$14,+SUM('3. Consumption by Rate Class'!$D$133:$D$144),+IF($M$18='2. Customer Classes'!$B$15,+SUM('3. Consumption by Rate Class'!$F$133:$F$144),+IF($M$18='2. Customer Classes'!$B$16,+SUM('3. Consumption by Rate Class'!$H$133:$H$144),+IF($M$18='2. Customer Classes'!$B$17,+SUM('3. Consumption by Rate Class'!$J$133:$J$144),+IF($M$18='2. Customer Classes'!$B$18,+SUM('3. Consumption by Rate Class'!$L$133:$L$144),+IF($M$18='2. Customer Classes'!$B$19,+SUM('3. Consumption by Rate Class'!$O$133:$O$144),IF($M$18='2. Customer Classes'!$B$20,+SUM('3. Consumption by Rate Class'!$R$133:$R$144),0)))))))</f>
        <v>2439791.5699999998</v>
      </c>
      <c r="O30" s="458"/>
      <c r="P30" s="70">
        <f t="shared" si="6"/>
        <v>2439791.5699999998</v>
      </c>
      <c r="Q30" s="225">
        <f>+IF($M$18='2. Customer Classes'!$B$18,+SUM('3. Consumption by Rate Class'!$M$133:$M$144),+IF($M$18='2. Customer Classes'!$B$19,+SUM('3. Consumption by Rate Class'!$P$133:$P$144),IF($M$18='2. Customer Classes'!$B$20,+SUM('3. Consumption by Rate Class'!$S$133:$S$144),0)))</f>
        <v>6769.9599999999991</v>
      </c>
      <c r="R30" s="225">
        <f>IF($M$18='2. Customer Classes'!$B$14,+'4. Customer Growth'!$C26,+IF($M$18='2. Customer Classes'!$B$15,+'4. Customer Growth'!$E26,+IF($M$18='2. Customer Classes'!$B$16,+'4. Customer Growth'!$G26,+IF($M$18='2. Customer Classes'!$B$17,+'4. Customer Growth'!$I26,+IF($M$18='2. Customer Classes'!$B$18,+'4. Customer Growth'!$K26,+IF($M$18='2. Customer Classes'!$B$19,+'4. Customer Growth'!$M26,IF($M$18='2. Customer Classes'!$B$20,+'4. Customer Growth'!$O26,0)))))))</f>
        <v>2802.5</v>
      </c>
      <c r="S30" s="376">
        <f t="shared" si="7"/>
        <v>870.57683140053518</v>
      </c>
      <c r="T30" s="379">
        <f t="shared" si="8"/>
        <v>2.4156859946476357</v>
      </c>
      <c r="U30" s="342">
        <f t="shared" si="9"/>
        <v>2.7748108007439338E-3</v>
      </c>
      <c r="V30" s="64"/>
      <c r="W30" s="190">
        <f t="shared" si="1"/>
        <v>2014</v>
      </c>
      <c r="X30" s="70">
        <f>IF($W$18='2. Customer Classes'!$B$14,+SUM('3. Consumption by Rate Class'!$D$133:$D$144),+IF($W$18='2. Customer Classes'!$B$15,+SUM('3. Consumption by Rate Class'!$F$133:$F$144),+IF($W$18='2. Customer Classes'!$B$16,+SUM('3. Consumption by Rate Class'!$H$133:$H$144),+IF($W$18='2. Customer Classes'!$B$17,+SUM('3. Consumption by Rate Class'!$J$133:$J$144),+IF($W$18='2. Customer Classes'!$B$18,+SUM('3. Consumption by Rate Class'!$L$133:$L$144),+IF($W$18='2. Customer Classes'!$B$19,+SUM('3. Consumption by Rate Class'!$O$133:$O$144),IF($W$18='2. Customer Classes'!$B$20,+SUM('3. Consumption by Rate Class'!$R$133:$R$144),0)))))))</f>
        <v>245570.47</v>
      </c>
      <c r="Y30" s="458"/>
      <c r="Z30" s="70">
        <f t="shared" si="10"/>
        <v>245570.47</v>
      </c>
      <c r="AA30" s="225">
        <f>+IF($W$18='2. Customer Classes'!$B$18,+SUM('3. Consumption by Rate Class'!$M$133:$M$144),+IF($W$18='2. Customer Classes'!$B$19,+SUM('3. Consumption by Rate Class'!$P$133:$P$144),IF($W$18='2. Customer Classes'!$B$20,+SUM('3. Consumption by Rate Class'!$S$133:$S$144),0)))</f>
        <v>683.5</v>
      </c>
      <c r="AB30" s="225">
        <f>IF($W$18='2. Customer Classes'!$B$14,+'4. Customer Growth'!$C26,+IF($W$18='2. Customer Classes'!$B$15,+'4. Customer Growth'!$E26,+IF($W$18='2. Customer Classes'!$B$16,+'4. Customer Growth'!$G26,+IF($W$18='2. Customer Classes'!$B$17,+'4. Customer Growth'!$I26,+IF($W$18='2. Customer Classes'!$B$18,+'4. Customer Growth'!$K26,+IF($W$18='2. Customer Classes'!$B$19,+'4. Customer Growth'!$M26,IF($W$18='2. Customer Classes'!$B$20,+'4. Customer Growth'!$O26,0)))))))</f>
        <v>204</v>
      </c>
      <c r="AC30" s="376">
        <f t="shared" si="11"/>
        <v>1203.7768137254902</v>
      </c>
      <c r="AD30" s="379">
        <f t="shared" si="12"/>
        <v>3.3504901960784315</v>
      </c>
      <c r="AE30" s="342">
        <f t="shared" si="13"/>
        <v>2.7833151111369375E-3</v>
      </c>
      <c r="AG30" s="357">
        <f t="shared" si="14"/>
        <v>2014</v>
      </c>
      <c r="AH30" s="70">
        <f>IF($AG$18='2. Customer Classes'!$B$14,+SUM('3. Consumption by Rate Class'!$D$133:$D$144),+IF($AG$18='2. Customer Classes'!$B$15,+SUM('3. Consumption by Rate Class'!$F$133:$F$144),+IF($AG$18='2. Customer Classes'!$B$16,+SUM('3. Consumption by Rate Class'!$H$133:$H$144),+IF($AG$18='2. Customer Classes'!$B$17,+SUM('3. Consumption by Rate Class'!$J$133:$J$144),+IF($AG$18='2. Customer Classes'!$B$18,+SUM('3. Consumption by Rate Class'!$L$133:$L$144),+IF($AG$18='2. Customer Classes'!$B$19,+SUM('3. Consumption by Rate Class'!$O$133:$O$144),IF($AG$18='2. Customer Classes'!$B$20,+SUM('3. Consumption by Rate Class'!$R$133:$R$144),IF($AG$18='2. Customer Classes'!$B$21,+SUM('3. Consumption by Rate Class'!$U$133:$U$144),0))))))))</f>
        <v>454406.25</v>
      </c>
      <c r="AI30" s="458"/>
      <c r="AJ30" s="70">
        <f t="shared" si="15"/>
        <v>454406.25</v>
      </c>
      <c r="AK30" s="225">
        <f>+IF($AG$18='2. Customer Classes'!$B$18,+SUM('3. Consumption by Rate Class'!$M$133:$M$144),+IF($AG$18='2. Customer Classes'!$B$19,+SUM('3. Consumption by Rate Class'!$P$133:$P$144),IF($AG$18='2. Customer Classes'!$B$20,+SUM('3. Consumption by Rate Class'!$S$133:$S$144),IF($AG$18='2. Customer Classes'!$B$21,+SUM('3. Consumption by Rate Class'!$V$133:$V$144),0))))</f>
        <v>0</v>
      </c>
      <c r="AL30" s="225">
        <f>IF($AG$18='2. Customer Classes'!$B$14,+'4. Customer Growth'!$C26,+IF($AG$18='2. Customer Classes'!$B$15,+'4. Customer Growth'!$E26,+IF($AG$18='2. Customer Classes'!$B$16,+'4. Customer Growth'!$G26,+IF($AG$18='2. Customer Classes'!$B$17,+'4. Customer Growth'!$I26,+IF($AG$18='2. Customer Classes'!$B$18,+'4. Customer Growth'!$K26,+IF($AG$18='2. Customer Classes'!$B$19,+'4. Customer Growth'!$M26,IF($AG$18='2. Customer Classes'!$B$20,+'4. Customer Growth'!$O26,IF($AG$18='2. Customer Classes'!$B$21,+'4. Customer Growth'!$Q26,0))))))))</f>
        <v>20</v>
      </c>
      <c r="AM30" s="376">
        <f t="shared" si="16"/>
        <v>22720.3125</v>
      </c>
      <c r="AN30" s="379">
        <f t="shared" si="17"/>
        <v>0</v>
      </c>
      <c r="AO30" s="342">
        <f t="shared" si="18"/>
        <v>0</v>
      </c>
      <c r="AQ30" s="357">
        <f t="shared" si="19"/>
        <v>2014</v>
      </c>
      <c r="AR30" s="70">
        <f>IF($AQ$18='2. Customer Classes'!$B$14,+SUM('3. Consumption by Rate Class'!$D$133:$D$144),+IF($AQ$18='2. Customer Classes'!$B$15,+SUM('3. Consumption by Rate Class'!$F$133:$F$144),+IF($AQ$18='2. Customer Classes'!$B$16,+SUM('3. Consumption by Rate Class'!$H$133:$H$144),+IF($AQ$18='2. Customer Classes'!$B$17,+SUM('3. Consumption by Rate Class'!$J$133:$J$144),+IF($AQ$18='2. Customer Classes'!$B$18,+SUM('3. Consumption by Rate Class'!$L$133:$L$144),+IF($AQ$18='2. Customer Classes'!$B$19,+SUM('3. Consumption by Rate Class'!$O$133:$O$144),IF($AQ$18='2. Customer Classes'!$B$20,+SUM('3. Consumption by Rate Class'!$R$133:$R$144),0)))))))</f>
        <v>0</v>
      </c>
      <c r="AS30" s="458"/>
      <c r="AT30" s="70">
        <f t="shared" si="20"/>
        <v>0</v>
      </c>
      <c r="AU30" s="225">
        <f>+IF($AQ$18='2. Customer Classes'!$B$18,+SUM('3. Consumption by Rate Class'!$M$133:$M$144),+IF($AQ$18='2. Customer Classes'!$B$19,+SUM('3. Consumption by Rate Class'!$P$133:$P$144),IF($AQ$18='2. Customer Classes'!$B$20,+SUM('3. Consumption by Rate Class'!$S$133:$S$144),0)))</f>
        <v>0</v>
      </c>
      <c r="AV30" s="225">
        <f>IF($AQ$18='2. Customer Classes'!$B$14,+'4. Customer Growth'!$C26,+IF($AQ$18='2. Customer Classes'!$B$15,+'4. Customer Growth'!$E26,+IF($AQ$18='2. Customer Classes'!$B$16,+'4. Customer Growth'!$G26,+IF($AQ$18='2. Customer Classes'!$B$17,+'4. Customer Growth'!$I26,+IF($AQ$18='2. Customer Classes'!$B$18,+'4. Customer Growth'!$K26,+IF($AQ$18='2. Customer Classes'!$B$19,+'4. Customer Growth'!$M26,IF($AQ$18='2. Customer Classes'!$B$20,+'4. Customer Growth'!$O26,0)))))))</f>
        <v>0</v>
      </c>
      <c r="AW30" s="376">
        <f t="shared" si="21"/>
        <v>0</v>
      </c>
      <c r="AX30" s="379">
        <f t="shared" si="22"/>
        <v>0</v>
      </c>
      <c r="AY30" s="342">
        <f t="shared" si="23"/>
        <v>0</v>
      </c>
    </row>
    <row r="31" spans="2:51" ht="12.75" customHeight="1" x14ac:dyDescent="0.2">
      <c r="B31" s="190" t="str">
        <f>'4. Customer Growth'!B30</f>
        <v>2015</v>
      </c>
      <c r="C31" s="306">
        <f>+C30/'6. WS Regression Analysis'!$S$139*'6. WS Regression Analysis'!$S$151</f>
        <v>72299288.797186792</v>
      </c>
      <c r="D31" s="458"/>
      <c r="E31" s="70">
        <f t="shared" si="2"/>
        <v>72299288.797186792</v>
      </c>
      <c r="F31" s="283">
        <f>+E31*J34</f>
        <v>198917.84757842109</v>
      </c>
      <c r="G31" s="225">
        <f>IF($B$18='2. Customer Classes'!$B$14,+'4. Customer Growth'!$C42,+IF($B$18='2. Customer Classes'!$B$15,+'4. Customer Growth'!$E42,+IF($B$18='2. Customer Classes'!$B$16,+'4. Customer Growth'!$G42,+IF($B$18='2. Customer Classes'!$B$17,+'4. Customer Growth'!$I42,+IF($B$18='2. Customer Classes'!$B$18,+'4. Customer Growth'!$K42,+IF($B$18='2. Customer Classes'!$B$19,+'4. Customer Growth'!$M42,IF($B$18='2. Customer Classes'!$B$20,+'4. Customer Growth'!$O42,0)))))))</f>
        <v>146</v>
      </c>
      <c r="H31" s="376">
        <f t="shared" si="3"/>
        <v>495200.60819990956</v>
      </c>
      <c r="I31" s="379">
        <f t="shared" si="4"/>
        <v>1362.4510108111033</v>
      </c>
      <c r="J31" s="377"/>
      <c r="K31" s="80"/>
      <c r="L31" s="80"/>
      <c r="M31" s="190" t="str">
        <f t="shared" si="0"/>
        <v>2015</v>
      </c>
      <c r="N31" s="306">
        <f>+N30/'6. WS Regression Analysis'!$S$139*'6. WS Regression Analysis'!$S$151</f>
        <v>2432606.0526600452</v>
      </c>
      <c r="O31" s="458"/>
      <c r="P31" s="499">
        <f t="shared" si="6"/>
        <v>2432606.0526600452</v>
      </c>
      <c r="Q31" s="283">
        <f>P31*$U$34</f>
        <v>6772.6200970626942</v>
      </c>
      <c r="R31" s="225">
        <f>IF($M$18='2. Customer Classes'!$B$14,+'4. Customer Growth'!$C42,+IF($M$18='2. Customer Classes'!$B$15,+'4. Customer Growth'!$E42,+IF($M$18='2. Customer Classes'!$B$16,+'4. Customer Growth'!$G42,+IF($M$18='2. Customer Classes'!$B$17,+'4. Customer Growth'!$I42,+IF($M$18='2. Customer Classes'!$B$18,+'4. Customer Growth'!$K42,+IF($M$18='2. Customer Classes'!$B$19,+'4. Customer Growth'!$M42,IF($M$18='2. Customer Classes'!$B$20,+'4. Customer Growth'!$O42,0)))))))</f>
        <v>2825.4692256082153</v>
      </c>
      <c r="S31" s="376">
        <f t="shared" si="7"/>
        <v>860.9564848954949</v>
      </c>
      <c r="T31" s="379">
        <f t="shared" si="8"/>
        <v>2.396989510867813</v>
      </c>
      <c r="U31" s="85"/>
      <c r="V31" s="64"/>
      <c r="W31" s="190" t="str">
        <f t="shared" si="1"/>
        <v>2015</v>
      </c>
      <c r="X31" s="306">
        <f>+X30/'6. WS Regression Analysis'!$S$139*'6. WS Regression Analysis'!$S$151</f>
        <v>244847.23163322191</v>
      </c>
      <c r="Y31" s="458"/>
      <c r="Z31" s="70">
        <f t="shared" si="10"/>
        <v>244847.23163322191</v>
      </c>
      <c r="AA31" s="283">
        <f>Z31*$AE$34</f>
        <v>697.71463936548889</v>
      </c>
      <c r="AB31" s="225">
        <f>IF($W$18='2. Customer Classes'!$B$14,+'4. Customer Growth'!$C42,+IF($W$18='2. Customer Classes'!$B$15,+'4. Customer Growth'!$E42,+IF($W$18='2. Customer Classes'!$B$16,+'4. Customer Growth'!$G42,+IF($W$18='2. Customer Classes'!$B$17,+'4. Customer Growth'!$I42,+IF($W$18='2. Customer Classes'!$B$18,+'4. Customer Growth'!$K42,+IF($W$18='2. Customer Classes'!$B$19,+'4. Customer Growth'!$M42,IF($W$18='2. Customer Classes'!$B$20,+'4. Customer Growth'!$O42,0)))))))</f>
        <v>199.44261639611278</v>
      </c>
      <c r="AC31" s="376">
        <f t="shared" si="11"/>
        <v>1227.6575390834778</v>
      </c>
      <c r="AD31" s="379">
        <f t="shared" si="12"/>
        <v>3.4983227354968034</v>
      </c>
      <c r="AE31" s="85"/>
      <c r="AG31" s="357" t="str">
        <f t="shared" si="14"/>
        <v>2015</v>
      </c>
      <c r="AH31" s="306">
        <f>+AH30/'6. WS Regression Analysis'!$S$139*'6. WS Regression Analysis'!$S$151</f>
        <v>453067.96191469493</v>
      </c>
      <c r="AI31" s="458"/>
      <c r="AJ31" s="499">
        <f t="shared" si="15"/>
        <v>453067.96191469493</v>
      </c>
      <c r="AK31" s="306">
        <f>AJ31*$AO$34</f>
        <v>0</v>
      </c>
      <c r="AL31" s="225">
        <f>IF($AG$18='2. Customer Classes'!$B$14,+'4. Customer Growth'!$C42,+IF($AG$18='2. Customer Classes'!$B$15,+'4. Customer Growth'!$E42,+IF($AG$18='2. Customer Classes'!$B$16,+'4. Customer Growth'!$G42,+IF($AG$18='2. Customer Classes'!$B$17,+'4. Customer Growth'!$I42,+IF($AG$18='2. Customer Classes'!$B$18,+'4. Customer Growth'!$K42,+IF($AG$18='2. Customer Classes'!$B$19,+'4. Customer Growth'!$M42,IF($AG$18='2. Customer Classes'!$B$20,+'4. Customer Growth'!$O42,IF($AG$18='2. Customer Classes'!$B$21,+'4. Customer Growth'!$Q42,0))))))))</f>
        <v>20</v>
      </c>
      <c r="AM31" s="376">
        <f t="shared" si="16"/>
        <v>22653.398095734745</v>
      </c>
      <c r="AN31" s="379">
        <f t="shared" si="17"/>
        <v>0</v>
      </c>
      <c r="AO31" s="85"/>
      <c r="AQ31" s="357" t="str">
        <f t="shared" si="19"/>
        <v>2015</v>
      </c>
      <c r="AR31" s="306">
        <f>+AR30/'6. WS Regression Analysis'!$S$139*'6. WS Regression Analysis'!$S$151</f>
        <v>0</v>
      </c>
      <c r="AS31" s="458"/>
      <c r="AT31" s="499">
        <f t="shared" si="20"/>
        <v>0</v>
      </c>
      <c r="AU31" s="306">
        <f>AT31*$AY$34</f>
        <v>0</v>
      </c>
      <c r="AV31" s="225">
        <f>IF($AQ$18='2. Customer Classes'!$B$14,+'4. Customer Growth'!$C42,+IF($AQ$18='2. Customer Classes'!$B$15,+'4. Customer Growth'!$E42,+IF($AQ$18='2. Customer Classes'!$B$16,+'4. Customer Growth'!$G42,+IF($AQ$18='2. Customer Classes'!$B$17,+'4. Customer Growth'!$I42,+IF($AQ$18='2. Customer Classes'!$B$18,+'4. Customer Growth'!$K42,+IF($AQ$18='2. Customer Classes'!$B$19,+'4. Customer Growth'!$M42,IF($AQ$18='2. Customer Classes'!$B$20,+'4. Customer Growth'!$O42,0)))))))</f>
        <v>0</v>
      </c>
      <c r="AW31" s="376">
        <f t="shared" si="21"/>
        <v>0</v>
      </c>
      <c r="AX31" s="379">
        <f t="shared" si="22"/>
        <v>0</v>
      </c>
      <c r="AY31" s="85"/>
    </row>
    <row r="32" spans="2:51" x14ac:dyDescent="0.2">
      <c r="B32" s="190" t="str">
        <f>'4. Customer Growth'!B31</f>
        <v>2016</v>
      </c>
      <c r="C32" s="306">
        <f>+C30/'6. WS Regression Analysis'!$S$139*'6. WS Regression Analysis'!$S$163</f>
        <v>72142502.684401065</v>
      </c>
      <c r="D32" s="458"/>
      <c r="E32" s="70">
        <f t="shared" si="2"/>
        <v>72142502.684401065</v>
      </c>
      <c r="F32" s="283">
        <f>+E32*J34</f>
        <v>198486.48018042342</v>
      </c>
      <c r="G32" s="225">
        <f>IF($B$18='2. Customer Classes'!$B$14,+'4. Customer Growth'!$C43,+IF($B$18='2. Customer Classes'!$B$15,+'4. Customer Growth'!$E43,+IF($B$18='2. Customer Classes'!$B$16,+'4. Customer Growth'!$G43,+IF($B$18='2. Customer Classes'!$B$17,+'4. Customer Growth'!$I43,+IF($B$18='2. Customer Classes'!$B$18,+'4. Customer Growth'!$K43,+IF($B$18='2. Customer Classes'!$B$19,+'4. Customer Growth'!$M43,IF($B$18='2. Customer Classes'!$B$20,+'4. Customer Growth'!$O43,0)))))))</f>
        <v>148</v>
      </c>
      <c r="H32" s="376">
        <f t="shared" si="3"/>
        <v>487449.34246216936</v>
      </c>
      <c r="I32" s="379">
        <f t="shared" si="4"/>
        <v>1341.1248660839419</v>
      </c>
      <c r="J32" s="377"/>
      <c r="K32" s="80"/>
      <c r="L32" s="80"/>
      <c r="M32" s="190" t="str">
        <f t="shared" si="0"/>
        <v>2016</v>
      </c>
      <c r="N32" s="306">
        <f>+N30/'6. WS Regression Analysis'!$S$139*'6. WS Regression Analysis'!$S$163</f>
        <v>2427330.774669338</v>
      </c>
      <c r="O32" s="458">
        <v>-1156000</v>
      </c>
      <c r="P32" s="499">
        <f t="shared" si="6"/>
        <v>1271330.774669338</v>
      </c>
      <c r="Q32" s="283">
        <f>P32*$U$34</f>
        <v>3539.512838556238</v>
      </c>
      <c r="R32" s="225">
        <f>IF($M$18='2. Customer Classes'!$B$14,+'4. Customer Growth'!$C43,+IF($M$18='2. Customer Classes'!$B$15,+'4. Customer Growth'!$E43,+IF($M$18='2. Customer Classes'!$B$16,+'4. Customer Growth'!$G43,+IF($M$18='2. Customer Classes'!$B$17,+'4. Customer Growth'!$I43,+IF($M$18='2. Customer Classes'!$B$18,+'4. Customer Growth'!$K43,+IF($M$18='2. Customer Classes'!$B$19,+'4. Customer Growth'!$M43,IF($M$18='2. Customer Classes'!$B$20,+'4. Customer Growth'!$O43,0)))))))</f>
        <v>2848.6267064617618</v>
      </c>
      <c r="S32" s="376">
        <f t="shared" si="7"/>
        <v>446.29602460212823</v>
      </c>
      <c r="T32" s="379">
        <f t="shared" si="8"/>
        <v>1.242533053041764</v>
      </c>
      <c r="U32" s="85"/>
      <c r="V32" s="64"/>
      <c r="W32" s="190" t="str">
        <f t="shared" si="1"/>
        <v>2016</v>
      </c>
      <c r="X32" s="306">
        <f>+X30/'6. WS Regression Analysis'!$S$139*'6. WS Regression Analysis'!$S$163</f>
        <v>244316.26312284268</v>
      </c>
      <c r="Y32" s="458"/>
      <c r="Z32" s="70">
        <f t="shared" si="10"/>
        <v>244316.26312284268</v>
      </c>
      <c r="AA32" s="283">
        <f>Z32*$AE$34</f>
        <v>696.20159590462345</v>
      </c>
      <c r="AB32" s="225">
        <f>IF($W$18='2. Customer Classes'!$B$14,+'4. Customer Growth'!$C43,+IF($W$18='2. Customer Classes'!$B$15,+'4. Customer Growth'!$E43,+IF($W$18='2. Customer Classes'!$B$16,+'4. Customer Growth'!$G43,+IF($W$18='2. Customer Classes'!$B$17,+'4. Customer Growth'!$I43,+IF($W$18='2. Customer Classes'!$B$18,+'4. Customer Growth'!$K43,+IF($W$18='2. Customer Classes'!$B$19,+'4. Customer Growth'!$M43,IF($W$18='2. Customer Classes'!$B$20,+'4. Customer Growth'!$O43,0)))))))</f>
        <v>194.98704526924996</v>
      </c>
      <c r="AC32" s="376">
        <f t="shared" si="11"/>
        <v>1252.9871550465107</v>
      </c>
      <c r="AD32" s="379">
        <f t="shared" si="12"/>
        <v>3.5705017989439551</v>
      </c>
      <c r="AE32" s="85"/>
      <c r="AG32" s="357" t="str">
        <f t="shared" si="14"/>
        <v>2016</v>
      </c>
      <c r="AH32" s="306">
        <f>+AH30/'6. WS Regression Analysis'!$S$139*'6. WS Regression Analysis'!$S$163</f>
        <v>452085.45204830298</v>
      </c>
      <c r="AI32" s="458"/>
      <c r="AJ32" s="499">
        <f t="shared" si="15"/>
        <v>452085.45204830298</v>
      </c>
      <c r="AK32" s="306">
        <f>AJ32*$AO$34</f>
        <v>0</v>
      </c>
      <c r="AL32" s="225">
        <f>IF($AG$18='2. Customer Classes'!$B$14,+'4. Customer Growth'!$C43,+IF($AG$18='2. Customer Classes'!$B$15,+'4. Customer Growth'!$E43,+IF($AG$18='2. Customer Classes'!$B$16,+'4. Customer Growth'!$G43,+IF($AG$18='2. Customer Classes'!$B$17,+'4. Customer Growth'!$I43,+IF($AG$18='2. Customer Classes'!$B$18,+'4. Customer Growth'!$K43,+IF($AG$18='2. Customer Classes'!$B$19,+'4. Customer Growth'!$M43,IF($AG$18='2. Customer Classes'!$B$20,+'4. Customer Growth'!$O43,IF($AG$18='2. Customer Classes'!$B$21,+'4. Customer Growth'!$Q43,0))))))))</f>
        <v>20</v>
      </c>
      <c r="AM32" s="376">
        <f t="shared" si="16"/>
        <v>22604.272602415149</v>
      </c>
      <c r="AN32" s="379">
        <f t="shared" si="17"/>
        <v>0</v>
      </c>
      <c r="AO32" s="85"/>
      <c r="AQ32" s="357" t="str">
        <f t="shared" si="19"/>
        <v>2016</v>
      </c>
      <c r="AR32" s="306">
        <f>+AR30/'6. WS Regression Analysis'!$S$139*'6. WS Regression Analysis'!$S$163</f>
        <v>0</v>
      </c>
      <c r="AS32" s="458"/>
      <c r="AT32" s="499">
        <f t="shared" si="20"/>
        <v>0</v>
      </c>
      <c r="AU32" s="306">
        <f>AT32*$AY$34</f>
        <v>0</v>
      </c>
      <c r="AV32" s="225">
        <f>IF($AQ$18='2. Customer Classes'!$B$14,+'4. Customer Growth'!$C43,+IF($AQ$18='2. Customer Classes'!$B$15,+'4. Customer Growth'!$E43,+IF($AQ$18='2. Customer Classes'!$B$16,+'4. Customer Growth'!$G43,+IF($AQ$18='2. Customer Classes'!$B$17,+'4. Customer Growth'!$I43,+IF($AQ$18='2. Customer Classes'!$B$18,+'4. Customer Growth'!$K43,+IF($AQ$18='2. Customer Classes'!$B$19,+'4. Customer Growth'!$M43,IF($AQ$18='2. Customer Classes'!$B$20,+'4. Customer Growth'!$O43,0)))))))</f>
        <v>0</v>
      </c>
      <c r="AW32" s="376">
        <f t="shared" si="21"/>
        <v>0</v>
      </c>
      <c r="AX32" s="379">
        <f t="shared" si="22"/>
        <v>0</v>
      </c>
      <c r="AY32" s="85"/>
    </row>
    <row r="33" spans="2:51" x14ac:dyDescent="0.2">
      <c r="B33" s="74"/>
      <c r="C33" s="492"/>
      <c r="D33" s="492"/>
      <c r="E33" s="225"/>
      <c r="F33" s="283"/>
      <c r="G33" s="281"/>
      <c r="H33" s="281"/>
      <c r="I33" s="283"/>
      <c r="J33" s="377"/>
      <c r="K33" s="80"/>
      <c r="L33" s="80"/>
      <c r="M33" s="74"/>
      <c r="N33" s="492"/>
      <c r="O33" s="492"/>
      <c r="P33" s="225"/>
      <c r="Q33" s="283"/>
      <c r="R33" s="283"/>
      <c r="S33" s="283"/>
      <c r="T33" s="283"/>
      <c r="U33" s="86"/>
      <c r="V33" s="64"/>
      <c r="W33" s="74"/>
      <c r="X33" s="492"/>
      <c r="Y33" s="492"/>
      <c r="Z33" s="283"/>
      <c r="AA33" s="283"/>
      <c r="AB33" s="283"/>
      <c r="AC33" s="283"/>
      <c r="AD33" s="283"/>
      <c r="AE33" s="242"/>
      <c r="AG33" s="74"/>
      <c r="AH33" s="492"/>
      <c r="AI33" s="492"/>
      <c r="AJ33" s="283"/>
      <c r="AK33" s="283"/>
      <c r="AL33" s="283"/>
      <c r="AM33" s="283"/>
      <c r="AN33" s="283"/>
      <c r="AO33" s="242"/>
      <c r="AQ33" s="74"/>
      <c r="AR33" s="492"/>
      <c r="AS33" s="492"/>
      <c r="AT33" s="306"/>
      <c r="AU33" s="306"/>
      <c r="AV33" s="306"/>
      <c r="AW33" s="306"/>
      <c r="AX33" s="306"/>
      <c r="AY33" s="242"/>
    </row>
    <row r="34" spans="2:51" ht="16.5" customHeight="1" x14ac:dyDescent="0.2">
      <c r="B34" s="235" t="s">
        <v>162</v>
      </c>
      <c r="C34" s="493"/>
      <c r="D34" s="493"/>
      <c r="E34" s="761">
        <v>10</v>
      </c>
      <c r="F34" s="189"/>
      <c r="G34" s="331"/>
      <c r="H34" s="337">
        <f>IF($E$34=1,+AVERAGE(H30:H30),+IF($E$34=2,+AVERAGE(H29:H30),+IF($E$34=3,+AVERAGE(H28:H30),+IF($E$34=4,+AVERAGE(H27:H30),+IF($E$34=5,+AVERAGE(H26:H30),+IF($E$34=6,+AVERAGE(H25:H30),+IF($E$34=7,+AVERAGE(H24:H30),+IF($E$34=8,+AVERAGE(H23:H30),+IF($E$34=9,+AVERAGE(H22:H30),+IF($E$34=10,+AVERAGE(H21:H30),0))))))))))</f>
        <v>533171.13832862326</v>
      </c>
      <c r="I34" s="383">
        <f>IF($E$34=1,+AVERAGE(I30:I30),+IF($E$34=2,+AVERAGE(I29:I30),+IF($E$34=3,+AVERAGE(I28:I30),+IF($E$34=4,+AVERAGE(I27:I30),+IF($E$34=5,+AVERAGE(I26:I30),+IF($E$34=6,+AVERAGE(I25:I30),+IF($E$34=7,+AVERAGE(I24:I30),+IF($E$34=8,+AVERAGE(I23:I30),+IF($E$34=9,+AVERAGE(I22:I30),+IF($E$34=10,+AVERAGE(I21:I30),0))))))))))</f>
        <v>1465.8344450571449</v>
      </c>
      <c r="J34" s="314">
        <f>IF($E$34=1,+AVERAGE(J30:J30),+IF($E$34=2,+AVERAGE(J29:J30),+IF($E$34=3,+AVERAGE(J28:J30),+IF($E$34=4,+AVERAGE(J27:J30),+IF($E$34=5,+AVERAGE(J26:J30),+IF($E$34=6,+AVERAGE(J25:J30),+IF($E$34=7,+AVERAGE(J24:J30),+IF($E$34=8,+AVERAGE(J23:J30),+IF($E$34=9,+AVERAGE(J22:J30),+IF($E$34=10,+AVERAGE(J21:J30),0))))))))))</f>
        <v>2.7513112630529928E-3</v>
      </c>
      <c r="K34" s="184"/>
      <c r="L34" s="184"/>
      <c r="M34" s="235" t="s">
        <v>162</v>
      </c>
      <c r="N34" s="498"/>
      <c r="O34" s="498"/>
      <c r="P34" s="776">
        <v>10</v>
      </c>
      <c r="Q34" s="189"/>
      <c r="R34" s="189"/>
      <c r="S34" s="337">
        <f>IF($P$34=1,+AVERAGE(S30:S30),+IF($P$34=2,+AVERAGE(S29:S30),+IF($P$34=3,+AVERAGE(S28:S30),+IF($P$34=4,+AVERAGE(S27:S30),+IF($P$34=5,+AVERAGE(S26:S30),+IF($P$34=6,+AVERAGE(S25:S30),+IF($P$34=7,+AVERAGE(S24:S30),+IF($P$34=8,+AVERAGE(S23:S30),+IF($P$34=9,+AVERAGE(S22:S30),+IF($P$34=10,+AVERAGE(S21:S30),0))))))))))</f>
        <v>897.49439266030117</v>
      </c>
      <c r="T34" s="382">
        <f>IF($P$34=1,+AVERAGE(T30:T30),+IF($P$34=2,+AVERAGE(T29:T30),+IF($P$34=3,+AVERAGE(T28:T30),+IF($P$34=4,+AVERAGE(T27:T30),+IF($P$34=5,+AVERAGE(T26:T30),+IF($P$34=6,+AVERAGE(T25:T30),+IF($P$34=7,+AVERAGE(T24:T30),+IF($P$34=8,+AVERAGE(T23:T30),+IF($P$34=9,+AVERAGE(T22:T30),+IF($P$34=10,+AVERAGE(T21:T30),0))))))))))</f>
        <v>2.498138854544107</v>
      </c>
      <c r="U34" s="191">
        <f>IF($P$34=1,+AVERAGE(U30:U30),+IF($P$34=2,+AVERAGE(U29:U30),+IF($P$34=3,+AVERAGE(U28:U30),+IF($P$34=4,+AVERAGE(U27:U30),+IF($P$34=5,+AVERAGE(U26:U30),+IF($P$34=6,+AVERAGE(U25:U30),+IF($P$34=7,+AVERAGE(U24:U30),+IF($P$34=8,+AVERAGE(U23:U30),+IF($P$34=9,+AVERAGE(U22:U30),+IF($P$34=10,+AVERAGE(U21:U30),0))))))))))</f>
        <v>2.7841006519147894E-3</v>
      </c>
      <c r="V34" s="64"/>
      <c r="W34" s="235" t="s">
        <v>162</v>
      </c>
      <c r="X34" s="498"/>
      <c r="Y34" s="498"/>
      <c r="Z34" s="776">
        <v>10</v>
      </c>
      <c r="AA34" s="189"/>
      <c r="AB34" s="189"/>
      <c r="AC34" s="337">
        <f>IF($Z$34=1,+AVERAGE(AC30:AC30),+IF($Z$34=2,+AVERAGE(AC29:AC30),+IF($Z$34=3,+AVERAGE(AC28:AC30),+IF($Z$34=4,+AVERAGE(AC27:AC30),+IF($Z$34=5,+AVERAGE(AC26:AC30),+IF($Z$34=6,+AVERAGE(AC25:AC30),+IF($Z$34=7,+AVERAGE(AC24:AC30),+IF($Z$34=8,+AVERAGE(AC23:AC30),+IF($Z$34=9,+AVERAGE(AC22:AC30),+IF($Z$34=10,+AVERAGE(AC21:AC30),0))))))))))</f>
        <v>1190.4669030287207</v>
      </c>
      <c r="AD34" s="382">
        <f>IF($Z$34=1,+AVERAGE(AD30:AD30),+IF($Z$34=2,+AVERAGE(AD29:AD30),+IF($Z$34=3,+AVERAGE(AD28:AD30),+IF($Z$34=4,+AVERAGE(AD27:AD30),+IF($Z$34=5,+AVERAGE(AD26:AD30),+IF($Z$34=6,+AVERAGE(AD25:AD30),+IF($Z$34=7,+AVERAGE(AD24:AD30),+IF($Z$34=8,+AVERAGE(AD23:AD30),+IF($Z$34=9,+AVERAGE(AD22:AD30),+IF($Z$34=10,+AVERAGE(AD21:AD30),0))))))))))</f>
        <v>3.3831717918176158</v>
      </c>
      <c r="AE34" s="191">
        <f>IF($Z$34=1,+AVERAGE(AE30:AE30),+IF($Z$34=2,+AVERAGE(AE29:AE30),+IF($Z$34=3,+AVERAGE(AE28:AE30),+IF($Z$34=4,+AVERAGE(AE27:AE30),+IF($Z$34=5,+AVERAGE(AE26:AE30),+IF($Z$34=6,+AVERAGE(AE25:AE30),+IF($Z$34=7,+AVERAGE(AE24:AE30),+IF($Z$34=8,+AVERAGE(AE23:AE30),+IF($Z$34=9,+AVERAGE(AE22:AE30),+IF($Z$34=10,+AVERAGE(AE21:AE30),0))))))))))</f>
        <v>2.8495917013701701E-3</v>
      </c>
      <c r="AG34" s="235" t="s">
        <v>162</v>
      </c>
      <c r="AH34" s="498"/>
      <c r="AI34" s="498"/>
      <c r="AJ34" s="776">
        <v>10</v>
      </c>
      <c r="AK34" s="189"/>
      <c r="AL34" s="189"/>
      <c r="AM34" s="337">
        <f>IF($AJ$34=1,+AVERAGE(AM30:AM30),+IF($AJ$34=2,+AVERAGE(AM29:AM30),+IF($AJ$34=3,+AVERAGE(AM28:AM30),+IF($AJ$34=4,+AVERAGE(AM27:AM30),+IF($AJ$34=5,+AVERAGE(AM26:AM30),+IF($AJ$34=6,+AVERAGE(AM25:AM30),+IF($AJ$34=7,+AVERAGE(AM24:AM30),+IF($AJ$34=8,+AVERAGE(AM23:AM30),+IF($AJ$34=9,+AVERAGE(AM22:AM30),+IF($AJ$34=10,+AVERAGE(AM21:AM30),0))))))))))</f>
        <v>22595.383161764705</v>
      </c>
      <c r="AN34" s="382">
        <f>IF($AJ$34=1,+AVERAGE(AN30:AN30),+IF($AJ$34=2,+AVERAGE(AN29:AN30),+IF($AJ$34=3,+AVERAGE(AN28:AN30),+IF($AJ$34=4,+AVERAGE(AN27:AN30),+IF($AJ$34=5,+AVERAGE(AN26:AN30),+IF($AJ$34=6,+AVERAGE(AN25:AN30),+IF($AJ$34=7,+AVERAGE(AN24:AN30),+IF($AJ$34=8,+AVERAGE(AN23:AN30),+IF($AJ$34=9,+AVERAGE(AN22:AN30),+IF($AJ$34=10,+AVERAGE(AN21:AN30),0))))))))))</f>
        <v>0</v>
      </c>
      <c r="AO34" s="191">
        <f>IF($AJ$34=1,+AVERAGE(AO30:AO30),+IF($AJ$34=2,+AVERAGE(AO29:AO30),+IF($AJ$34=3,+AVERAGE(AO28:AO30),+IF($AJ$34=4,+AVERAGE(AO27:AO30),+IF($AJ$34=5,+AVERAGE(AO26:AO30),+IF($AJ$34=6,+AVERAGE(AO25:AO30),+IF($AJ$34=7,+AVERAGE(AO24:AO30),+IF($AJ$34=8,+AVERAGE(AO23:AO30),+IF($AJ$34=9,+AVERAGE(AO22:AO30),+IF($AJ$34=10,+AVERAGE(AO21:AO30),0))))))))))</f>
        <v>0</v>
      </c>
      <c r="AQ34" s="235" t="s">
        <v>162</v>
      </c>
      <c r="AR34" s="498"/>
      <c r="AS34" s="498"/>
      <c r="AT34" s="776">
        <v>4</v>
      </c>
      <c r="AU34" s="189"/>
      <c r="AV34" s="189"/>
      <c r="AW34" s="337">
        <f>IF($AT$34=1,+AVERAGE(AW30:AW30),+IF($AT$34=2,+AVERAGE(AW29:AW30),+IF($AT$34=3,+AVERAGE(AW28:AW30),+IF($AT$34=4,+AVERAGE(AW27:AW30),+IF($AT$34=5,+AVERAGE(AW26:AW30),+IF($AT$34=6,+AVERAGE(AW25:AW30),+IF($AT$34=7,+AVERAGE(AW24:AW30),+IF($AT$34=8,+AVERAGE(AW23:AW30),+IF($AT$34=9,+AVERAGE(AW22:AW30),+IF($AT$34=10,+AVERAGE(AW21:AW30),0))))))))))</f>
        <v>0</v>
      </c>
      <c r="AX34" s="382">
        <f>IF($AT$34=1,+AVERAGE(AX30:AX30),+IF($AT$34=2,+AVERAGE(AX29:AX30),+IF($AT$34=3,+AVERAGE(AX28:AX30),+IF($AT$34=4,+AVERAGE(AX27:AX30),+IF($AT$34=5,+AVERAGE(AX26:AX30),+IF($AT$34=6,+AVERAGE(AX25:AX30),+IF($AT$34=7,+AVERAGE(AX24:AX30),+IF($AT$34=8,+AVERAGE(AX23:AX30),+IF($AT$34=9,+AVERAGE(AX22:AX30),+IF($AT$34=10,+AVERAGE(AX21:AX30),0))))))))))</f>
        <v>0</v>
      </c>
      <c r="AY34" s="191">
        <f>IF($AT$34=1,+AVERAGE(AY30:AY30),+IF($AT$34=2,+AVERAGE(AY29:AY30),+IF($AT$34=3,+AVERAGE(AY28:AY30),+IF($AT$34=4,+AVERAGE(AY27:AY30),+IF($AT$34=5,+AVERAGE(AY26:AY30),+IF($AT$34=6,+AVERAGE(AY25:AY30),+IF($AT$34=7,+AVERAGE(AY24:AY30),+IF($AT$34=8,+AVERAGE(AY23:AY30),+IF($AT$34=9,+AVERAGE(AY22:AY30),+IF($AT$34=10,+AVERAGE(AY21:AY30),0))))))))))</f>
        <v>0</v>
      </c>
    </row>
    <row r="35" spans="2:51" ht="13.5" thickBot="1" x14ac:dyDescent="0.25">
      <c r="B35" s="192"/>
      <c r="C35" s="494"/>
      <c r="D35" s="494"/>
      <c r="E35" s="193"/>
      <c r="F35" s="193"/>
      <c r="G35" s="332"/>
      <c r="H35" s="332"/>
      <c r="I35" s="193"/>
      <c r="J35" s="381"/>
      <c r="M35" s="192"/>
      <c r="N35" s="494"/>
      <c r="O35" s="494"/>
      <c r="P35" s="193"/>
      <c r="Q35" s="91"/>
      <c r="R35" s="91"/>
      <c r="S35" s="91"/>
      <c r="T35" s="91"/>
      <c r="U35" s="194"/>
      <c r="W35" s="90"/>
      <c r="X35" s="480"/>
      <c r="Y35" s="480"/>
      <c r="Z35" s="91"/>
      <c r="AA35" s="91"/>
      <c r="AB35" s="91"/>
      <c r="AC35" s="91"/>
      <c r="AD35" s="91"/>
      <c r="AE35" s="194"/>
      <c r="AG35" s="90"/>
      <c r="AH35" s="480"/>
      <c r="AI35" s="480"/>
      <c r="AJ35" s="91"/>
      <c r="AK35" s="91"/>
      <c r="AL35" s="91"/>
      <c r="AM35" s="91"/>
      <c r="AN35" s="91"/>
      <c r="AO35" s="194"/>
      <c r="AQ35" s="90"/>
      <c r="AR35" s="480"/>
      <c r="AS35" s="480"/>
      <c r="AT35" s="91"/>
      <c r="AU35" s="91"/>
      <c r="AV35" s="91"/>
      <c r="AW35" s="91"/>
      <c r="AX35" s="91"/>
      <c r="AY35" s="194"/>
    </row>
    <row r="36" spans="2:51" x14ac:dyDescent="0.2">
      <c r="B36" s="874" t="s">
        <v>156</v>
      </c>
      <c r="C36" s="874"/>
      <c r="D36" s="874"/>
      <c r="E36" s="874"/>
      <c r="F36" s="874"/>
      <c r="G36" s="874"/>
      <c r="H36" s="874"/>
      <c r="I36" s="874"/>
      <c r="J36" s="874"/>
      <c r="M36" s="874" t="s">
        <v>156</v>
      </c>
      <c r="N36" s="874"/>
      <c r="O36" s="874"/>
      <c r="P36" s="874"/>
      <c r="Q36" s="874"/>
      <c r="R36" s="874"/>
      <c r="S36" s="874"/>
      <c r="T36" s="874"/>
      <c r="U36" s="874"/>
      <c r="W36" s="862" t="s">
        <v>156</v>
      </c>
      <c r="X36" s="862"/>
      <c r="Y36" s="862"/>
      <c r="Z36" s="862"/>
      <c r="AA36" s="862"/>
      <c r="AB36" s="862"/>
      <c r="AC36" s="862"/>
      <c r="AD36" s="862"/>
      <c r="AE36" s="862"/>
      <c r="AG36" s="874" t="s">
        <v>156</v>
      </c>
      <c r="AH36" s="874"/>
      <c r="AI36" s="874"/>
      <c r="AJ36" s="874"/>
      <c r="AK36" s="874"/>
      <c r="AL36" s="874"/>
      <c r="AM36" s="874"/>
      <c r="AN36" s="874"/>
      <c r="AO36" s="874"/>
      <c r="AQ36" s="874" t="s">
        <v>156</v>
      </c>
      <c r="AR36" s="874"/>
      <c r="AS36" s="874"/>
      <c r="AT36" s="874"/>
      <c r="AU36" s="874"/>
      <c r="AV36" s="874"/>
      <c r="AW36" s="874"/>
      <c r="AX36" s="874"/>
      <c r="AY36" s="874"/>
    </row>
    <row r="37" spans="2:51" x14ac:dyDescent="0.2">
      <c r="B37" s="148"/>
      <c r="C37" s="148"/>
      <c r="D37" s="148"/>
      <c r="E37" s="148"/>
      <c r="F37" s="148"/>
      <c r="G37" s="149"/>
      <c r="H37" s="150"/>
      <c r="I37" s="151"/>
      <c r="J37" s="153"/>
      <c r="M37" s="148"/>
      <c r="N37" s="148"/>
      <c r="O37" s="148"/>
      <c r="P37" s="148"/>
      <c r="Q37" s="148"/>
      <c r="R37" s="149"/>
      <c r="S37" s="150"/>
      <c r="T37" s="151"/>
      <c r="U37" s="153"/>
      <c r="W37" s="148"/>
      <c r="X37" s="148"/>
      <c r="Y37" s="148"/>
      <c r="Z37" s="148"/>
      <c r="AA37" s="148"/>
      <c r="AB37" s="149"/>
      <c r="AC37" s="150"/>
      <c r="AD37" s="151"/>
      <c r="AE37" s="153"/>
      <c r="AG37" s="148"/>
      <c r="AH37" s="148"/>
      <c r="AI37" s="148"/>
      <c r="AJ37" s="148"/>
      <c r="AK37" s="148"/>
      <c r="AL37" s="149"/>
      <c r="AM37" s="150"/>
      <c r="AN37" s="151"/>
      <c r="AO37" s="153"/>
      <c r="AQ37" s="148"/>
      <c r="AR37" s="148"/>
      <c r="AS37" s="148"/>
      <c r="AT37" s="148"/>
      <c r="AU37" s="148"/>
      <c r="AV37" s="149"/>
      <c r="AW37" s="150"/>
      <c r="AX37" s="151"/>
      <c r="AY37" s="153"/>
    </row>
    <row r="38" spans="2:51" x14ac:dyDescent="0.2">
      <c r="B38" s="148"/>
      <c r="C38" s="148"/>
      <c r="D38" s="148"/>
      <c r="E38" s="148"/>
      <c r="F38" s="148"/>
      <c r="G38" s="149"/>
      <c r="H38" s="150"/>
      <c r="I38" s="151"/>
      <c r="J38" s="153"/>
      <c r="M38" s="148"/>
      <c r="N38" s="148"/>
      <c r="O38" s="148"/>
      <c r="P38" s="148"/>
      <c r="Q38" s="148"/>
      <c r="R38" s="149"/>
      <c r="S38" s="150"/>
      <c r="T38" s="151"/>
      <c r="U38" s="153"/>
      <c r="W38" s="148"/>
      <c r="X38" s="148"/>
      <c r="Y38" s="148"/>
      <c r="Z38" s="148"/>
      <c r="AA38" s="148"/>
      <c r="AB38" s="149"/>
      <c r="AC38" s="150"/>
      <c r="AD38" s="151"/>
      <c r="AE38" s="153"/>
      <c r="AG38" s="148"/>
      <c r="AH38" s="148"/>
      <c r="AI38" s="148"/>
      <c r="AJ38" s="148"/>
      <c r="AK38" s="148"/>
      <c r="AL38" s="149"/>
      <c r="AM38" s="150"/>
      <c r="AN38" s="151"/>
      <c r="AO38" s="153"/>
      <c r="AQ38" s="148"/>
      <c r="AR38" s="148"/>
      <c r="AS38" s="148"/>
      <c r="AT38" s="148"/>
      <c r="AU38" s="148"/>
      <c r="AV38" s="149"/>
      <c r="AW38" s="150"/>
      <c r="AX38" s="151"/>
      <c r="AY38" s="153"/>
    </row>
    <row r="39" spans="2:51" x14ac:dyDescent="0.2">
      <c r="B39" s="148"/>
      <c r="C39" s="148"/>
      <c r="D39" s="148"/>
      <c r="E39" s="148"/>
      <c r="F39" s="148"/>
      <c r="G39" s="149"/>
      <c r="H39" s="150"/>
      <c r="I39" s="151"/>
      <c r="J39" s="153"/>
      <c r="M39" s="148"/>
      <c r="N39" s="148"/>
      <c r="O39" s="148"/>
      <c r="P39" s="148"/>
      <c r="Q39" s="148"/>
      <c r="R39" s="149"/>
      <c r="S39" s="150"/>
      <c r="T39" s="151"/>
      <c r="U39" s="153"/>
      <c r="W39" s="148"/>
      <c r="X39" s="148"/>
      <c r="Y39" s="148"/>
      <c r="Z39" s="148"/>
      <c r="AA39" s="148"/>
      <c r="AB39" s="149"/>
      <c r="AC39" s="150"/>
      <c r="AD39" s="151"/>
      <c r="AE39" s="153"/>
      <c r="AG39" s="148"/>
      <c r="AH39" s="148"/>
      <c r="AI39" s="148"/>
      <c r="AJ39" s="148"/>
      <c r="AK39" s="148"/>
      <c r="AL39" s="149"/>
      <c r="AM39" s="150"/>
      <c r="AN39" s="151"/>
      <c r="AO39" s="153"/>
      <c r="AQ39" s="148"/>
      <c r="AR39" s="148"/>
      <c r="AS39" s="148"/>
      <c r="AT39" s="148"/>
      <c r="AU39" s="148"/>
      <c r="AV39" s="149"/>
      <c r="AW39" s="150"/>
      <c r="AX39" s="151"/>
      <c r="AY39" s="153"/>
    </row>
    <row r="40" spans="2:51" x14ac:dyDescent="0.2">
      <c r="B40" s="148"/>
      <c r="C40" s="148"/>
      <c r="D40" s="148"/>
      <c r="E40" s="148"/>
      <c r="F40" s="148"/>
      <c r="G40" s="149"/>
      <c r="H40" s="150"/>
      <c r="I40" s="151"/>
      <c r="J40" s="153"/>
      <c r="M40" s="148"/>
      <c r="N40" s="148"/>
      <c r="O40" s="148"/>
      <c r="P40" s="148"/>
      <c r="Q40" s="148"/>
      <c r="R40" s="149"/>
      <c r="S40" s="150"/>
      <c r="T40" s="151"/>
      <c r="U40" s="153"/>
      <c r="W40" s="148"/>
      <c r="X40" s="148"/>
      <c r="Y40" s="148"/>
      <c r="Z40" s="148"/>
      <c r="AA40" s="148"/>
      <c r="AB40" s="149"/>
      <c r="AC40" s="150"/>
      <c r="AD40" s="151"/>
      <c r="AE40" s="153"/>
      <c r="AG40" s="148"/>
      <c r="AH40" s="148"/>
      <c r="AI40" s="148"/>
      <c r="AJ40" s="148"/>
      <c r="AK40" s="148"/>
      <c r="AL40" s="149"/>
      <c r="AM40" s="150"/>
      <c r="AN40" s="151"/>
      <c r="AO40" s="153"/>
      <c r="AQ40" s="148"/>
      <c r="AR40" s="148"/>
      <c r="AS40" s="148"/>
      <c r="AT40" s="148"/>
      <c r="AU40" s="148"/>
      <c r="AV40" s="149"/>
      <c r="AW40" s="150"/>
      <c r="AX40" s="151"/>
      <c r="AY40" s="153"/>
    </row>
    <row r="41" spans="2:51" ht="15" x14ac:dyDescent="0.2">
      <c r="B41" s="861" t="s">
        <v>176</v>
      </c>
      <c r="C41" s="861"/>
      <c r="D41" s="861"/>
      <c r="E41" s="861"/>
      <c r="F41" s="861"/>
      <c r="G41" s="861"/>
      <c r="H41" s="861"/>
      <c r="I41" s="861"/>
      <c r="J41" s="861"/>
      <c r="M41" s="861" t="s">
        <v>176</v>
      </c>
      <c r="N41" s="861"/>
      <c r="O41" s="861"/>
      <c r="P41" s="861"/>
      <c r="Q41" s="861"/>
      <c r="R41" s="861"/>
      <c r="S41" s="861"/>
      <c r="T41" s="861"/>
      <c r="U41" s="861"/>
      <c r="W41" s="861" t="s">
        <v>176</v>
      </c>
      <c r="X41" s="861"/>
      <c r="Y41" s="861"/>
      <c r="Z41" s="861"/>
      <c r="AA41" s="861"/>
      <c r="AB41" s="861"/>
      <c r="AC41" s="861"/>
      <c r="AD41" s="861"/>
      <c r="AE41" s="861"/>
      <c r="AG41" s="861" t="s">
        <v>176</v>
      </c>
      <c r="AH41" s="861"/>
      <c r="AI41" s="861"/>
      <c r="AJ41" s="861"/>
      <c r="AK41" s="861"/>
      <c r="AL41" s="861"/>
      <c r="AM41" s="861"/>
      <c r="AN41" s="861"/>
      <c r="AO41" s="861"/>
      <c r="AQ41" s="861" t="s">
        <v>176</v>
      </c>
      <c r="AR41" s="861"/>
      <c r="AS41" s="861"/>
      <c r="AT41" s="861"/>
      <c r="AU41" s="861"/>
      <c r="AV41" s="861"/>
      <c r="AW41" s="861"/>
      <c r="AX41" s="861"/>
      <c r="AY41" s="861"/>
    </row>
    <row r="42" spans="2:51" x14ac:dyDescent="0.2">
      <c r="J42" s="319"/>
    </row>
    <row r="43" spans="2:51" x14ac:dyDescent="0.2">
      <c r="J43" s="319"/>
    </row>
    <row r="44" spans="2:51" x14ac:dyDescent="0.2">
      <c r="J44" s="319"/>
    </row>
    <row r="45" spans="2:51" x14ac:dyDescent="0.2">
      <c r="J45" s="319"/>
    </row>
    <row r="46" spans="2:51" ht="13.5" thickBot="1" x14ac:dyDescent="0.25">
      <c r="J46" s="319"/>
    </row>
    <row r="47" spans="2:51" ht="13.5" thickBot="1" x14ac:dyDescent="0.25">
      <c r="B47" s="866" t="str">
        <f>+B18</f>
        <v>General Service &gt; 50 kW - 4999 kW</v>
      </c>
      <c r="C47" s="867"/>
      <c r="D47" s="867"/>
      <c r="E47" s="867"/>
      <c r="F47" s="867"/>
      <c r="G47" s="867"/>
      <c r="H47" s="867"/>
      <c r="I47" s="867"/>
      <c r="J47" s="868"/>
      <c r="M47" s="866" t="str">
        <f>+M18</f>
        <v>Streetlighting</v>
      </c>
      <c r="N47" s="867"/>
      <c r="O47" s="867"/>
      <c r="P47" s="867"/>
      <c r="Q47" s="867"/>
      <c r="R47" s="867"/>
      <c r="S47" s="867"/>
      <c r="T47" s="867"/>
      <c r="U47" s="868"/>
      <c r="W47" s="866" t="str">
        <f>+W18</f>
        <v>Sentinel Lighting</v>
      </c>
      <c r="X47" s="867"/>
      <c r="Y47" s="867"/>
      <c r="Z47" s="867"/>
      <c r="AA47" s="867"/>
      <c r="AB47" s="867"/>
      <c r="AC47" s="867"/>
      <c r="AD47" s="867"/>
      <c r="AE47" s="868"/>
      <c r="AG47" s="866" t="str">
        <f>+AG18</f>
        <v>Unmetered Scattered Load</v>
      </c>
      <c r="AH47" s="867"/>
      <c r="AI47" s="867"/>
      <c r="AJ47" s="867"/>
      <c r="AK47" s="867"/>
      <c r="AL47" s="867"/>
      <c r="AM47" s="867"/>
      <c r="AN47" s="867"/>
      <c r="AO47" s="868"/>
      <c r="AQ47" s="866">
        <f>+AQ18</f>
        <v>0</v>
      </c>
      <c r="AR47" s="867"/>
      <c r="AS47" s="867"/>
      <c r="AT47" s="867"/>
      <c r="AU47" s="867"/>
      <c r="AV47" s="867"/>
      <c r="AW47" s="867"/>
      <c r="AX47" s="867"/>
      <c r="AY47" s="868"/>
    </row>
    <row r="48" spans="2:51" ht="29.25" customHeight="1" thickBot="1" x14ac:dyDescent="0.25">
      <c r="B48" s="347" t="s">
        <v>33</v>
      </c>
      <c r="C48" s="495"/>
      <c r="D48" s="495"/>
      <c r="E48" s="348" t="s">
        <v>40</v>
      </c>
      <c r="F48" s="348" t="s">
        <v>184</v>
      </c>
      <c r="G48" s="348" t="s">
        <v>185</v>
      </c>
      <c r="H48" s="354" t="s">
        <v>188</v>
      </c>
      <c r="I48" s="348" t="s">
        <v>186</v>
      </c>
      <c r="J48" s="349" t="s">
        <v>187</v>
      </c>
      <c r="K48" s="317"/>
      <c r="L48" s="317"/>
      <c r="M48" s="347" t="s">
        <v>33</v>
      </c>
      <c r="N48" s="495"/>
      <c r="O48" s="495"/>
      <c r="P48" s="348" t="s">
        <v>40</v>
      </c>
      <c r="Q48" s="348" t="s">
        <v>184</v>
      </c>
      <c r="R48" s="348" t="s">
        <v>185</v>
      </c>
      <c r="S48" s="354" t="s">
        <v>188</v>
      </c>
      <c r="T48" s="348" t="s">
        <v>186</v>
      </c>
      <c r="U48" s="349" t="s">
        <v>187</v>
      </c>
      <c r="W48" s="347" t="s">
        <v>33</v>
      </c>
      <c r="X48" s="495"/>
      <c r="Y48" s="495"/>
      <c r="Z48" s="348" t="s">
        <v>40</v>
      </c>
      <c r="AA48" s="348" t="s">
        <v>184</v>
      </c>
      <c r="AB48" s="348" t="s">
        <v>185</v>
      </c>
      <c r="AC48" s="354" t="s">
        <v>188</v>
      </c>
      <c r="AD48" s="348" t="s">
        <v>186</v>
      </c>
      <c r="AE48" s="349" t="s">
        <v>187</v>
      </c>
      <c r="AG48" s="347" t="s">
        <v>33</v>
      </c>
      <c r="AH48" s="495"/>
      <c r="AI48" s="495"/>
      <c r="AJ48" s="348" t="s">
        <v>40</v>
      </c>
      <c r="AK48" s="348" t="s">
        <v>184</v>
      </c>
      <c r="AL48" s="348" t="s">
        <v>185</v>
      </c>
      <c r="AM48" s="354" t="s">
        <v>188</v>
      </c>
      <c r="AN48" s="348" t="s">
        <v>186</v>
      </c>
      <c r="AO48" s="349" t="s">
        <v>187</v>
      </c>
      <c r="AQ48" s="347" t="s">
        <v>33</v>
      </c>
      <c r="AR48" s="495"/>
      <c r="AS48" s="495"/>
      <c r="AT48" s="348" t="s">
        <v>40</v>
      </c>
      <c r="AU48" s="348" t="s">
        <v>184</v>
      </c>
      <c r="AV48" s="348" t="s">
        <v>185</v>
      </c>
      <c r="AW48" s="354" t="s">
        <v>188</v>
      </c>
      <c r="AX48" s="348" t="s">
        <v>186</v>
      </c>
      <c r="AY48" s="349" t="s">
        <v>187</v>
      </c>
    </row>
    <row r="49" spans="2:51" ht="12.75" customHeight="1" x14ac:dyDescent="0.2">
      <c r="B49" s="9" t="str">
        <f>+B31</f>
        <v>2015</v>
      </c>
      <c r="C49" s="496"/>
      <c r="D49" s="496"/>
      <c r="E49" s="343">
        <f>+G31-G30</f>
        <v>-0.5</v>
      </c>
      <c r="F49" s="344">
        <f>+H34</f>
        <v>533171.13832862326</v>
      </c>
      <c r="G49" s="350">
        <f>+I34</f>
        <v>1465.8344450571449</v>
      </c>
      <c r="H49" s="872" t="s">
        <v>179</v>
      </c>
      <c r="I49" s="352">
        <f>IF(H49="Yes",+F49*E49+$E$31,$E$31)</f>
        <v>72299288.797186792</v>
      </c>
      <c r="J49" s="345">
        <f>IF(H49="Yes",+G49*E49+$F$31,$F$31)</f>
        <v>198917.84757842109</v>
      </c>
      <c r="M49" s="9" t="str">
        <f>+M31</f>
        <v>2015</v>
      </c>
      <c r="N49" s="496"/>
      <c r="O49" s="496"/>
      <c r="P49" s="343">
        <f>+R31-R30</f>
        <v>22.969225608215311</v>
      </c>
      <c r="Q49" s="344">
        <f>+S34</f>
        <v>897.49439266030117</v>
      </c>
      <c r="R49" s="350">
        <f>+T34</f>
        <v>2.498138854544107</v>
      </c>
      <c r="S49" s="872" t="s">
        <v>179</v>
      </c>
      <c r="T49" s="352">
        <f>IF(S49="Yes",+Q49*P49+$P$31,$P$31)</f>
        <v>2432606.0526600452</v>
      </c>
      <c r="U49" s="345">
        <f>IF(S49="Yes",+R49*P49+$Q$31,$Q$31)</f>
        <v>6772.6200970626942</v>
      </c>
      <c r="W49" s="9" t="str">
        <f>+W31</f>
        <v>2015</v>
      </c>
      <c r="X49" s="496"/>
      <c r="Y49" s="496"/>
      <c r="Z49" s="343">
        <f>+AB31-AB30</f>
        <v>-4.5573836038872173</v>
      </c>
      <c r="AA49" s="344">
        <f>+AC34</f>
        <v>1190.4669030287207</v>
      </c>
      <c r="AB49" s="350">
        <f>+AD34</f>
        <v>3.3831717918176158</v>
      </c>
      <c r="AC49" s="872" t="s">
        <v>179</v>
      </c>
      <c r="AD49" s="352">
        <f>IF(AC49="Yes",+AA49*Z49+$Z$31,$Z$31)</f>
        <v>244847.23163322191</v>
      </c>
      <c r="AE49" s="345">
        <f>IF(AC49="Yes",+AB49*Z49+$AA$31,$AA$31)</f>
        <v>697.71463936548889</v>
      </c>
      <c r="AG49" s="9" t="str">
        <f>+AG31</f>
        <v>2015</v>
      </c>
      <c r="AH49" s="496"/>
      <c r="AI49" s="496"/>
      <c r="AJ49" s="343">
        <f>+AL31-AL30</f>
        <v>0</v>
      </c>
      <c r="AK49" s="344">
        <f>+AM34</f>
        <v>22595.383161764705</v>
      </c>
      <c r="AL49" s="350">
        <f>+AN34</f>
        <v>0</v>
      </c>
      <c r="AM49" s="872" t="s">
        <v>179</v>
      </c>
      <c r="AN49" s="352">
        <f>IF(AM49="Yes",+AK49*AJ49+$AJ$31,$AJ$31)</f>
        <v>453067.96191469493</v>
      </c>
      <c r="AO49" s="345">
        <f>IF(AM49="Yes",+AL49*AJ49+$AK$31,$AK$31)</f>
        <v>0</v>
      </c>
      <c r="AQ49" s="9" t="str">
        <f>+AQ31</f>
        <v>2015</v>
      </c>
      <c r="AR49" s="496"/>
      <c r="AS49" s="496"/>
      <c r="AT49" s="343">
        <f>+AV31-AV30</f>
        <v>0</v>
      </c>
      <c r="AU49" s="344">
        <f>+AW34</f>
        <v>0</v>
      </c>
      <c r="AV49" s="350">
        <f>+AX34</f>
        <v>0</v>
      </c>
      <c r="AW49" s="872" t="s">
        <v>179</v>
      </c>
      <c r="AX49" s="352">
        <f>IF(AW49="Yes",+AU49*AT49+$AT$31,$AT$31)</f>
        <v>0</v>
      </c>
      <c r="AY49" s="345">
        <f>IF(AW49="Yes",+AV49*AT49+$AU$31,$AU$31)</f>
        <v>0</v>
      </c>
    </row>
    <row r="50" spans="2:51" ht="13.5" customHeight="1" thickBot="1" x14ac:dyDescent="0.25">
      <c r="B50" s="21" t="str">
        <f>+B32</f>
        <v>2016</v>
      </c>
      <c r="C50" s="497"/>
      <c r="D50" s="497"/>
      <c r="E50" s="339">
        <f>+G32-G30</f>
        <v>1.5</v>
      </c>
      <c r="F50" s="378">
        <f>+H34</f>
        <v>533171.13832862326</v>
      </c>
      <c r="G50" s="351">
        <f>+I34</f>
        <v>1465.8344450571449</v>
      </c>
      <c r="H50" s="873"/>
      <c r="I50" s="353">
        <f>IF(H49="Yes",+F50*E50+$E$32,$E$32)</f>
        <v>72142502.684401065</v>
      </c>
      <c r="J50" s="346">
        <f>IF(H49="Yes",+G50*E50+$F$32,$F$32)</f>
        <v>198486.48018042342</v>
      </c>
      <c r="M50" s="21" t="str">
        <f>+M32</f>
        <v>2016</v>
      </c>
      <c r="N50" s="497"/>
      <c r="O50" s="497"/>
      <c r="P50" s="339">
        <f>+R32-R30</f>
        <v>46.126706461761842</v>
      </c>
      <c r="Q50" s="378">
        <f>+S34</f>
        <v>897.49439266030117</v>
      </c>
      <c r="R50" s="351">
        <f>+T34</f>
        <v>2.498138854544107</v>
      </c>
      <c r="S50" s="873"/>
      <c r="T50" s="353">
        <f>IF(S49="Yes",+Q50*P50+$P$32,$P$32)</f>
        <v>1271330.774669338</v>
      </c>
      <c r="U50" s="346">
        <f>IF(S49="Yes",+R50*P50+$Q$32,$Q$32)</f>
        <v>3539.512838556238</v>
      </c>
      <c r="W50" s="21" t="str">
        <f>+W32</f>
        <v>2016</v>
      </c>
      <c r="X50" s="497"/>
      <c r="Y50" s="497"/>
      <c r="Z50" s="339">
        <f>+AB32-AB30</f>
        <v>-9.0129547307500388</v>
      </c>
      <c r="AA50" s="378">
        <f>+AC34</f>
        <v>1190.4669030287207</v>
      </c>
      <c r="AB50" s="351">
        <f>+AD34</f>
        <v>3.3831717918176158</v>
      </c>
      <c r="AC50" s="873"/>
      <c r="AD50" s="353">
        <f>IF(AC49="Yes",+AA50*Z50+$Z$32,$Z$32)</f>
        <v>244316.26312284268</v>
      </c>
      <c r="AE50" s="346">
        <f>IF(AC49="Yes",+AB50*Z50+$AA$32,$AA$32)</f>
        <v>696.20159590462345</v>
      </c>
      <c r="AG50" s="21" t="str">
        <f>+AG32</f>
        <v>2016</v>
      </c>
      <c r="AH50" s="497"/>
      <c r="AI50" s="497"/>
      <c r="AJ50" s="339">
        <f>+AL32-AL30</f>
        <v>0</v>
      </c>
      <c r="AK50" s="378">
        <f>+AM34</f>
        <v>22595.383161764705</v>
      </c>
      <c r="AL50" s="351">
        <f>+AN34</f>
        <v>0</v>
      </c>
      <c r="AM50" s="873"/>
      <c r="AN50" s="353">
        <f>IF(AM49="Yes",+AK50*AJ50+$AJ$32,$AJ$32)</f>
        <v>452085.45204830298</v>
      </c>
      <c r="AO50" s="346">
        <f>IF(AM49="Yes",+AL50*AJ50+$AK$32,$AK$32)</f>
        <v>0</v>
      </c>
      <c r="AQ50" s="21" t="str">
        <f>+AQ32</f>
        <v>2016</v>
      </c>
      <c r="AR50" s="497"/>
      <c r="AS50" s="497"/>
      <c r="AT50" s="339">
        <f>+AV32-AV30</f>
        <v>0</v>
      </c>
      <c r="AU50" s="378">
        <f>+AW34</f>
        <v>0</v>
      </c>
      <c r="AV50" s="351">
        <f>+AX34</f>
        <v>0</v>
      </c>
      <c r="AW50" s="873"/>
      <c r="AX50" s="353">
        <f>IF(AW49="Yes",+AU50*AT50+$AT$32,$AT$32)</f>
        <v>0</v>
      </c>
      <c r="AY50" s="346">
        <f>IF(AW49="Yes",+AV50*AT50+$AU$32,$AU$32)</f>
        <v>0</v>
      </c>
    </row>
    <row r="51" spans="2:51" x14ac:dyDescent="0.2">
      <c r="J51" s="319"/>
    </row>
    <row r="52" spans="2:51" x14ac:dyDescent="0.2">
      <c r="B52" s="356" t="s">
        <v>190</v>
      </c>
      <c r="C52" s="356"/>
      <c r="D52" s="356"/>
    </row>
    <row r="54" spans="2:51" x14ac:dyDescent="0.2">
      <c r="H54" s="355"/>
    </row>
    <row r="57" spans="2:51" ht="26.25" hidden="1" thickBot="1" x14ac:dyDescent="0.25">
      <c r="B57" s="869" t="s">
        <v>163</v>
      </c>
      <c r="C57" s="870"/>
      <c r="D57" s="870"/>
      <c r="E57" s="871"/>
      <c r="H57" s="320" t="s">
        <v>151</v>
      </c>
      <c r="I57" s="321" t="s">
        <v>148</v>
      </c>
    </row>
    <row r="58" spans="2:51" hidden="1" x14ac:dyDescent="0.2">
      <c r="B58" s="315">
        <v>1</v>
      </c>
      <c r="C58" s="324"/>
      <c r="D58" s="324"/>
      <c r="E58" s="324"/>
      <c r="F58" s="329">
        <f>+B21</f>
        <v>2005</v>
      </c>
      <c r="G58" s="333"/>
      <c r="H58" s="326">
        <f>SUM('6. WS Regression Analysis'!J20:K31)</f>
        <v>209875751.15141216</v>
      </c>
      <c r="I58" s="322">
        <f>SUM('6. WS Regression Analysis'!R20:R31)</f>
        <v>203844303.0754298</v>
      </c>
    </row>
    <row r="59" spans="2:51" hidden="1" x14ac:dyDescent="0.2">
      <c r="B59" s="315">
        <v>2</v>
      </c>
      <c r="C59" s="324"/>
      <c r="D59" s="324"/>
      <c r="E59" s="324"/>
      <c r="F59" s="329">
        <f t="shared" ref="F59:F67" si="24">+B22</f>
        <v>2006</v>
      </c>
      <c r="G59" s="334"/>
      <c r="H59" s="327">
        <f>SUM('6. WS Regression Analysis'!J32:J43)</f>
        <v>203367791.46020103</v>
      </c>
      <c r="I59" s="323">
        <f>SUM('6. WS Regression Analysis'!R32:R43)</f>
        <v>197556431.56635299</v>
      </c>
    </row>
    <row r="60" spans="2:51" hidden="1" x14ac:dyDescent="0.2">
      <c r="B60" s="315">
        <v>3</v>
      </c>
      <c r="C60" s="324"/>
      <c r="D60" s="324"/>
      <c r="E60" s="324"/>
      <c r="F60" s="329">
        <f t="shared" si="24"/>
        <v>2007</v>
      </c>
      <c r="G60" s="334"/>
      <c r="H60" s="327">
        <f>SUM('6. WS Regression Analysis'!J44:J55)</f>
        <v>205302856.46000004</v>
      </c>
      <c r="I60" s="323">
        <f>SUM('6. WS Regression Analysis'!R44:R55)</f>
        <v>200186936.8660098</v>
      </c>
    </row>
    <row r="61" spans="2:51" hidden="1" x14ac:dyDescent="0.2">
      <c r="B61" s="315">
        <v>4</v>
      </c>
      <c r="C61" s="324"/>
      <c r="D61" s="324"/>
      <c r="E61" s="324"/>
      <c r="F61" s="329">
        <f t="shared" si="24"/>
        <v>2008</v>
      </c>
      <c r="G61" s="334"/>
      <c r="H61" s="327">
        <f>SUM('6. WS Regression Analysis'!J56:J67)</f>
        <v>194146899.85907778</v>
      </c>
      <c r="I61" s="323">
        <f>SUM('6. WS Regression Analysis'!R56:R67)</f>
        <v>199277158.67089084</v>
      </c>
    </row>
    <row r="62" spans="2:51" hidden="1" x14ac:dyDescent="0.2">
      <c r="B62" s="315">
        <v>5</v>
      </c>
      <c r="C62" s="324"/>
      <c r="D62" s="324"/>
      <c r="E62" s="324"/>
      <c r="F62" s="329">
        <f t="shared" si="24"/>
        <v>2009</v>
      </c>
      <c r="G62" s="334"/>
      <c r="H62" s="327">
        <f>SUM('6. WS Regression Analysis'!J68:J79)</f>
        <v>201115656.45999998</v>
      </c>
      <c r="I62" s="323">
        <f>SUM('6. WS Regression Analysis'!R68:R79)</f>
        <v>198683586.06453371</v>
      </c>
    </row>
    <row r="63" spans="2:51" hidden="1" x14ac:dyDescent="0.2">
      <c r="B63" s="315">
        <v>6</v>
      </c>
      <c r="C63" s="324"/>
      <c r="D63" s="324"/>
      <c r="E63" s="324"/>
      <c r="F63" s="329">
        <f t="shared" si="24"/>
        <v>2010</v>
      </c>
      <c r="G63" s="334"/>
      <c r="H63" s="327">
        <f>SUM('6. WS Regression Analysis'!J80:J91)</f>
        <v>197081317.46300003</v>
      </c>
      <c r="I63" s="323">
        <f>SUM('6. WS Regression Analysis'!R80:R91)</f>
        <v>199197021.01412955</v>
      </c>
    </row>
    <row r="64" spans="2:51" hidden="1" x14ac:dyDescent="0.2">
      <c r="B64" s="315">
        <v>7</v>
      </c>
      <c r="C64" s="324"/>
      <c r="D64" s="324"/>
      <c r="E64" s="324"/>
      <c r="F64" s="329">
        <f t="shared" si="24"/>
        <v>2011</v>
      </c>
      <c r="G64" s="334"/>
      <c r="H64" s="327">
        <f>SUM('6. WS Regression Analysis'!J92:J103)</f>
        <v>199623009.43799999</v>
      </c>
      <c r="I64" s="323">
        <f>SUM('6. WS Regression Analysis'!R92:R103)</f>
        <v>197051606.59096599</v>
      </c>
    </row>
    <row r="65" spans="2:10" hidden="1" x14ac:dyDescent="0.2">
      <c r="B65" s="315">
        <v>8</v>
      </c>
      <c r="C65" s="324"/>
      <c r="D65" s="324"/>
      <c r="E65" s="324"/>
      <c r="F65" s="329">
        <f t="shared" si="24"/>
        <v>2012</v>
      </c>
      <c r="G65" s="334"/>
      <c r="H65" s="327">
        <f>SUM('6. WS Regression Analysis'!J104:J115)</f>
        <v>194771161.25000003</v>
      </c>
      <c r="I65" s="341">
        <f>SUM('6. WS Regression Analysis'!R104:R115)</f>
        <v>200061553.77745542</v>
      </c>
      <c r="J65" s="313" t="s">
        <v>189</v>
      </c>
    </row>
    <row r="66" spans="2:10" hidden="1" x14ac:dyDescent="0.2">
      <c r="B66" s="315">
        <v>9</v>
      </c>
      <c r="C66" s="324"/>
      <c r="D66" s="324"/>
      <c r="E66" s="324"/>
      <c r="F66" s="329">
        <f t="shared" si="24"/>
        <v>2013</v>
      </c>
      <c r="G66" s="334"/>
      <c r="H66" s="327">
        <f>SUM('6. WS Regression Analysis'!J116:J127)</f>
        <v>198259056.0149</v>
      </c>
      <c r="I66" s="341">
        <f>SUM('6. WS Regression Analysis'!R116:R117)</f>
        <v>40301949.722216293</v>
      </c>
      <c r="J66" s="313" t="s">
        <v>178</v>
      </c>
    </row>
    <row r="67" spans="2:10" ht="13.5" hidden="1" thickBot="1" x14ac:dyDescent="0.25">
      <c r="B67" s="316">
        <v>10</v>
      </c>
      <c r="C67" s="325"/>
      <c r="D67" s="325"/>
      <c r="E67" s="325"/>
      <c r="F67" s="329">
        <f t="shared" si="24"/>
        <v>2014</v>
      </c>
      <c r="G67" s="335"/>
      <c r="H67" s="328">
        <f>SUM('6. WS Regression Analysis'!J128:J139)</f>
        <v>191637148.35999998</v>
      </c>
      <c r="I67" s="340">
        <f>SUM('6. WS Regression Analysis'!R128:R139)</f>
        <v>200106964.7243894</v>
      </c>
      <c r="J67" s="313" t="s">
        <v>179</v>
      </c>
    </row>
    <row r="68" spans="2:10" hidden="1" x14ac:dyDescent="0.2"/>
  </sheetData>
  <mergeCells count="26">
    <mergeCell ref="AQ18:AY18"/>
    <mergeCell ref="AQ36:AY36"/>
    <mergeCell ref="AQ41:AY41"/>
    <mergeCell ref="AQ47:AY47"/>
    <mergeCell ref="AW49:AW50"/>
    <mergeCell ref="B18:J18"/>
    <mergeCell ref="M18:U18"/>
    <mergeCell ref="W18:AE18"/>
    <mergeCell ref="AG18:AO18"/>
    <mergeCell ref="B57:E57"/>
    <mergeCell ref="H49:H50"/>
    <mergeCell ref="S49:S50"/>
    <mergeCell ref="AC49:AC50"/>
    <mergeCell ref="AM49:AM50"/>
    <mergeCell ref="B36:J36"/>
    <mergeCell ref="B41:J41"/>
    <mergeCell ref="M36:U36"/>
    <mergeCell ref="M41:U41"/>
    <mergeCell ref="W36:AE36"/>
    <mergeCell ref="W41:AE41"/>
    <mergeCell ref="AG36:AO36"/>
    <mergeCell ref="AG41:AO41"/>
    <mergeCell ref="B47:J47"/>
    <mergeCell ref="M47:U47"/>
    <mergeCell ref="W47:AE47"/>
    <mergeCell ref="AG47:AO47"/>
  </mergeCells>
  <dataValidations count="2">
    <dataValidation type="list" allowBlank="1" showInputMessage="1" showErrorMessage="1" sqref="E34 Z34 P34 AJ34 AT34">
      <formula1>$B$58:$B$67</formula1>
    </dataValidation>
    <dataValidation type="list" allowBlank="1" showInputMessage="1" showErrorMessage="1" sqref="H49 AW49 S49 AC49 AM49">
      <formula1>$J$66:$J$67</formula1>
    </dataValidation>
  </dataValidations>
  <pageMargins left="0.7" right="0.7" top="0.75" bottom="0.75" header="0.3" footer="0.3"/>
  <pageSetup orientation="portrait" horizontalDpi="4294967293"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Classes'!$B$14:$B$21</xm:f>
          </x14:formula1>
          <xm:sqref>B18:J18 M18:U18 W18:AE18 AG18:AO18 AQ18:AY18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7</vt:i4>
      </vt:variant>
    </vt:vector>
  </HeadingPairs>
  <TitlesOfParts>
    <vt:vector size="23" baseType="lpstr">
      <vt:lpstr>1. LDC Info</vt:lpstr>
      <vt:lpstr>2. Customer Classes</vt:lpstr>
      <vt:lpstr>3. Consumption by Rate Class</vt:lpstr>
      <vt:lpstr>4. Customer Growth</vt:lpstr>
      <vt:lpstr>5.Variables</vt:lpstr>
      <vt:lpstr>6. WS Regression Analysis</vt:lpstr>
      <vt:lpstr>6.1 Regression Scenarios</vt:lpstr>
      <vt:lpstr>7. Weather Senstive Class</vt:lpstr>
      <vt:lpstr>8. KW and Non-Weather Sensitive</vt:lpstr>
      <vt:lpstr>9. Weather Adj LF</vt:lpstr>
      <vt:lpstr>10. CDM Adjustment</vt:lpstr>
      <vt:lpstr>10.1 CDM Allocation</vt:lpstr>
      <vt:lpstr>11. Final Load Forecast</vt:lpstr>
      <vt:lpstr>12. Analysis_ Avg Per Cust</vt:lpstr>
      <vt:lpstr>14. Winter Flag</vt:lpstr>
      <vt:lpstr>13. Analysis_Weather adj LF</vt:lpstr>
      <vt:lpstr>AllVariables</vt:lpstr>
      <vt:lpstr>'5.Variables'!Print_Area</vt:lpstr>
      <vt:lpstr>Variable1</vt:lpstr>
      <vt:lpstr>Variable2</vt:lpstr>
      <vt:lpstr>Variable3</vt:lpstr>
      <vt:lpstr>Variable5</vt:lpstr>
      <vt:lpstr>Variable6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2008-02-27T14:40:29Z</dcterms:created>
  <dcterms:modified xsi:type="dcterms:W3CDTF">2016-01-26T17:16:51Z</dcterms:modified>
</cp:coreProperties>
</file>