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90" windowHeight="3900" activeTab="1"/>
  </bookViews>
  <sheets>
    <sheet name="COP Forecast 2015 using % alloc" sheetId="1" r:id="rId1"/>
    <sheet name="COP Forecast 2016 using % alloc" sheetId="2" r:id="rId2"/>
    <sheet name="wap " sheetId="3" r:id="rId3"/>
    <sheet name="WCA Revised 2016" sheetId="4" r:id="rId4"/>
    <sheet name="COP Summary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'COP Forecast 2015 using % alloc'!$A$1:$F$94</definedName>
    <definedName name="_xlnm.Print_Area" localSheetId="1">'COP Forecast 2016 using % alloc'!$A$1:$F$94</definedName>
    <definedName name="_xlnm.Print_Area" localSheetId="2">'wap '!$F$22:$J$42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<sst xmlns="http://schemas.openxmlformats.org/spreadsheetml/2006/main" count="362" uniqueCount="139">
  <si>
    <t>4705-Power Purchased</t>
  </si>
  <si>
    <t>4708-Charges-WMS</t>
  </si>
  <si>
    <t>4714-Charges-NW</t>
  </si>
  <si>
    <t>4716-Charges-CN</t>
  </si>
  <si>
    <t>Class per Load Forecast</t>
  </si>
  <si>
    <t>Residential</t>
  </si>
  <si>
    <t>Street Lighting</t>
  </si>
  <si>
    <t>Sentinel Lighting</t>
  </si>
  <si>
    <t>GS&lt;50kW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</si>
  <si>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</si>
  <si>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</si>
  <si>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</si>
  <si>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</si>
  <si>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</si>
  <si>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</si>
  <si>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</si>
  <si>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</si>
  <si>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</si>
  <si>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</si>
  <si>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</si>
  <si>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>Electricity - Commodity</t>
  </si>
  <si>
    <t xml:space="preserve">4750-Low Voltage </t>
  </si>
  <si>
    <t>GS&gt;50-999kW</t>
  </si>
  <si>
    <t>GS&gt;1000-4999</t>
  </si>
  <si>
    <t>Large Users</t>
  </si>
  <si>
    <t>Low Voltage Service Rate</t>
  </si>
  <si>
    <t>WAP for RPP</t>
  </si>
  <si>
    <t>Global Adjustment</t>
  </si>
  <si>
    <t>Total COP</t>
  </si>
  <si>
    <t>Average</t>
  </si>
  <si>
    <t>Non-RPP</t>
  </si>
  <si>
    <t>RPP</t>
  </si>
  <si>
    <t>check</t>
  </si>
  <si>
    <t xml:space="preserve"> Non - RPP kWh Quantities</t>
  </si>
  <si>
    <t>Sum of Billed Consum</t>
  </si>
  <si>
    <t>Column Labels</t>
  </si>
  <si>
    <t>Row Labels</t>
  </si>
  <si>
    <t>Grand Total</t>
  </si>
  <si>
    <t>Sentinel light</t>
  </si>
  <si>
    <t>GS &lt;50 TOU</t>
  </si>
  <si>
    <t>GS&lt;50</t>
  </si>
  <si>
    <t>GS Int &lt;1000</t>
  </si>
  <si>
    <t>GS Int &lt;1000 FRP</t>
  </si>
  <si>
    <t>GS Int &gt;1000</t>
  </si>
  <si>
    <t>GS Int &gt;1000 FRP</t>
  </si>
  <si>
    <t>Street light</t>
  </si>
  <si>
    <t>Large User</t>
  </si>
  <si>
    <t>GS &lt;1000 Oakville LT</t>
  </si>
  <si>
    <t>Unmetered &amp; Scattered</t>
  </si>
  <si>
    <t>GS&gt;50-999</t>
  </si>
  <si>
    <t>GS&gt;5000</t>
  </si>
  <si>
    <t>Sentinel</t>
  </si>
  <si>
    <t>Streetlights</t>
  </si>
  <si>
    <t>Uplifted Qty's</t>
  </si>
  <si>
    <t>Non Uplifted Qty's</t>
  </si>
  <si>
    <t>Total Non RPP</t>
  </si>
  <si>
    <t>Total RPP</t>
  </si>
  <si>
    <t>Cost of Power Summary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</si>
  <si>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</si>
  <si>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</si>
  <si>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</si>
  <si>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</si>
  <si>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</si>
  <si>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</si>
  <si>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</si>
  <si>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</si>
  <si>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</si>
  <si>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</si>
  <si>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</si>
  <si>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</si>
  <si>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</si>
  <si>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KW</t>
  </si>
  <si>
    <t>Rate</t>
  </si>
  <si>
    <t>Common ST Lines</t>
  </si>
  <si>
    <t>$$$</t>
  </si>
  <si>
    <t>Monthly Service Charge</t>
  </si>
  <si>
    <t># Feeders</t>
  </si>
  <si>
    <t>Rate/month</t>
  </si>
  <si>
    <t>Total Low Voltage Charges</t>
  </si>
  <si>
    <t>Total</t>
  </si>
  <si>
    <t>Palermo &amp; MS 6  - 3 feeders</t>
  </si>
  <si>
    <t>Cost of Power Account</t>
  </si>
  <si>
    <t>RPP (per Settlement)</t>
  </si>
  <si>
    <t>Actual 2016</t>
  </si>
  <si>
    <t>(by consumption year)</t>
  </si>
  <si>
    <t>Total 2015 Forecasted Qty's</t>
  </si>
  <si>
    <t>Total 2016 Forecasted Qty's</t>
  </si>
  <si>
    <t>2015 Non RPP Qtys</t>
  </si>
  <si>
    <t>2015 RPP Qtys</t>
  </si>
  <si>
    <t>% allocation Non RPP based on 2014 actual consumed (non-uplifted)</t>
  </si>
  <si>
    <t>2016 Non RPP Qtys</t>
  </si>
  <si>
    <t>2016 RPP Qtys</t>
  </si>
  <si>
    <t>Rates as per Navigant/OEB April 20, 2015</t>
  </si>
  <si>
    <t>Rates as per Navigant/OEB October 2014</t>
  </si>
  <si>
    <t>Rates as per Navigant/OEB Oct 2015 (per settlement</t>
  </si>
  <si>
    <t>2016 RPP Forecasted Metered kWhs</t>
  </si>
  <si>
    <t>2016  Loss Factor</t>
  </si>
  <si>
    <t>(updated)</t>
  </si>
  <si>
    <t>2015 RPP Forecasted Metered kWhs</t>
  </si>
  <si>
    <t>2015  Loss Factor</t>
  </si>
  <si>
    <t>2015 Non-RPP Forecasted Metered kWhs</t>
  </si>
  <si>
    <t xml:space="preserve">Total 2014 Non Uplifted </t>
  </si>
  <si>
    <t>Actual 2014 Qty's Non Uplifted</t>
  </si>
  <si>
    <t>Approve May 2015 rates</t>
  </si>
  <si>
    <t>2016 Proposed from RSTR Model</t>
  </si>
  <si>
    <t>2016 Non-RPP Forecasted Metered kWhs</t>
  </si>
  <si>
    <t>kWh/kW</t>
  </si>
  <si>
    <t>Total Cost of Power</t>
  </si>
  <si>
    <t>Low Voltage charges (DO NOT USE)</t>
  </si>
  <si>
    <t>Hydro One</t>
  </si>
  <si>
    <t>Oakville Hydro</t>
  </si>
  <si>
    <t>Smart Metering Entity Charge</t>
  </si>
  <si>
    <t>SMDR</t>
  </si>
  <si>
    <t>Distribution Expenses</t>
  </si>
  <si>
    <t>Distribution Expenses - Operation</t>
  </si>
  <si>
    <t>Distribution Expenses - Maintenance</t>
  </si>
  <si>
    <t>Billing and Collecting</t>
  </si>
  <si>
    <t>Community Relations</t>
  </si>
  <si>
    <t>Administrative and General Expenses</t>
  </si>
  <si>
    <t>Taxes Other than Income Taxes</t>
  </si>
  <si>
    <r>
      <t>Less:</t>
    </r>
    <r>
      <rPr>
        <sz val="10"/>
        <rFont val="Arial"/>
        <family val="0"/>
      </rPr>
      <t xml:space="preserve"> Capital Taxes within 6105</t>
    </r>
  </si>
  <si>
    <t>Total Eligible Distribution Expenses</t>
  </si>
  <si>
    <t>Power Supply Expenses</t>
  </si>
  <si>
    <t>Total Working Capital Expenses</t>
  </si>
  <si>
    <t>Working Capital Allowance rate of 7.5%</t>
  </si>
  <si>
    <t>REVISED WORKING CAPITAL ALLOWANCE FOR 2016</t>
  </si>
  <si>
    <t>Power Purchased</t>
  </si>
  <si>
    <t>Wholesale Market Service/RRP</t>
  </si>
  <si>
    <t>Network</t>
  </si>
  <si>
    <t>Connection</t>
  </si>
  <si>
    <t>LV Charges</t>
  </si>
  <si>
    <t>Smart Meter Entity Charge</t>
  </si>
  <si>
    <t>2016 Test Year (as filed)</t>
  </si>
  <si>
    <t>2016 Test Year (Revised)</t>
  </si>
  <si>
    <t>Revised Table 2-15</t>
  </si>
  <si>
    <t>Note: Revised the 2016 Test (as Filed)</t>
  </si>
  <si>
    <t>Total Cost of Power is correct, however allocation between UsofA accounts was incorrect</t>
  </si>
  <si>
    <t>2015 Forecasted Qtys (based on Actuals to Oct 2015)</t>
  </si>
  <si>
    <t>2016 Forecasted Qtys (based on Actuals to Oct 2015)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</si>
</sst>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[$-409]dddd\,\ mmmm\ dd\,\ yyyy"/>
    <numFmt numFmtId="192" formatCode="[$-409]mmm\-yy;@"/>
    <numFmt numFmtId="193" formatCode="0.00000"/>
    <numFmt numFmtId="194" formatCode="0.000%"/>
    <numFmt numFmtId="195" formatCode="0.0%"/>
    <numFmt numFmtId="196" formatCode="_(* #,##0.0_);_(* \(#,##0.0\);_(* &quot;-&quot;??_);_(@_)"/>
    <numFmt numFmtId="197" formatCode="_(* #,##0_);_(* \(#,##0\);_(* &quot;-&quot;??_);_(@_)"/>
    <numFmt numFmtId="198" formatCode="mmm\-yyyy"/>
    <numFmt numFmtId="199" formatCode="[$€-2]\ #,##0.00_);[Red]\([$€-2]\ #,##0.00\)"/>
    <numFmt numFmtId="200" formatCode="&quot;$&quot;#,##0.00000"/>
    <numFmt numFmtId="201" formatCode="0.0000"/>
    <numFmt numFmtId="202" formatCode="#,##0.000_);\(#,##0.000\)"/>
    <numFmt numFmtId="203" formatCode="#,##0.00_);\(#,##0.00\)"/>
    <numFmt numFmtId="204" formatCode="#,##0.0_);\(#,##0.0\)"/>
    <numFmt numFmtId="205" formatCode="#,##0_);\(#,##0\)"/>
    <numFmt numFmtId="206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5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193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93" fontId="0" fillId="33" borderId="17" xfId="0" applyNumberFormat="1" applyFill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59" applyNumberFormat="1" applyFont="1" applyAlignment="1">
      <alignment/>
    </xf>
    <xf numFmtId="3" fontId="0" fillId="0" borderId="0" xfId="0" applyNumberFormat="1" applyAlignment="1">
      <alignment/>
    </xf>
    <xf numFmtId="195" fontId="0" fillId="0" borderId="0" xfId="59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9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3" fontId="1" fillId="34" borderId="22" xfId="59" applyNumberFormat="1" applyFont="1" applyFill="1" applyBorder="1" applyAlignment="1">
      <alignment/>
    </xf>
    <xf numFmtId="3" fontId="1" fillId="0" borderId="22" xfId="59" applyNumberFormat="1" applyFont="1" applyBorder="1" applyAlignment="1">
      <alignment/>
    </xf>
    <xf numFmtId="3" fontId="1" fillId="34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5" xfId="0" applyNumberFormat="1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1" fillId="35" borderId="16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4" fillId="25" borderId="28" xfId="0" applyFont="1" applyFill="1" applyBorder="1" applyAlignment="1">
      <alignment/>
    </xf>
    <xf numFmtId="0" fontId="5" fillId="0" borderId="0" xfId="0" applyFont="1" applyAlignment="1">
      <alignment/>
    </xf>
    <xf numFmtId="0" fontId="5" fillId="25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37" fontId="6" fillId="7" borderId="12" xfId="0" applyNumberFormat="1" applyFont="1" applyFill="1" applyBorder="1" applyAlignment="1">
      <alignment/>
    </xf>
    <xf numFmtId="172" fontId="6" fillId="7" borderId="30" xfId="0" applyNumberFormat="1" applyFont="1" applyFill="1" applyBorder="1" applyAlignment="1">
      <alignment/>
    </xf>
    <xf numFmtId="37" fontId="6" fillId="0" borderId="30" xfId="0" applyNumberFormat="1" applyFont="1" applyBorder="1" applyAlignment="1">
      <alignment/>
    </xf>
    <xf numFmtId="175" fontId="6" fillId="7" borderId="30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7" fontId="6" fillId="7" borderId="14" xfId="0" applyNumberFormat="1" applyFont="1" applyFill="1" applyBorder="1" applyAlignment="1">
      <alignment/>
    </xf>
    <xf numFmtId="172" fontId="6" fillId="7" borderId="29" xfId="0" applyNumberFormat="1" applyFont="1" applyFill="1" applyBorder="1" applyAlignment="1">
      <alignment/>
    </xf>
    <xf numFmtId="37" fontId="6" fillId="0" borderId="29" xfId="0" applyNumberFormat="1" applyFont="1" applyBorder="1" applyAlignment="1">
      <alignment/>
    </xf>
    <xf numFmtId="175" fontId="6" fillId="7" borderId="29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6" fillId="0" borderId="31" xfId="0" applyFont="1" applyBorder="1" applyAlignment="1">
      <alignment/>
    </xf>
    <xf numFmtId="37" fontId="6" fillId="0" borderId="31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0" fontId="5" fillId="0" borderId="28" xfId="0" applyFont="1" applyBorder="1" applyAlignment="1">
      <alignment horizontal="left" indent="1"/>
    </xf>
    <xf numFmtId="37" fontId="5" fillId="0" borderId="32" xfId="0" applyNumberFormat="1" applyFont="1" applyBorder="1" applyAlignment="1">
      <alignment/>
    </xf>
    <xf numFmtId="0" fontId="5" fillId="0" borderId="28" xfId="0" applyFont="1" applyBorder="1" applyAlignment="1">
      <alignment/>
    </xf>
    <xf numFmtId="37" fontId="5" fillId="0" borderId="17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37" fontId="6" fillId="0" borderId="0" xfId="0" applyNumberFormat="1" applyFont="1" applyAlignment="1">
      <alignment/>
    </xf>
    <xf numFmtId="0" fontId="5" fillId="0" borderId="30" xfId="0" applyFont="1" applyBorder="1" applyAlignment="1">
      <alignment horizontal="left" indent="1"/>
    </xf>
    <xf numFmtId="37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5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37" fontId="6" fillId="0" borderId="14" xfId="0" applyNumberFormat="1" applyFont="1" applyBorder="1" applyAlignment="1">
      <alignment/>
    </xf>
    <xf numFmtId="172" fontId="6" fillId="0" borderId="29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164" fontId="5" fillId="0" borderId="17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5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13" borderId="33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197" fontId="6" fillId="0" borderId="28" xfId="42" applyNumberFormat="1" applyFont="1" applyBorder="1" applyAlignment="1">
      <alignment/>
    </xf>
    <xf numFmtId="197" fontId="6" fillId="0" borderId="35" xfId="42" applyNumberFormat="1" applyFont="1" applyBorder="1" applyAlignment="1">
      <alignment/>
    </xf>
    <xf numFmtId="0" fontId="6" fillId="0" borderId="30" xfId="0" applyFont="1" applyBorder="1" applyAlignment="1">
      <alignment/>
    </xf>
    <xf numFmtId="197" fontId="6" fillId="0" borderId="36" xfId="42" applyNumberFormat="1" applyFont="1" applyBorder="1" applyAlignment="1">
      <alignment/>
    </xf>
    <xf numFmtId="197" fontId="6" fillId="0" borderId="37" xfId="42" applyNumberFormat="1" applyFont="1" applyBorder="1" applyAlignment="1">
      <alignment/>
    </xf>
    <xf numFmtId="0" fontId="5" fillId="25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8" xfId="0" applyFont="1" applyBorder="1" applyAlignment="1">
      <alignment/>
    </xf>
    <xf numFmtId="0" fontId="6" fillId="13" borderId="28" xfId="0" applyFont="1" applyFill="1" applyBorder="1" applyAlignment="1">
      <alignment/>
    </xf>
    <xf numFmtId="197" fontId="5" fillId="13" borderId="37" xfId="0" applyNumberFormat="1" applyFont="1" applyFill="1" applyBorder="1" applyAlignment="1">
      <alignment/>
    </xf>
    <xf numFmtId="3" fontId="47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47" fillId="0" borderId="0" xfId="0" applyFont="1" applyAlignment="1">
      <alignment horizontal="left" vertical="center" wrapText="1"/>
    </xf>
    <xf numFmtId="172" fontId="6" fillId="7" borderId="3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37" fontId="5" fillId="25" borderId="3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5" fillId="13" borderId="28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3" fontId="0" fillId="34" borderId="0" xfId="0" applyNumberFormat="1" applyFill="1" applyAlignment="1">
      <alignment/>
    </xf>
    <xf numFmtId="3" fontId="1" fillId="34" borderId="22" xfId="0" applyNumberFormat="1" applyFont="1" applyFill="1" applyBorder="1" applyAlignment="1">
      <alignment/>
    </xf>
    <xf numFmtId="178" fontId="6" fillId="34" borderId="14" xfId="0" applyNumberFormat="1" applyFont="1" applyFill="1" applyBorder="1" applyAlignment="1">
      <alignment/>
    </xf>
    <xf numFmtId="178" fontId="6" fillId="34" borderId="17" xfId="0" applyNumberFormat="1" applyFont="1" applyFill="1" applyBorder="1" applyAlignment="1">
      <alignment/>
    </xf>
    <xf numFmtId="178" fontId="6" fillId="34" borderId="12" xfId="0" applyNumberFormat="1" applyFont="1" applyFill="1" applyBorder="1" applyAlignment="1">
      <alignment/>
    </xf>
    <xf numFmtId="178" fontId="6" fillId="34" borderId="30" xfId="0" applyNumberFormat="1" applyFont="1" applyFill="1" applyBorder="1" applyAlignment="1">
      <alignment/>
    </xf>
    <xf numFmtId="178" fontId="6" fillId="34" borderId="29" xfId="0" applyNumberFormat="1" applyFont="1" applyFill="1" applyBorder="1" applyAlignment="1">
      <alignment/>
    </xf>
    <xf numFmtId="178" fontId="6" fillId="34" borderId="3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37" fontId="6" fillId="0" borderId="12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37" fontId="6" fillId="0" borderId="30" xfId="0" applyNumberFormat="1" applyFont="1" applyFill="1" applyBorder="1" applyAlignment="1">
      <alignment/>
    </xf>
    <xf numFmtId="175" fontId="6" fillId="0" borderId="30" xfId="0" applyNumberFormat="1" applyFont="1" applyFill="1" applyBorder="1" applyAlignment="1">
      <alignment/>
    </xf>
    <xf numFmtId="37" fontId="6" fillId="0" borderId="14" xfId="0" applyNumberFormat="1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37" fontId="6" fillId="0" borderId="29" xfId="0" applyNumberFormat="1" applyFont="1" applyFill="1" applyBorder="1" applyAlignment="1">
      <alignment/>
    </xf>
    <xf numFmtId="175" fontId="6" fillId="0" borderId="29" xfId="0" applyNumberFormat="1" applyFont="1" applyFill="1" applyBorder="1" applyAlignment="1">
      <alignment/>
    </xf>
    <xf numFmtId="37" fontId="6" fillId="0" borderId="31" xfId="0" applyNumberFormat="1" applyFont="1" applyFill="1" applyBorder="1" applyAlignment="1">
      <alignment/>
    </xf>
    <xf numFmtId="37" fontId="5" fillId="0" borderId="32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174" fontId="6" fillId="0" borderId="17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7" fontId="5" fillId="0" borderId="12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6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left" indent="1"/>
    </xf>
    <xf numFmtId="0" fontId="5" fillId="0" borderId="39" xfId="0" applyFont="1" applyFill="1" applyBorder="1" applyAlignment="1">
      <alignment vertical="center"/>
    </xf>
    <xf numFmtId="0" fontId="6" fillId="0" borderId="40" xfId="0" applyFont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0" fontId="6" fillId="0" borderId="42" xfId="0" applyFont="1" applyBorder="1" applyAlignment="1">
      <alignment/>
    </xf>
    <xf numFmtId="164" fontId="6" fillId="0" borderId="27" xfId="0" applyNumberFormat="1" applyFont="1" applyFill="1" applyBorder="1" applyAlignment="1">
      <alignment/>
    </xf>
    <xf numFmtId="0" fontId="5" fillId="0" borderId="39" xfId="0" applyFont="1" applyBorder="1" applyAlignment="1">
      <alignment horizontal="left" indent="1"/>
    </xf>
    <xf numFmtId="164" fontId="5" fillId="0" borderId="27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Border="1" applyAlignment="1">
      <alignment horizontal="left" indent="1"/>
    </xf>
    <xf numFmtId="164" fontId="5" fillId="0" borderId="18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5" fillId="0" borderId="41" xfId="0" applyFont="1" applyFill="1" applyBorder="1" applyAlignment="1">
      <alignment/>
    </xf>
    <xf numFmtId="0" fontId="1" fillId="0" borderId="45" xfId="0" applyFont="1" applyBorder="1" applyAlignment="1">
      <alignment/>
    </xf>
    <xf numFmtId="37" fontId="1" fillId="0" borderId="46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64" fontId="5" fillId="0" borderId="48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30" xfId="0" applyFont="1" applyBorder="1" applyAlignment="1">
      <alignment/>
    </xf>
    <xf numFmtId="37" fontId="5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205" fontId="6" fillId="0" borderId="30" xfId="0" applyNumberFormat="1" applyFont="1" applyBorder="1" applyAlignment="1">
      <alignment horizontal="center"/>
    </xf>
    <xf numFmtId="205" fontId="6" fillId="0" borderId="29" xfId="0" applyNumberFormat="1" applyFont="1" applyBorder="1" applyAlignment="1">
      <alignment horizontal="center"/>
    </xf>
    <xf numFmtId="0" fontId="5" fillId="36" borderId="49" xfId="0" applyFont="1" applyFill="1" applyBorder="1" applyAlignment="1">
      <alignment vertical="center"/>
    </xf>
    <xf numFmtId="0" fontId="5" fillId="36" borderId="15" xfId="0" applyNumberFormat="1" applyFont="1" applyFill="1" applyBorder="1" applyAlignment="1">
      <alignment horizontal="center" vertical="center"/>
    </xf>
    <xf numFmtId="0" fontId="5" fillId="36" borderId="16" xfId="0" applyNumberFormat="1" applyFont="1" applyFill="1" applyBorder="1" applyAlignment="1">
      <alignment horizontal="center" vertical="center"/>
    </xf>
    <xf numFmtId="0" fontId="5" fillId="36" borderId="27" xfId="0" applyNumberFormat="1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/>
    </xf>
    <xf numFmtId="206" fontId="0" fillId="0" borderId="28" xfId="42" applyNumberFormat="1" applyFont="1" applyBorder="1" applyAlignment="1">
      <alignment horizontal="center"/>
    </xf>
    <xf numFmtId="206" fontId="0" fillId="13" borderId="28" xfId="42" applyNumberFormat="1" applyFont="1" applyFill="1" applyBorder="1" applyAlignment="1">
      <alignment horizontal="center"/>
    </xf>
    <xf numFmtId="206" fontId="1" fillId="0" borderId="28" xfId="42" applyNumberFormat="1" applyFont="1" applyBorder="1" applyAlignment="1">
      <alignment horizontal="center"/>
    </xf>
    <xf numFmtId="206" fontId="0" fillId="0" borderId="50" xfId="42" applyNumberFormat="1" applyFont="1" applyBorder="1" applyAlignment="1">
      <alignment horizontal="center"/>
    </xf>
    <xf numFmtId="0" fontId="1" fillId="25" borderId="51" xfId="0" applyFont="1" applyFill="1" applyBorder="1" applyAlignment="1">
      <alignment horizontal="center" wrapText="1"/>
    </xf>
    <xf numFmtId="0" fontId="1" fillId="25" borderId="52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197" fontId="0" fillId="0" borderId="0" xfId="42" applyNumberFormat="1" applyFont="1" applyBorder="1" applyAlignment="1">
      <alignment/>
    </xf>
    <xf numFmtId="197" fontId="0" fillId="0" borderId="0" xfId="42" applyNumberFormat="1" applyFont="1" applyFill="1" applyBorder="1" applyAlignment="1">
      <alignment/>
    </xf>
    <xf numFmtId="0" fontId="48" fillId="25" borderId="53" xfId="0" applyFont="1" applyFill="1" applyBorder="1" applyAlignment="1">
      <alignment/>
    </xf>
    <xf numFmtId="197" fontId="0" fillId="0" borderId="18" xfId="42" applyNumberFormat="1" applyFont="1" applyBorder="1" applyAlignment="1">
      <alignment/>
    </xf>
    <xf numFmtId="197" fontId="0" fillId="0" borderId="18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197" fontId="1" fillId="0" borderId="54" xfId="42" applyNumberFormat="1" applyFont="1" applyBorder="1" applyAlignment="1">
      <alignment/>
    </xf>
    <xf numFmtId="197" fontId="1" fillId="0" borderId="55" xfId="42" applyNumberFormat="1" applyFont="1" applyBorder="1" applyAlignment="1">
      <alignment/>
    </xf>
    <xf numFmtId="0" fontId="1" fillId="35" borderId="25" xfId="0" applyFont="1" applyFill="1" applyBorder="1" applyAlignment="1">
      <alignment horizontal="center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25" borderId="10" xfId="0" applyNumberFormat="1" applyFont="1" applyFill="1" applyBorder="1" applyAlignment="1">
      <alignment horizontal="center"/>
    </xf>
    <xf numFmtId="0" fontId="5" fillId="25" borderId="11" xfId="0" applyNumberFormat="1" applyFont="1" applyFill="1" applyBorder="1" applyAlignment="1">
      <alignment horizontal="center"/>
    </xf>
    <xf numFmtId="0" fontId="5" fillId="25" borderId="12" xfId="0" applyNumberFormat="1" applyFont="1" applyFill="1" applyBorder="1" applyAlignment="1">
      <alignment horizontal="center"/>
    </xf>
    <xf numFmtId="0" fontId="5" fillId="25" borderId="15" xfId="0" applyNumberFormat="1" applyFont="1" applyFill="1" applyBorder="1" applyAlignment="1">
      <alignment horizontal="center"/>
    </xf>
    <xf numFmtId="0" fontId="5" fillId="25" borderId="16" xfId="0" applyNumberFormat="1" applyFont="1" applyFill="1" applyBorder="1" applyAlignment="1">
      <alignment horizontal="center"/>
    </xf>
    <xf numFmtId="0" fontId="5" fillId="25" borderId="17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25" borderId="30" xfId="0" applyNumberFormat="1" applyFont="1" applyFill="1" applyBorder="1" applyAlignment="1">
      <alignment horizontal="center" wrapText="1"/>
    </xf>
    <xf numFmtId="0" fontId="5" fillId="25" borderId="31" xfId="0" applyNumberFormat="1" applyFont="1" applyFill="1" applyBorder="1" applyAlignment="1">
      <alignment horizontal="center" wrapText="1"/>
    </xf>
    <xf numFmtId="0" fontId="5" fillId="25" borderId="30" xfId="0" applyFont="1" applyFill="1" applyBorder="1" applyAlignment="1">
      <alignment horizontal="center" wrapText="1"/>
    </xf>
    <xf numFmtId="0" fontId="5" fillId="25" borderId="31" xfId="0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36" borderId="56" xfId="0" applyNumberFormat="1" applyFont="1" applyFill="1" applyBorder="1" applyAlignment="1">
      <alignment horizontal="center" vertical="center"/>
    </xf>
    <xf numFmtId="0" fontId="5" fillId="36" borderId="51" xfId="0" applyNumberFormat="1" applyFont="1" applyFill="1" applyBorder="1" applyAlignment="1">
      <alignment horizontal="center" vertical="center"/>
    </xf>
    <xf numFmtId="0" fontId="5" fillId="36" borderId="52" xfId="0" applyNumberFormat="1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13" borderId="33" xfId="0" applyFont="1" applyFill="1" applyBorder="1" applyAlignment="1">
      <alignment horizontal="left"/>
    </xf>
    <xf numFmtId="0" fontId="5" fillId="13" borderId="32" xfId="0" applyFont="1" applyFill="1" applyBorder="1" applyAlignment="1">
      <alignment horizontal="left"/>
    </xf>
    <xf numFmtId="0" fontId="5" fillId="36" borderId="36" xfId="0" applyNumberFormat="1" applyFont="1" applyFill="1" applyBorder="1" applyAlignment="1">
      <alignment horizontal="center" vertical="center" wrapText="1"/>
    </xf>
    <xf numFmtId="0" fontId="5" fillId="36" borderId="31" xfId="0" applyNumberFormat="1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28" xfId="0" applyNumberFormat="1" applyFill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32" xfId="0" applyFill="1" applyBorder="1" applyAlignment="1">
      <alignment/>
    </xf>
    <xf numFmtId="1" fontId="1" fillId="0" borderId="3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1" fontId="1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1%20Rate%20Rebasing\2011%20Cost%20of%20Service%20Application\Settlement%20Proposal\Milton_Hydro_%20Weather_%20Normalization_%20Regression%20Model_2011_by%20_customer_class_V3_2010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6%20Rate%20Rebasing\Settlement\Settlement%20Files%20V1\2014_all%20wap%20stats_Non_RPP_Statistic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Statistics\2014\2014%20YE%20Sta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6%20Rate%20Rebasing\Settlement\Settlement%20Files%20V1\MILTON_HYDRO_%20EB-2015-0089_COS_Weather_%20Normalization_%20Regression%20Model_2016_by%20_customer_class_201508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%20%20Department\2016%20Rate%20Rebasing\Settlement%20Proposal\Settlement_Models\MILTON_HYDRO_%20EB-2015-0089_COS_Weather_%20Normalization_%20Regression%20Model_2016_by%20_customer_class_2015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  <sheetName val="Milton_Hydro_ Weather_ Normaliz"/>
    </sheetNames>
    <sheetDataSet>
      <sheetData sheetId="1">
        <row r="22">
          <cell r="L22">
            <v>498608.89772400813</v>
          </cell>
          <cell r="M22">
            <v>511697.18575200246</v>
          </cell>
        </row>
        <row r="27">
          <cell r="L27">
            <v>223577.06858475547</v>
          </cell>
          <cell r="M27">
            <v>230486.33199415752</v>
          </cell>
        </row>
        <row r="32">
          <cell r="L32">
            <v>180397.82152705948</v>
          </cell>
          <cell r="M32">
            <v>188667.80987852663</v>
          </cell>
        </row>
        <row r="37">
          <cell r="L37">
            <v>16519.794968496117</v>
          </cell>
          <cell r="M37">
            <v>17809.64893515205</v>
          </cell>
        </row>
        <row r="42">
          <cell r="L42">
            <v>472.8119761064526</v>
          </cell>
          <cell r="M42">
            <v>465.2233502043091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by Post year _SL"/>
      <sheetName val="Pivot by Post year"/>
      <sheetName val="Pivot by Consum Yr_SL"/>
      <sheetName val="Pivot by Consumption year all"/>
      <sheetName val="Pivot by Cons yr retailers only"/>
      <sheetName val="Pivot by Cons yr retailers  (2"/>
      <sheetName val="all wap stats "/>
      <sheetName val="Lookup"/>
    </sheetNames>
    <sheetDataSet>
      <sheetData sheetId="3">
        <row r="6">
          <cell r="L6">
            <v>14517546.747732095</v>
          </cell>
        </row>
        <row r="7">
          <cell r="L7">
            <v>0</v>
          </cell>
        </row>
        <row r="8">
          <cell r="L8">
            <v>12162265.662999433</v>
          </cell>
        </row>
        <row r="9">
          <cell r="L9">
            <v>187447070.77089363</v>
          </cell>
        </row>
        <row r="10">
          <cell r="L10">
            <v>94106923.65006757</v>
          </cell>
        </row>
        <row r="11">
          <cell r="L11">
            <v>7239934.317699286</v>
          </cell>
        </row>
        <row r="12">
          <cell r="L12">
            <v>133427900.36171049</v>
          </cell>
        </row>
        <row r="13">
          <cell r="L13">
            <v>857273.6344335071</v>
          </cell>
        </row>
        <row r="15">
          <cell r="L15">
            <v>0</v>
          </cell>
        </row>
        <row r="25">
          <cell r="L25">
            <v>16620325.072379839</v>
          </cell>
        </row>
        <row r="26">
          <cell r="L26">
            <v>16304265.614746185</v>
          </cell>
        </row>
        <row r="27">
          <cell r="L27">
            <v>76222161.2368267</v>
          </cell>
        </row>
        <row r="28">
          <cell r="L28">
            <v>276074435.1349174</v>
          </cell>
        </row>
        <row r="29">
          <cell r="L29">
            <v>151003</v>
          </cell>
        </row>
        <row r="30">
          <cell r="L30">
            <v>0</v>
          </cell>
        </row>
        <row r="31">
          <cell r="L31">
            <v>1339771.015441034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ustomer Count"/>
      <sheetName val="Output &amp; Revenues"/>
      <sheetName val="Kwh Qtys"/>
      <sheetName val="Glenorchy Oakville kWhs"/>
      <sheetName val="COP chg code 101"/>
      <sheetName val="Load Transfer Qty's"/>
      <sheetName val="Billing Revenue breakdown"/>
      <sheetName val="IESO Hydro one RTSR's"/>
    </sheetNames>
    <sheetDataSet>
      <sheetData sheetId="8">
        <row r="22">
          <cell r="B22">
            <v>32661.950464396286</v>
          </cell>
        </row>
        <row r="23">
          <cell r="B23">
            <v>14374.696594427245</v>
          </cell>
        </row>
        <row r="24">
          <cell r="B24">
            <v>15181.018575851393</v>
          </cell>
        </row>
        <row r="25">
          <cell r="B25">
            <v>14271.473684210527</v>
          </cell>
        </row>
        <row r="26">
          <cell r="B26">
            <v>11343.739938080495</v>
          </cell>
        </row>
        <row r="27">
          <cell r="B27">
            <v>18760.907120743035</v>
          </cell>
        </row>
        <row r="28">
          <cell r="B28">
            <v>9401.85758513932</v>
          </cell>
        </row>
        <row r="29">
          <cell r="B29">
            <v>11224.427244582044</v>
          </cell>
        </row>
        <row r="30">
          <cell r="B30">
            <v>28406.300309597525</v>
          </cell>
        </row>
        <row r="31">
          <cell r="B31">
            <v>23366.133126934983</v>
          </cell>
        </row>
        <row r="32">
          <cell r="B32">
            <v>10780.52321981424</v>
          </cell>
        </row>
        <row r="33">
          <cell r="B33">
            <v>10593.284829721362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</sheetNames>
    <sheetDataSet>
      <sheetData sheetId="1">
        <row r="7">
          <cell r="T7">
            <v>857666192.6423075</v>
          </cell>
        </row>
        <row r="11">
          <cell r="R11">
            <v>32268</v>
          </cell>
          <cell r="S11">
            <v>33268</v>
          </cell>
          <cell r="T11">
            <v>34768</v>
          </cell>
        </row>
        <row r="15">
          <cell r="R15">
            <v>2544</v>
          </cell>
          <cell r="S15">
            <v>2611.2574035119824</v>
          </cell>
          <cell r="T15">
            <v>2680.292935297225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</sheetNames>
    <sheetDataSet>
      <sheetData sheetId="1">
        <row r="12">
          <cell r="S12">
            <v>305198832.556156</v>
          </cell>
          <cell r="T12">
            <v>311504507.1056592</v>
          </cell>
        </row>
        <row r="16">
          <cell r="S16">
            <v>89986483.03337984</v>
          </cell>
          <cell r="T16">
            <v>91412831.73008005</v>
          </cell>
        </row>
        <row r="20">
          <cell r="S20">
            <v>202512641.3725119</v>
          </cell>
          <cell r="T20">
            <v>206918158.48785442</v>
          </cell>
        </row>
        <row r="25">
          <cell r="S25">
            <v>113132018.5243982</v>
          </cell>
          <cell r="T25">
            <v>116570267.303496</v>
          </cell>
        </row>
        <row r="30">
          <cell r="S30">
            <v>135925899.16066048</v>
          </cell>
          <cell r="T30">
            <v>135893889.41732097</v>
          </cell>
        </row>
        <row r="35">
          <cell r="S35">
            <v>7751250.811508366</v>
          </cell>
          <cell r="T35">
            <v>8298678.76838638</v>
          </cell>
        </row>
        <row r="40">
          <cell r="S40">
            <v>148333.0585207993</v>
          </cell>
          <cell r="T40">
            <v>145710.64372659678</v>
          </cell>
        </row>
        <row r="45">
          <cell r="S45">
            <v>1238375.73</v>
          </cell>
          <cell r="T45">
            <v>1096422.73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5.00390625" style="65" customWidth="1"/>
    <col min="2" max="2" width="12.7109375" style="65" customWidth="1"/>
    <col min="3" max="3" width="10.28125" style="65" customWidth="1"/>
    <col min="4" max="4" width="12.7109375" style="65" customWidth="1"/>
    <col min="5" max="5" width="10.00390625" style="65" customWidth="1"/>
    <col min="6" max="6" width="12.7109375" style="65" customWidth="1"/>
    <col min="7" max="7" width="8.00390625" style="65" bestFit="1" customWidth="1"/>
    <col min="8" max="8" width="11.7109375" style="65" bestFit="1" customWidth="1"/>
    <col min="9" max="9" width="11.8515625" style="65" bestFit="1" customWidth="1"/>
    <col min="10" max="10" width="24.00390625" style="65" bestFit="1" customWidth="1"/>
    <col min="11" max="11" width="15.8515625" style="65" customWidth="1"/>
    <col min="12" max="12" width="13.7109375" style="65" customWidth="1"/>
    <col min="13" max="13" width="21.00390625" style="65" bestFit="1" customWidth="1"/>
    <col min="14" max="14" width="10.140625" style="65" bestFit="1" customWidth="1"/>
    <col min="15" max="15" width="14.8515625" style="65" bestFit="1" customWidth="1"/>
    <col min="16" max="16" width="18.00390625" style="65" bestFit="1" customWidth="1"/>
    <col min="17" max="17" width="9.28125" style="65" bestFit="1" customWidth="1"/>
    <col min="18" max="16384" width="9.140625" style="65" customWidth="1"/>
  </cols>
  <sheetData>
    <row r="1" spans="1:6" s="57" customFormat="1" ht="25.5" customHeight="1">
      <c r="A1" s="56" t="s">
        <v>20</v>
      </c>
      <c r="B1" s="245" t="s">
        <v>98</v>
      </c>
      <c r="C1" s="247" t="s">
        <v>99</v>
      </c>
      <c r="D1" s="235">
        <v>2015</v>
      </c>
      <c r="E1" s="236"/>
      <c r="F1" s="237"/>
    </row>
    <row r="2" spans="1:6" s="57" customFormat="1" ht="26.25" customHeight="1">
      <c r="A2" s="58" t="s">
        <v>4</v>
      </c>
      <c r="B2" s="246"/>
      <c r="C2" s="248"/>
      <c r="D2" s="238"/>
      <c r="E2" s="239"/>
      <c r="F2" s="240"/>
    </row>
    <row r="3" spans="1:6" ht="11.25">
      <c r="A3" s="59" t="s">
        <v>5</v>
      </c>
      <c r="B3" s="60">
        <f>+'wap '!J23</f>
        <v>289951549.09608954</v>
      </c>
      <c r="C3" s="61">
        <v>1.0362</v>
      </c>
      <c r="D3" s="62">
        <f>B3*C3</f>
        <v>300447795.173368</v>
      </c>
      <c r="E3" s="63">
        <f>+'wap '!O30</f>
        <v>0.10210000000000001</v>
      </c>
      <c r="F3" s="64">
        <f aca="true" t="shared" si="0" ref="F3:F10">D3*E3</f>
        <v>30675719.887200873</v>
      </c>
    </row>
    <row r="4" spans="1:17" ht="12.75" customHeight="1">
      <c r="A4" s="59" t="s">
        <v>8</v>
      </c>
      <c r="B4" s="66">
        <f>+'wap '!J24</f>
        <v>77603764.14138111</v>
      </c>
      <c r="C4" s="67">
        <v>1.0362</v>
      </c>
      <c r="D4" s="68">
        <f aca="true" t="shared" si="1" ref="D4:D10">B4*C4</f>
        <v>80413020.40329911</v>
      </c>
      <c r="E4" s="69">
        <f>+E8</f>
        <v>0.10210000000000001</v>
      </c>
      <c r="F4" s="70">
        <f t="shared" si="0"/>
        <v>8210169.38317684</v>
      </c>
      <c r="I4" s="122"/>
      <c r="J4" s="122"/>
      <c r="K4" s="122"/>
      <c r="L4" s="122"/>
      <c r="M4" s="122"/>
      <c r="N4" s="122"/>
      <c r="O4" s="122"/>
      <c r="P4" s="123"/>
      <c r="Q4" s="123"/>
    </row>
    <row r="5" spans="1:17" ht="11.25">
      <c r="A5" s="59" t="s">
        <v>22</v>
      </c>
      <c r="B5" s="66">
        <f>+'wap '!J25</f>
        <v>16424698.595127314</v>
      </c>
      <c r="C5" s="67">
        <v>1.0362</v>
      </c>
      <c r="D5" s="68">
        <f t="shared" si="1"/>
        <v>17019272.684270922</v>
      </c>
      <c r="E5" s="69">
        <f>+E4</f>
        <v>0.10210000000000001</v>
      </c>
      <c r="F5" s="70">
        <f t="shared" si="0"/>
        <v>1737667.7410640614</v>
      </c>
      <c r="I5" s="122"/>
      <c r="J5" s="122"/>
      <c r="K5" s="122"/>
      <c r="L5" s="122"/>
      <c r="M5" s="122"/>
      <c r="N5" s="122"/>
      <c r="O5" s="122"/>
      <c r="P5" s="123"/>
      <c r="Q5" s="123"/>
    </row>
    <row r="6" spans="1:15" ht="11.25">
      <c r="A6" s="59" t="s">
        <v>23</v>
      </c>
      <c r="B6" s="66">
        <f>+'wap '!J26</f>
        <v>16706046.659185812</v>
      </c>
      <c r="C6" s="67">
        <v>1.0362</v>
      </c>
      <c r="D6" s="68">
        <f t="shared" si="1"/>
        <v>17310805.54824834</v>
      </c>
      <c r="E6" s="69">
        <f>+E5</f>
        <v>0.10210000000000001</v>
      </c>
      <c r="F6" s="70">
        <f t="shared" si="0"/>
        <v>1767433.2464761557</v>
      </c>
      <c r="I6" s="124"/>
      <c r="J6" s="124"/>
      <c r="K6" s="124"/>
      <c r="L6" s="124"/>
      <c r="M6" s="124"/>
      <c r="N6" s="124"/>
      <c r="O6" s="124"/>
    </row>
    <row r="7" spans="1:15" ht="11.25">
      <c r="A7" s="59" t="s">
        <v>24</v>
      </c>
      <c r="B7" s="66">
        <f>+'wap '!J27</f>
        <v>0</v>
      </c>
      <c r="C7" s="67">
        <v>1.0149</v>
      </c>
      <c r="D7" s="68">
        <f>B7*C7</f>
        <v>0</v>
      </c>
      <c r="E7" s="69">
        <f>+E6</f>
        <v>0.10210000000000001</v>
      </c>
      <c r="F7" s="70">
        <f>D7*E7</f>
        <v>0</v>
      </c>
      <c r="I7" s="124"/>
      <c r="J7" s="124"/>
      <c r="K7" s="124"/>
      <c r="L7" s="124"/>
      <c r="M7" s="124"/>
      <c r="N7" s="124"/>
      <c r="O7" s="124"/>
    </row>
    <row r="8" spans="1:6" ht="11.25">
      <c r="A8" s="59" t="s">
        <v>7</v>
      </c>
      <c r="B8" s="66">
        <f>+'wap '!J28</f>
        <v>148333.0585207993</v>
      </c>
      <c r="C8" s="67">
        <v>1.0362</v>
      </c>
      <c r="D8" s="68">
        <f>B8*C8</f>
        <v>153702.71523925223</v>
      </c>
      <c r="E8" s="69">
        <f>+E9</f>
        <v>0.10210000000000001</v>
      </c>
      <c r="F8" s="70">
        <f>D8*E8</f>
        <v>15693.047225927654</v>
      </c>
    </row>
    <row r="9" spans="1:6" ht="11.25">
      <c r="A9" s="59" t="s">
        <v>6</v>
      </c>
      <c r="B9" s="66">
        <f>+'wap '!J29</f>
        <v>0</v>
      </c>
      <c r="C9" s="67">
        <v>1.0362</v>
      </c>
      <c r="D9" s="68">
        <f>B9*C9</f>
        <v>0</v>
      </c>
      <c r="E9" s="69">
        <f>+E3</f>
        <v>0.10210000000000001</v>
      </c>
      <c r="F9" s="70">
        <f>D9*E9</f>
        <v>0</v>
      </c>
    </row>
    <row r="10" spans="1:6" ht="11.25">
      <c r="A10" s="72" t="s">
        <v>10</v>
      </c>
      <c r="B10" s="66">
        <f>+'wap '!J30</f>
        <v>0</v>
      </c>
      <c r="C10" s="125">
        <v>1.0362</v>
      </c>
      <c r="D10" s="73">
        <f t="shared" si="1"/>
        <v>0</v>
      </c>
      <c r="E10" s="69">
        <f>+E7</f>
        <v>0.10210000000000001</v>
      </c>
      <c r="F10" s="74">
        <f t="shared" si="0"/>
        <v>0</v>
      </c>
    </row>
    <row r="11" spans="1:6" ht="11.25">
      <c r="A11" s="75" t="s">
        <v>9</v>
      </c>
      <c r="B11" s="76">
        <f>SUM(B3:B10)</f>
        <v>400834391.5503046</v>
      </c>
      <c r="C11" s="77"/>
      <c r="D11" s="78">
        <f>SUM(D3:D10)</f>
        <v>415344596.52442557</v>
      </c>
      <c r="E11" s="79"/>
      <c r="F11" s="80">
        <f>SUM(F3:F10)</f>
        <v>42406683.30514386</v>
      </c>
    </row>
    <row r="12" ht="4.5" customHeight="1"/>
    <row r="13" spans="1:6" s="57" customFormat="1" ht="25.5" customHeight="1">
      <c r="A13" s="81" t="s">
        <v>20</v>
      </c>
      <c r="B13" s="241" t="s">
        <v>100</v>
      </c>
      <c r="C13" s="243" t="s">
        <v>99</v>
      </c>
      <c r="D13" s="82"/>
      <c r="E13" s="83"/>
      <c r="F13" s="84"/>
    </row>
    <row r="14" spans="1:6" s="57" customFormat="1" ht="26.25" customHeight="1">
      <c r="A14" s="77" t="s">
        <v>4</v>
      </c>
      <c r="B14" s="242"/>
      <c r="C14" s="244"/>
      <c r="D14" s="232">
        <v>2015</v>
      </c>
      <c r="E14" s="233"/>
      <c r="F14" s="234"/>
    </row>
    <row r="15" spans="1:6" ht="11.25">
      <c r="A15" s="59" t="s">
        <v>5</v>
      </c>
      <c r="B15" s="60">
        <f>+'wap '!I23</f>
        <v>15247283.460066462</v>
      </c>
      <c r="C15" s="61">
        <v>1.0362</v>
      </c>
      <c r="D15" s="62">
        <f>B15*C15</f>
        <v>15799235.121320868</v>
      </c>
      <c r="E15" s="63">
        <f>+'wap '!O29</f>
        <v>0.10072</v>
      </c>
      <c r="F15" s="64">
        <f aca="true" t="shared" si="2" ref="F15:F22">D15*E15</f>
        <v>1591298.9614194378</v>
      </c>
    </row>
    <row r="16" spans="1:6" ht="11.25">
      <c r="A16" s="59" t="s">
        <v>8</v>
      </c>
      <c r="B16" s="66">
        <f>+'wap '!I24</f>
        <v>12382718.891998716</v>
      </c>
      <c r="C16" s="67">
        <v>1.0362</v>
      </c>
      <c r="D16" s="68">
        <f aca="true" t="shared" si="3" ref="D16:D22">B16*C16</f>
        <v>12830973.31588907</v>
      </c>
      <c r="E16" s="69">
        <f>+E20</f>
        <v>0.10072</v>
      </c>
      <c r="F16" s="70">
        <f t="shared" si="2"/>
        <v>1292335.6323763472</v>
      </c>
    </row>
    <row r="17" spans="1:6" ht="11.25">
      <c r="A17" s="59" t="s">
        <v>22</v>
      </c>
      <c r="B17" s="66">
        <f>+'wap '!I25</f>
        <v>186087942.77738458</v>
      </c>
      <c r="C17" s="67">
        <v>1.0362</v>
      </c>
      <c r="D17" s="68">
        <f t="shared" si="3"/>
        <v>192824326.3059259</v>
      </c>
      <c r="E17" s="69">
        <f>+E16</f>
        <v>0.10072</v>
      </c>
      <c r="F17" s="70">
        <f t="shared" si="2"/>
        <v>19421266.145532858</v>
      </c>
    </row>
    <row r="18" spans="1:6" ht="11.25">
      <c r="A18" s="59" t="s">
        <v>23</v>
      </c>
      <c r="B18" s="66">
        <f>+'wap '!I26</f>
        <v>96425971.86521238</v>
      </c>
      <c r="C18" s="67">
        <v>1.0362</v>
      </c>
      <c r="D18" s="68">
        <f t="shared" si="3"/>
        <v>99916592.04673307</v>
      </c>
      <c r="E18" s="69">
        <f>+E17</f>
        <v>0.10072</v>
      </c>
      <c r="F18" s="70">
        <f t="shared" si="2"/>
        <v>10063599.150946954</v>
      </c>
    </row>
    <row r="19" spans="1:6" ht="11.25">
      <c r="A19" s="59" t="s">
        <v>24</v>
      </c>
      <c r="B19" s="66">
        <f>+'wap '!I27</f>
        <v>135925899.16066048</v>
      </c>
      <c r="C19" s="67">
        <v>1.0149</v>
      </c>
      <c r="D19" s="68">
        <f>B19*C19</f>
        <v>137951195.0581543</v>
      </c>
      <c r="E19" s="69">
        <f>+E18</f>
        <v>0.10072</v>
      </c>
      <c r="F19" s="70">
        <f>D19*E19</f>
        <v>13894444.366257302</v>
      </c>
    </row>
    <row r="20" spans="1:6" ht="11.25">
      <c r="A20" s="59" t="s">
        <v>7</v>
      </c>
      <c r="B20" s="66">
        <f>+'wap '!I28</f>
        <v>0</v>
      </c>
      <c r="C20" s="67">
        <v>1.0362</v>
      </c>
      <c r="D20" s="68">
        <f>B20*C20</f>
        <v>0</v>
      </c>
      <c r="E20" s="69">
        <f>+E21</f>
        <v>0.10072</v>
      </c>
      <c r="F20" s="70">
        <f>D20*E20</f>
        <v>0</v>
      </c>
    </row>
    <row r="21" spans="1:6" ht="11.25">
      <c r="A21" s="59" t="s">
        <v>6</v>
      </c>
      <c r="B21" s="66">
        <f>+'wap '!I29</f>
        <v>7751250.811508366</v>
      </c>
      <c r="C21" s="67">
        <v>1.0362</v>
      </c>
      <c r="D21" s="68">
        <f>B21*C21</f>
        <v>8031846.090884969</v>
      </c>
      <c r="E21" s="69">
        <f>+E15</f>
        <v>0.10072</v>
      </c>
      <c r="F21" s="70">
        <f>D21*E21</f>
        <v>808967.538273934</v>
      </c>
    </row>
    <row r="22" spans="1:6" ht="11.25">
      <c r="A22" s="72" t="s">
        <v>10</v>
      </c>
      <c r="B22" s="66">
        <f>+'wap '!I30</f>
        <v>1238375.73</v>
      </c>
      <c r="C22" s="125">
        <v>1.0362</v>
      </c>
      <c r="D22" s="73">
        <f t="shared" si="3"/>
        <v>1283204.931426</v>
      </c>
      <c r="E22" s="69">
        <f>+E19</f>
        <v>0.10072</v>
      </c>
      <c r="F22" s="74">
        <f t="shared" si="2"/>
        <v>129244.40069322674</v>
      </c>
    </row>
    <row r="23" spans="1:9" ht="11.25">
      <c r="A23" s="75" t="s">
        <v>9</v>
      </c>
      <c r="B23" s="76">
        <f>SUM(B15:B22)</f>
        <v>455059442.69683105</v>
      </c>
      <c r="C23" s="77"/>
      <c r="D23" s="78">
        <f>SUM(D15:D22)</f>
        <v>468637372.87033415</v>
      </c>
      <c r="E23" s="79"/>
      <c r="F23" s="80">
        <f>SUM(F15:F22)</f>
        <v>47201156.19550006</v>
      </c>
      <c r="H23" s="85">
        <f>+B23+B11</f>
        <v>855893834.2471356</v>
      </c>
      <c r="I23" s="65" t="s">
        <v>32</v>
      </c>
    </row>
    <row r="24" spans="1:6" ht="4.5" customHeight="1">
      <c r="A24" s="86"/>
      <c r="B24" s="87"/>
      <c r="C24" s="88"/>
      <c r="D24" s="89"/>
      <c r="E24" s="90"/>
      <c r="F24" s="91"/>
    </row>
    <row r="25" spans="1:11" ht="11.25">
      <c r="A25" s="92" t="s">
        <v>11</v>
      </c>
      <c r="B25" s="93"/>
      <c r="C25" s="94" t="s">
        <v>12</v>
      </c>
      <c r="D25" s="88"/>
      <c r="E25" s="95"/>
      <c r="F25" s="93"/>
      <c r="H25" s="85"/>
      <c r="K25" s="85"/>
    </row>
    <row r="26" spans="1:8" ht="11.25">
      <c r="A26" s="77" t="s">
        <v>4</v>
      </c>
      <c r="B26" s="96"/>
      <c r="C26" s="97" t="s">
        <v>13</v>
      </c>
      <c r="D26" s="232">
        <v>2015</v>
      </c>
      <c r="E26" s="233"/>
      <c r="F26" s="234"/>
      <c r="H26" s="85"/>
    </row>
    <row r="27" spans="1:8" ht="11.25">
      <c r="A27" s="59" t="s">
        <v>5</v>
      </c>
      <c r="B27" s="98"/>
      <c r="C27" s="99" t="s">
        <v>14</v>
      </c>
      <c r="D27" s="100">
        <f>D3+D15</f>
        <v>316247030.2946888</v>
      </c>
      <c r="E27" s="135">
        <v>0.0079</v>
      </c>
      <c r="F27" s="70">
        <f aca="true" t="shared" si="4" ref="F27:F34">D27*E27</f>
        <v>2498351.539328042</v>
      </c>
      <c r="H27" s="65" t="s">
        <v>103</v>
      </c>
    </row>
    <row r="28" spans="1:7" ht="11.25">
      <c r="A28" s="59" t="s">
        <v>8</v>
      </c>
      <c r="B28" s="100"/>
      <c r="C28" s="101" t="s">
        <v>14</v>
      </c>
      <c r="D28" s="100">
        <f>D4+D16</f>
        <v>93243993.71918818</v>
      </c>
      <c r="E28" s="135">
        <v>0.0073</v>
      </c>
      <c r="F28" s="70">
        <f t="shared" si="4"/>
        <v>680681.1541500738</v>
      </c>
      <c r="G28" s="102"/>
    </row>
    <row r="29" spans="1:6" ht="11.25">
      <c r="A29" s="59" t="s">
        <v>22</v>
      </c>
      <c r="B29" s="100"/>
      <c r="C29" s="101" t="s">
        <v>15</v>
      </c>
      <c r="D29" s="66">
        <f>+'[1]Summary'!$L$22</f>
        <v>498608.89772400813</v>
      </c>
      <c r="E29" s="135">
        <v>3.2739</v>
      </c>
      <c r="F29" s="70">
        <f t="shared" si="4"/>
        <v>1632395.67025863</v>
      </c>
    </row>
    <row r="30" spans="1:6" ht="11.25">
      <c r="A30" s="59" t="s">
        <v>23</v>
      </c>
      <c r="B30" s="100"/>
      <c r="C30" s="101" t="s">
        <v>15</v>
      </c>
      <c r="D30" s="66">
        <f>+'[1]Summary'!$L$27</f>
        <v>223577.06858475547</v>
      </c>
      <c r="E30" s="135">
        <v>3.2199</v>
      </c>
      <c r="F30" s="70">
        <f t="shared" si="4"/>
        <v>719895.8031360542</v>
      </c>
    </row>
    <row r="31" spans="1:6" ht="11.25">
      <c r="A31" s="59" t="s">
        <v>24</v>
      </c>
      <c r="B31" s="100"/>
      <c r="C31" s="101" t="s">
        <v>15</v>
      </c>
      <c r="D31" s="66">
        <f>+'[1]Summary'!$L$32</f>
        <v>180397.82152705948</v>
      </c>
      <c r="E31" s="135">
        <v>3.4867</v>
      </c>
      <c r="F31" s="70">
        <f>D31*E31</f>
        <v>628993.0843183983</v>
      </c>
    </row>
    <row r="32" spans="1:6" ht="11.25">
      <c r="A32" s="59" t="s">
        <v>7</v>
      </c>
      <c r="B32" s="100"/>
      <c r="C32" s="101" t="s">
        <v>15</v>
      </c>
      <c r="D32" s="66">
        <f>+'[1]Summary'!$L$42</f>
        <v>472.8119761064526</v>
      </c>
      <c r="E32" s="135">
        <v>2.2287</v>
      </c>
      <c r="F32" s="70">
        <f>D32*E32</f>
        <v>1053.756051148451</v>
      </c>
    </row>
    <row r="33" spans="1:6" ht="11.25">
      <c r="A33" s="59" t="s">
        <v>6</v>
      </c>
      <c r="B33" s="100"/>
      <c r="C33" s="101" t="s">
        <v>15</v>
      </c>
      <c r="D33" s="66">
        <f>+'[1]Summary'!$L$37</f>
        <v>16519.794968496117</v>
      </c>
      <c r="E33" s="135">
        <v>2.2173</v>
      </c>
      <c r="F33" s="70">
        <f>D33*E33</f>
        <v>36629.34138364644</v>
      </c>
    </row>
    <row r="34" spans="1:7" ht="11.25">
      <c r="A34" s="72" t="s">
        <v>10</v>
      </c>
      <c r="B34" s="100"/>
      <c r="C34" s="101" t="s">
        <v>14</v>
      </c>
      <c r="D34" s="100">
        <f>D10+D22</f>
        <v>1283204.931426</v>
      </c>
      <c r="E34" s="136">
        <v>0.0073</v>
      </c>
      <c r="F34" s="74">
        <f t="shared" si="4"/>
        <v>9367.3959994098</v>
      </c>
      <c r="G34" s="102"/>
    </row>
    <row r="35" spans="1:6" ht="11.25">
      <c r="A35" s="75" t="s">
        <v>9</v>
      </c>
      <c r="B35" s="76"/>
      <c r="C35" s="77"/>
      <c r="D35" s="76"/>
      <c r="E35" s="79"/>
      <c r="F35" s="103">
        <f>SUM(F27:F34)</f>
        <v>6207367.744625404</v>
      </c>
    </row>
    <row r="36" ht="4.5" customHeight="1"/>
    <row r="37" spans="1:6" ht="11.25">
      <c r="A37" s="92" t="s">
        <v>16</v>
      </c>
      <c r="B37" s="93"/>
      <c r="C37" s="104" t="s">
        <v>12</v>
      </c>
      <c r="D37" s="88"/>
      <c r="E37" s="95"/>
      <c r="F37" s="93"/>
    </row>
    <row r="38" spans="1:6" ht="11.25">
      <c r="A38" s="77" t="s">
        <v>4</v>
      </c>
      <c r="B38" s="96"/>
      <c r="C38" s="105" t="s">
        <v>13</v>
      </c>
      <c r="D38" s="232">
        <v>2015</v>
      </c>
      <c r="E38" s="233"/>
      <c r="F38" s="234"/>
    </row>
    <row r="39" spans="1:6" ht="11.25">
      <c r="A39" s="59" t="s">
        <v>5</v>
      </c>
      <c r="B39" s="98"/>
      <c r="C39" s="99" t="s">
        <v>14</v>
      </c>
      <c r="D39" s="98">
        <f>$D$27</f>
        <v>316247030.2946888</v>
      </c>
      <c r="E39" s="137">
        <v>0.006</v>
      </c>
      <c r="F39" s="64">
        <f aca="true" t="shared" si="5" ref="F39:F46">D39*E39</f>
        <v>1897482.181768133</v>
      </c>
    </row>
    <row r="40" spans="1:7" ht="11.25">
      <c r="A40" s="59" t="s">
        <v>8</v>
      </c>
      <c r="B40" s="100"/>
      <c r="C40" s="101" t="s">
        <v>14</v>
      </c>
      <c r="D40" s="100">
        <f>$D$28</f>
        <v>93243993.71918818</v>
      </c>
      <c r="E40" s="135">
        <v>0.0053</v>
      </c>
      <c r="F40" s="70">
        <f t="shared" si="5"/>
        <v>494193.16671169735</v>
      </c>
      <c r="G40" s="102"/>
    </row>
    <row r="41" spans="1:6" ht="11.25">
      <c r="A41" s="59" t="s">
        <v>22</v>
      </c>
      <c r="B41" s="100"/>
      <c r="C41" s="101" t="s">
        <v>15</v>
      </c>
      <c r="D41" s="66">
        <f>$D$29</f>
        <v>498608.89772400813</v>
      </c>
      <c r="E41" s="135">
        <v>2.4627</v>
      </c>
      <c r="F41" s="70">
        <f t="shared" si="5"/>
        <v>1227924.1324249147</v>
      </c>
    </row>
    <row r="42" spans="1:6" ht="11.25">
      <c r="A42" s="59" t="s">
        <v>23</v>
      </c>
      <c r="B42" s="100"/>
      <c r="C42" s="101" t="s">
        <v>15</v>
      </c>
      <c r="D42" s="66">
        <f>$D$30</f>
        <v>223577.06858475547</v>
      </c>
      <c r="E42" s="135">
        <v>2.4225</v>
      </c>
      <c r="F42" s="70">
        <f t="shared" si="5"/>
        <v>541615.4486465701</v>
      </c>
    </row>
    <row r="43" spans="1:6" ht="11.25">
      <c r="A43" s="59" t="s">
        <v>24</v>
      </c>
      <c r="B43" s="100"/>
      <c r="C43" s="101" t="s">
        <v>15</v>
      </c>
      <c r="D43" s="66">
        <f>$D$31</f>
        <v>180397.82152705948</v>
      </c>
      <c r="E43" s="135">
        <v>2.7092</v>
      </c>
      <c r="F43" s="70">
        <f>D43*E43</f>
        <v>488733.7780811096</v>
      </c>
    </row>
    <row r="44" spans="1:6" ht="11.25">
      <c r="A44" s="59" t="s">
        <v>7</v>
      </c>
      <c r="B44" s="100"/>
      <c r="C44" s="101" t="s">
        <v>15</v>
      </c>
      <c r="D44" s="66">
        <f>$D$32</f>
        <v>472.8119761064526</v>
      </c>
      <c r="E44" s="135">
        <v>1.6914</v>
      </c>
      <c r="F44" s="70">
        <f>D44*E44</f>
        <v>799.7141763864539</v>
      </c>
    </row>
    <row r="45" spans="1:6" ht="11.25">
      <c r="A45" s="59" t="s">
        <v>6</v>
      </c>
      <c r="B45" s="100"/>
      <c r="C45" s="101" t="s">
        <v>15</v>
      </c>
      <c r="D45" s="66">
        <f>$D$33</f>
        <v>16519.794968496117</v>
      </c>
      <c r="E45" s="135">
        <v>1.6566</v>
      </c>
      <c r="F45" s="70">
        <f>D45*E45</f>
        <v>27366.692344810668</v>
      </c>
    </row>
    <row r="46" spans="1:7" ht="11.25">
      <c r="A46" s="72" t="s">
        <v>10</v>
      </c>
      <c r="B46" s="100"/>
      <c r="C46" s="101" t="s">
        <v>14</v>
      </c>
      <c r="D46" s="100">
        <f>$D$34</f>
        <v>1283204.931426</v>
      </c>
      <c r="E46" s="136">
        <v>0.0053</v>
      </c>
      <c r="F46" s="74">
        <f t="shared" si="5"/>
        <v>6800.986136557801</v>
      </c>
      <c r="G46" s="102"/>
    </row>
    <row r="47" spans="1:6" ht="11.25">
      <c r="A47" s="75" t="s">
        <v>9</v>
      </c>
      <c r="B47" s="76"/>
      <c r="C47" s="77"/>
      <c r="D47" s="76"/>
      <c r="E47" s="79"/>
      <c r="F47" s="103">
        <f>SUM(F39:F46)</f>
        <v>4684916.10029018</v>
      </c>
    </row>
    <row r="48" ht="4.5" customHeight="1"/>
    <row r="49" spans="1:6" ht="11.25">
      <c r="A49" s="92" t="s">
        <v>17</v>
      </c>
      <c r="B49" s="93"/>
      <c r="C49" s="104"/>
      <c r="D49" s="88"/>
      <c r="E49" s="95"/>
      <c r="F49" s="93"/>
    </row>
    <row r="50" spans="1:6" ht="11.25">
      <c r="A50" s="77" t="s">
        <v>4</v>
      </c>
      <c r="B50" s="96"/>
      <c r="C50" s="105"/>
      <c r="D50" s="232">
        <v>2015</v>
      </c>
      <c r="E50" s="233"/>
      <c r="F50" s="234"/>
    </row>
    <row r="51" spans="1:6" ht="11.25">
      <c r="A51" s="59" t="s">
        <v>5</v>
      </c>
      <c r="B51" s="98"/>
      <c r="C51" s="99"/>
      <c r="D51" s="98">
        <f>$D$3+D15</f>
        <v>316247030.2946888</v>
      </c>
      <c r="E51" s="137">
        <v>0.0044</v>
      </c>
      <c r="F51" s="64">
        <f aca="true" t="shared" si="6" ref="F51:F58">D51*E51</f>
        <v>1391486.9332966309</v>
      </c>
    </row>
    <row r="52" spans="1:6" ht="11.25">
      <c r="A52" s="59" t="s">
        <v>8</v>
      </c>
      <c r="B52" s="100"/>
      <c r="C52" s="101"/>
      <c r="D52" s="100">
        <f>$D$4+D16</f>
        <v>93243993.71918818</v>
      </c>
      <c r="E52" s="135">
        <v>0.0044</v>
      </c>
      <c r="F52" s="70">
        <f t="shared" si="6"/>
        <v>410273.572364428</v>
      </c>
    </row>
    <row r="53" spans="1:6" ht="11.25">
      <c r="A53" s="59" t="s">
        <v>22</v>
      </c>
      <c r="B53" s="100"/>
      <c r="C53" s="101"/>
      <c r="D53" s="100">
        <f>$D$5+D17</f>
        <v>209843598.99019682</v>
      </c>
      <c r="E53" s="135">
        <v>0.0044</v>
      </c>
      <c r="F53" s="70">
        <f t="shared" si="6"/>
        <v>923311.8355568661</v>
      </c>
    </row>
    <row r="54" spans="1:6" ht="11.25">
      <c r="A54" s="59" t="s">
        <v>23</v>
      </c>
      <c r="B54" s="100"/>
      <c r="C54" s="101"/>
      <c r="D54" s="100">
        <f>$D$6+D18</f>
        <v>117227397.5949814</v>
      </c>
      <c r="E54" s="135">
        <v>0.0044</v>
      </c>
      <c r="F54" s="70">
        <f t="shared" si="6"/>
        <v>515800.5494179182</v>
      </c>
    </row>
    <row r="55" spans="1:6" ht="11.25">
      <c r="A55" s="59" t="s">
        <v>24</v>
      </c>
      <c r="B55" s="100"/>
      <c r="C55" s="101"/>
      <c r="D55" s="100">
        <f>$D$7+D19</f>
        <v>137951195.0581543</v>
      </c>
      <c r="E55" s="135">
        <v>0.0044</v>
      </c>
      <c r="F55" s="70">
        <f>D55*E55</f>
        <v>606985.258255879</v>
      </c>
    </row>
    <row r="56" spans="1:6" ht="11.25">
      <c r="A56" s="59" t="s">
        <v>7</v>
      </c>
      <c r="B56" s="100"/>
      <c r="C56" s="101"/>
      <c r="D56" s="100">
        <f>$D$8+D20</f>
        <v>153702.71523925223</v>
      </c>
      <c r="E56" s="135">
        <v>0.0044</v>
      </c>
      <c r="F56" s="70">
        <f>D56*E56</f>
        <v>676.2919470527098</v>
      </c>
    </row>
    <row r="57" spans="1:6" ht="11.25">
      <c r="A57" s="59" t="s">
        <v>6</v>
      </c>
      <c r="B57" s="100"/>
      <c r="C57" s="101"/>
      <c r="D57" s="100">
        <f>$D$9+D21</f>
        <v>8031846.090884969</v>
      </c>
      <c r="E57" s="135">
        <v>0.0044</v>
      </c>
      <c r="F57" s="70">
        <f>D57*E57</f>
        <v>35340.12279989386</v>
      </c>
    </row>
    <row r="58" spans="1:6" ht="11.25">
      <c r="A58" s="72" t="s">
        <v>10</v>
      </c>
      <c r="B58" s="100"/>
      <c r="C58" s="101"/>
      <c r="D58" s="100">
        <f>$D$10+D22</f>
        <v>1283204.931426</v>
      </c>
      <c r="E58" s="135">
        <v>0.0044</v>
      </c>
      <c r="F58" s="74">
        <f t="shared" si="6"/>
        <v>5646.1016982744</v>
      </c>
    </row>
    <row r="59" spans="1:6" ht="11.25">
      <c r="A59" s="75" t="s">
        <v>9</v>
      </c>
      <c r="B59" s="76"/>
      <c r="C59" s="77"/>
      <c r="D59" s="76"/>
      <c r="E59" s="79"/>
      <c r="F59" s="103">
        <f>SUM(F51:F58)</f>
        <v>3889520.6653369428</v>
      </c>
    </row>
    <row r="60" ht="4.5" customHeight="1"/>
    <row r="61" spans="1:6" ht="11.25">
      <c r="A61" s="92" t="s">
        <v>18</v>
      </c>
      <c r="B61" s="93"/>
      <c r="C61" s="104"/>
      <c r="D61" s="88"/>
      <c r="E61" s="95"/>
      <c r="F61" s="93"/>
    </row>
    <row r="62" spans="1:6" ht="11.25">
      <c r="A62" s="77" t="s">
        <v>4</v>
      </c>
      <c r="B62" s="96"/>
      <c r="C62" s="105"/>
      <c r="D62" s="232">
        <v>2015</v>
      </c>
      <c r="E62" s="233"/>
      <c r="F62" s="234"/>
    </row>
    <row r="63" spans="1:6" ht="11.25">
      <c r="A63" s="59" t="s">
        <v>5</v>
      </c>
      <c r="B63" s="98"/>
      <c r="C63" s="99"/>
      <c r="D63" s="98">
        <f aca="true" t="shared" si="7" ref="D63:D70">+D51</f>
        <v>316247030.2946888</v>
      </c>
      <c r="E63" s="138">
        <v>0.0013</v>
      </c>
      <c r="F63" s="64">
        <f aca="true" t="shared" si="8" ref="F63:F70">D63*E63</f>
        <v>411121.13938309543</v>
      </c>
    </row>
    <row r="64" spans="1:6" ht="11.25">
      <c r="A64" s="59" t="s">
        <v>8</v>
      </c>
      <c r="B64" s="100"/>
      <c r="C64" s="101"/>
      <c r="D64" s="100">
        <f t="shared" si="7"/>
        <v>93243993.71918818</v>
      </c>
      <c r="E64" s="139">
        <v>0.0013</v>
      </c>
      <c r="F64" s="70">
        <f t="shared" si="8"/>
        <v>121217.19183494464</v>
      </c>
    </row>
    <row r="65" spans="1:6" ht="11.25">
      <c r="A65" s="59" t="s">
        <v>22</v>
      </c>
      <c r="B65" s="100"/>
      <c r="C65" s="101"/>
      <c r="D65" s="100">
        <f t="shared" si="7"/>
        <v>209843598.99019682</v>
      </c>
      <c r="E65" s="139">
        <v>0.0013</v>
      </c>
      <c r="F65" s="70">
        <f t="shared" si="8"/>
        <v>272796.6786872559</v>
      </c>
    </row>
    <row r="66" spans="1:6" ht="11.25">
      <c r="A66" s="59" t="s">
        <v>23</v>
      </c>
      <c r="B66" s="100"/>
      <c r="C66" s="101"/>
      <c r="D66" s="100">
        <f t="shared" si="7"/>
        <v>117227397.5949814</v>
      </c>
      <c r="E66" s="139">
        <v>0.0013</v>
      </c>
      <c r="F66" s="70">
        <f t="shared" si="8"/>
        <v>152395.6168734758</v>
      </c>
    </row>
    <row r="67" spans="1:6" ht="11.25">
      <c r="A67" s="59" t="s">
        <v>24</v>
      </c>
      <c r="B67" s="100"/>
      <c r="C67" s="101"/>
      <c r="D67" s="100">
        <f t="shared" si="7"/>
        <v>137951195.0581543</v>
      </c>
      <c r="E67" s="139">
        <v>0.0013</v>
      </c>
      <c r="F67" s="70">
        <f>D67*E67</f>
        <v>179336.5535756006</v>
      </c>
    </row>
    <row r="68" spans="1:6" ht="11.25">
      <c r="A68" s="59" t="s">
        <v>7</v>
      </c>
      <c r="B68" s="100"/>
      <c r="C68" s="101"/>
      <c r="D68" s="100">
        <f t="shared" si="7"/>
        <v>153702.71523925223</v>
      </c>
      <c r="E68" s="139">
        <v>0.0013</v>
      </c>
      <c r="F68" s="70">
        <f>D68*E68</f>
        <v>199.81352981102788</v>
      </c>
    </row>
    <row r="69" spans="1:6" ht="11.25">
      <c r="A69" s="59" t="s">
        <v>6</v>
      </c>
      <c r="B69" s="100"/>
      <c r="C69" s="101"/>
      <c r="D69" s="100">
        <f t="shared" si="7"/>
        <v>8031846.090884969</v>
      </c>
      <c r="E69" s="139">
        <v>0.0013</v>
      </c>
      <c r="F69" s="70">
        <f>D69*E69</f>
        <v>10441.399918150459</v>
      </c>
    </row>
    <row r="70" spans="1:6" ht="11.25">
      <c r="A70" s="72" t="s">
        <v>10</v>
      </c>
      <c r="B70" s="100"/>
      <c r="C70" s="101"/>
      <c r="D70" s="100">
        <f t="shared" si="7"/>
        <v>1283204.931426</v>
      </c>
      <c r="E70" s="140">
        <v>0.0013</v>
      </c>
      <c r="F70" s="74">
        <f t="shared" si="8"/>
        <v>1668.1664108538</v>
      </c>
    </row>
    <row r="71" spans="1:6" ht="11.25">
      <c r="A71" s="75" t="s">
        <v>9</v>
      </c>
      <c r="B71" s="76"/>
      <c r="C71" s="77"/>
      <c r="D71" s="76"/>
      <c r="E71" s="79"/>
      <c r="F71" s="103">
        <f>SUM(F63:F70)</f>
        <v>1149176.5602131877</v>
      </c>
    </row>
    <row r="72" spans="1:6" ht="11.25">
      <c r="A72" s="86"/>
      <c r="B72" s="87"/>
      <c r="C72" s="205"/>
      <c r="D72" s="206"/>
      <c r="E72" s="90"/>
      <c r="F72" s="207"/>
    </row>
    <row r="73" spans="1:6" ht="11.25">
      <c r="A73" s="92" t="s">
        <v>111</v>
      </c>
      <c r="B73" s="93"/>
      <c r="C73" s="104"/>
      <c r="D73" s="88"/>
      <c r="E73" s="95"/>
      <c r="F73" s="93"/>
    </row>
    <row r="74" spans="1:6" ht="11.25">
      <c r="A74" s="77" t="s">
        <v>4</v>
      </c>
      <c r="B74" s="96"/>
      <c r="C74" s="105"/>
      <c r="D74" s="232"/>
      <c r="E74" s="233"/>
      <c r="F74" s="234"/>
    </row>
    <row r="75" spans="1:6" ht="11.25">
      <c r="A75" s="59" t="s">
        <v>5</v>
      </c>
      <c r="B75" s="98"/>
      <c r="C75" s="208">
        <f>+('[4]Summary'!$R$11+'[4]Summary'!$S$11)/2</f>
        <v>32768</v>
      </c>
      <c r="D75" s="98"/>
      <c r="E75" s="138">
        <v>0.788</v>
      </c>
      <c r="F75" s="64">
        <f>+C75*E75*12</f>
        <v>309854.208</v>
      </c>
    </row>
    <row r="76" spans="1:7" ht="11.25">
      <c r="A76" s="59" t="s">
        <v>40</v>
      </c>
      <c r="B76" s="100"/>
      <c r="C76" s="209">
        <f>+('[4]Summary'!$R$15+'[4]Summary'!$S$15)/2</f>
        <v>2577.628701755991</v>
      </c>
      <c r="D76" s="100"/>
      <c r="E76" s="139">
        <v>0.788</v>
      </c>
      <c r="F76" s="64">
        <f>+C76*E76*12</f>
        <v>24374.057003804654</v>
      </c>
      <c r="G76" s="102"/>
    </row>
    <row r="77" spans="1:6" ht="12" thickBot="1">
      <c r="A77" s="75" t="s">
        <v>9</v>
      </c>
      <c r="B77" s="76"/>
      <c r="C77" s="77"/>
      <c r="D77" s="76"/>
      <c r="E77" s="79"/>
      <c r="F77" s="201">
        <f>SUM(F75:F76)</f>
        <v>334228.26500380464</v>
      </c>
    </row>
    <row r="78" spans="1:6" ht="12" thickTop="1">
      <c r="A78" s="92" t="s">
        <v>25</v>
      </c>
      <c r="B78" s="93"/>
      <c r="C78" s="104" t="s">
        <v>12</v>
      </c>
      <c r="D78" s="88"/>
      <c r="E78" s="95"/>
      <c r="F78" s="93"/>
    </row>
    <row r="79" spans="1:6" ht="11.25">
      <c r="A79" s="77" t="s">
        <v>4</v>
      </c>
      <c r="B79" s="96"/>
      <c r="C79" s="105" t="s">
        <v>13</v>
      </c>
      <c r="D79" s="232">
        <v>2015</v>
      </c>
      <c r="E79" s="233"/>
      <c r="F79" s="234"/>
    </row>
    <row r="80" spans="1:6" ht="11.25">
      <c r="A80" s="59" t="s">
        <v>109</v>
      </c>
      <c r="B80" s="98"/>
      <c r="C80" s="99" t="s">
        <v>14</v>
      </c>
      <c r="D80" s="98"/>
      <c r="E80" s="138">
        <v>0.0002</v>
      </c>
      <c r="F80" s="64">
        <v>235000</v>
      </c>
    </row>
    <row r="81" spans="1:7" ht="11.25">
      <c r="A81" s="59" t="s">
        <v>110</v>
      </c>
      <c r="B81" s="100"/>
      <c r="C81" s="101" t="s">
        <v>14</v>
      </c>
      <c r="D81" s="100"/>
      <c r="E81" s="139">
        <v>0.0002</v>
      </c>
      <c r="F81" s="70">
        <v>300000</v>
      </c>
      <c r="G81" s="102"/>
    </row>
    <row r="82" spans="1:6" ht="12" thickBot="1">
      <c r="A82" s="75" t="s">
        <v>9</v>
      </c>
      <c r="B82" s="76"/>
      <c r="C82" s="77"/>
      <c r="D82" s="76"/>
      <c r="E82" s="79"/>
      <c r="F82" s="201">
        <f>SUM(F80:F81)</f>
        <v>535000</v>
      </c>
    </row>
    <row r="83" spans="1:6" ht="12" thickTop="1">
      <c r="A83" s="202"/>
      <c r="B83" s="76"/>
      <c r="C83" s="203"/>
      <c r="D83" s="89"/>
      <c r="E83" s="90"/>
      <c r="F83" s="204"/>
    </row>
    <row r="84" spans="1:6" ht="11.25">
      <c r="A84" s="202"/>
      <c r="B84" s="76"/>
      <c r="C84" s="203"/>
      <c r="D84" s="89"/>
      <c r="E84" s="90"/>
      <c r="F84" s="204"/>
    </row>
    <row r="85" spans="1:2" ht="11.25">
      <c r="A85" s="126" t="s">
        <v>57</v>
      </c>
      <c r="B85" s="127">
        <v>2015</v>
      </c>
    </row>
    <row r="86" spans="1:2" ht="11.25">
      <c r="A86" s="106" t="s">
        <v>81</v>
      </c>
      <c r="B86" s="128" t="s">
        <v>74</v>
      </c>
    </row>
    <row r="87" spans="1:2" ht="11.25">
      <c r="A87" s="107" t="s">
        <v>0</v>
      </c>
      <c r="B87" s="129">
        <f>F11+F23</f>
        <v>89607839.50064392</v>
      </c>
    </row>
    <row r="88" spans="1:2" ht="11.25">
      <c r="A88" s="107" t="s">
        <v>1</v>
      </c>
      <c r="B88" s="130">
        <f>F59</f>
        <v>3889520.6653369428</v>
      </c>
    </row>
    <row r="89" spans="1:2" ht="11.25">
      <c r="A89" s="107" t="s">
        <v>2</v>
      </c>
      <c r="B89" s="130">
        <f>F35</f>
        <v>6207367.744625404</v>
      </c>
    </row>
    <row r="90" spans="1:2" ht="11.25">
      <c r="A90" s="107" t="s">
        <v>3</v>
      </c>
      <c r="B90" s="130">
        <f>F47</f>
        <v>4684916.10029018</v>
      </c>
    </row>
    <row r="91" spans="1:2" ht="11.25">
      <c r="A91" s="107" t="s">
        <v>19</v>
      </c>
      <c r="B91" s="130">
        <f>F71</f>
        <v>1149176.5602131877</v>
      </c>
    </row>
    <row r="92" spans="1:2" ht="11.25">
      <c r="A92" s="107" t="s">
        <v>21</v>
      </c>
      <c r="B92" s="130">
        <f>+F82</f>
        <v>535000</v>
      </c>
    </row>
    <row r="93" spans="1:2" ht="11.25">
      <c r="A93" s="107" t="s">
        <v>112</v>
      </c>
      <c r="B93" s="130">
        <f>+F77</f>
        <v>334228.26500380464</v>
      </c>
    </row>
    <row r="94" spans="1:2" ht="11.25">
      <c r="A94" s="108" t="s">
        <v>9</v>
      </c>
      <c r="B94" s="131">
        <f>SUM(B87:B93)</f>
        <v>106408048.83611344</v>
      </c>
    </row>
  </sheetData>
  <sheetProtection/>
  <mergeCells count="12">
    <mergeCell ref="D26:F26"/>
    <mergeCell ref="D74:F74"/>
    <mergeCell ref="D38:F38"/>
    <mergeCell ref="D50:F50"/>
    <mergeCell ref="D1:F2"/>
    <mergeCell ref="D62:F62"/>
    <mergeCell ref="D79:F79"/>
    <mergeCell ref="B13:B14"/>
    <mergeCell ref="C13:C14"/>
    <mergeCell ref="D14:F14"/>
    <mergeCell ref="B1:B2"/>
    <mergeCell ref="C1:C2"/>
  </mergeCells>
  <printOptions/>
  <pageMargins left="0.5" right="0.5" top="0.5" bottom="1.39" header="0.5" footer="0.5"/>
  <pageSetup fitToHeight="1" fitToWidth="1" horizontalDpi="600" verticalDpi="600" orientation="portrait" scale="62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6" sqref="C56"/>
    </sheetView>
  </sheetViews>
  <sheetFormatPr defaultColWidth="9.140625" defaultRowHeight="12.75"/>
  <cols>
    <col min="1" max="1" width="25.00390625" style="65" customWidth="1"/>
    <col min="2" max="2" width="12.7109375" style="65" customWidth="1"/>
    <col min="3" max="3" width="10.28125" style="65" customWidth="1"/>
    <col min="4" max="4" width="12.7109375" style="65" customWidth="1"/>
    <col min="5" max="5" width="10.00390625" style="65" customWidth="1"/>
    <col min="6" max="6" width="12.7109375" style="65" customWidth="1"/>
    <col min="7" max="7" width="8.00390625" style="65" bestFit="1" customWidth="1"/>
    <col min="8" max="9" width="11.7109375" style="65" bestFit="1" customWidth="1"/>
    <col min="10" max="11" width="9.140625" style="65" customWidth="1"/>
    <col min="12" max="12" width="13.8515625" style="65" customWidth="1"/>
    <col min="13" max="13" width="13.28125" style="65" customWidth="1"/>
    <col min="14" max="16384" width="9.140625" style="65" customWidth="1"/>
  </cols>
  <sheetData>
    <row r="1" spans="1:6" s="57" customFormat="1" ht="25.5" customHeight="1">
      <c r="A1" s="210" t="s">
        <v>20</v>
      </c>
      <c r="B1" s="267" t="s">
        <v>95</v>
      </c>
      <c r="C1" s="269" t="s">
        <v>96</v>
      </c>
      <c r="D1" s="259">
        <v>2016</v>
      </c>
      <c r="E1" s="260"/>
      <c r="F1" s="261"/>
    </row>
    <row r="2" spans="1:6" s="57" customFormat="1" ht="26.25" customHeight="1">
      <c r="A2" s="177" t="s">
        <v>4</v>
      </c>
      <c r="B2" s="268"/>
      <c r="C2" s="270"/>
      <c r="D2" s="211" t="s">
        <v>106</v>
      </c>
      <c r="E2" s="212" t="s">
        <v>72</v>
      </c>
      <c r="F2" s="213" t="s">
        <v>74</v>
      </c>
    </row>
    <row r="3" spans="1:6" ht="11.25">
      <c r="A3" s="178" t="s">
        <v>5</v>
      </c>
      <c r="B3" s="143">
        <f>+'wap '!J34</f>
        <v>295942201.44692326</v>
      </c>
      <c r="C3" s="144">
        <v>1.0375</v>
      </c>
      <c r="D3" s="145">
        <f>B3*C3</f>
        <v>307040034.0011829</v>
      </c>
      <c r="E3" s="146">
        <f>+'wap '!O37</f>
        <v>0.10728</v>
      </c>
      <c r="F3" s="179">
        <f>D3*E3</f>
        <v>32939254.847646903</v>
      </c>
    </row>
    <row r="4" spans="1:15" ht="11.25">
      <c r="A4" s="178" t="s">
        <v>8</v>
      </c>
      <c r="B4" s="147">
        <f>+'wap '!J35</f>
        <v>78833838.08260883</v>
      </c>
      <c r="C4" s="148">
        <f>+C3</f>
        <v>1.0375</v>
      </c>
      <c r="D4" s="149">
        <f aca="true" t="shared" si="0" ref="D4:D10">B4*C4</f>
        <v>81790107.01070668</v>
      </c>
      <c r="E4" s="150">
        <f>+E8</f>
        <v>0.10728</v>
      </c>
      <c r="F4" s="180">
        <f aca="true" t="shared" si="1" ref="F4:F10">D4*E4</f>
        <v>8774442.680108612</v>
      </c>
      <c r="I4" s="71"/>
      <c r="J4" s="71"/>
      <c r="K4" s="71"/>
      <c r="L4" s="71"/>
      <c r="M4" s="71"/>
      <c r="N4" s="71"/>
      <c r="O4" s="71"/>
    </row>
    <row r="5" spans="1:15" ht="11.25">
      <c r="A5" s="178" t="s">
        <v>22</v>
      </c>
      <c r="B5" s="147">
        <f>+'wap '!J36</f>
        <v>16782006.120646566</v>
      </c>
      <c r="C5" s="148">
        <f>+C4</f>
        <v>1.0375</v>
      </c>
      <c r="D5" s="149">
        <f t="shared" si="0"/>
        <v>17411331.350170814</v>
      </c>
      <c r="E5" s="150">
        <f>+E4</f>
        <v>0.10728</v>
      </c>
      <c r="F5" s="180">
        <f t="shared" si="1"/>
        <v>1867887.627246325</v>
      </c>
      <c r="I5" s="71"/>
      <c r="J5" s="71"/>
      <c r="K5" s="71"/>
      <c r="L5" s="71"/>
      <c r="M5" s="71"/>
      <c r="N5" s="71"/>
      <c r="O5" s="71"/>
    </row>
    <row r="6" spans="1:15" ht="11.25">
      <c r="A6" s="178" t="s">
        <v>23</v>
      </c>
      <c r="B6" s="147">
        <f>+'wap '!J37</f>
        <v>17213768.038850844</v>
      </c>
      <c r="C6" s="148">
        <f>+C5</f>
        <v>1.0375</v>
      </c>
      <c r="D6" s="149">
        <f t="shared" si="0"/>
        <v>17859284.340307754</v>
      </c>
      <c r="E6" s="150">
        <f>+E5</f>
        <v>0.10728</v>
      </c>
      <c r="F6" s="180">
        <f t="shared" si="1"/>
        <v>1915944.0240282158</v>
      </c>
      <c r="I6" s="71"/>
      <c r="J6" s="71"/>
      <c r="K6" s="71"/>
      <c r="L6" s="71"/>
      <c r="M6" s="71"/>
      <c r="N6" s="71"/>
      <c r="O6" s="71"/>
    </row>
    <row r="7" spans="1:15" ht="12.75">
      <c r="A7" s="178" t="s">
        <v>24</v>
      </c>
      <c r="B7" s="147">
        <f>+'wap '!J38</f>
        <v>0</v>
      </c>
      <c r="C7" s="148">
        <v>1.01538</v>
      </c>
      <c r="D7" s="149">
        <f t="shared" si="0"/>
        <v>0</v>
      </c>
      <c r="E7" s="150">
        <f>+E6</f>
        <v>0.10728</v>
      </c>
      <c r="F7" s="180">
        <f t="shared" si="1"/>
        <v>0</v>
      </c>
      <c r="H7"/>
      <c r="I7"/>
      <c r="J7"/>
      <c r="K7"/>
      <c r="L7"/>
      <c r="M7"/>
      <c r="N7"/>
      <c r="O7" s="71"/>
    </row>
    <row r="8" spans="1:6" ht="11.25">
      <c r="A8" s="178" t="s">
        <v>7</v>
      </c>
      <c r="B8" s="147">
        <f>+'wap '!J39</f>
        <v>145710.64372659678</v>
      </c>
      <c r="C8" s="148">
        <f>+C3</f>
        <v>1.0375</v>
      </c>
      <c r="D8" s="149">
        <f>B8*C8</f>
        <v>151174.79286634419</v>
      </c>
      <c r="E8" s="150">
        <f>+E9</f>
        <v>0.10728</v>
      </c>
      <c r="F8" s="180">
        <f>D8*E8</f>
        <v>16218.031778701405</v>
      </c>
    </row>
    <row r="9" spans="1:6" ht="11.25">
      <c r="A9" s="178" t="s">
        <v>6</v>
      </c>
      <c r="B9" s="147">
        <f>+'wap '!J40</f>
        <v>0</v>
      </c>
      <c r="C9" s="148">
        <f>+C4</f>
        <v>1.0375</v>
      </c>
      <c r="D9" s="149">
        <f>B9*C9</f>
        <v>0</v>
      </c>
      <c r="E9" s="150">
        <f>+E3</f>
        <v>0.10728</v>
      </c>
      <c r="F9" s="180">
        <f>D9*E9</f>
        <v>0</v>
      </c>
    </row>
    <row r="10" spans="1:6" ht="11.25">
      <c r="A10" s="181" t="s">
        <v>10</v>
      </c>
      <c r="B10" s="147">
        <f>+'wap '!J41</f>
        <v>0</v>
      </c>
      <c r="C10" s="148">
        <f>+C5</f>
        <v>1.0375</v>
      </c>
      <c r="D10" s="151">
        <f t="shared" si="0"/>
        <v>0</v>
      </c>
      <c r="E10" s="150">
        <f>+E7</f>
        <v>0.10728</v>
      </c>
      <c r="F10" s="182">
        <f t="shared" si="1"/>
        <v>0</v>
      </c>
    </row>
    <row r="11" spans="1:6" ht="11.25">
      <c r="A11" s="183" t="s">
        <v>9</v>
      </c>
      <c r="B11" s="152">
        <f>SUM(B3:B10)</f>
        <v>408917524.3327561</v>
      </c>
      <c r="C11" s="142"/>
      <c r="D11" s="153">
        <f>SUM(D3:D10)</f>
        <v>424251931.4952345</v>
      </c>
      <c r="E11" s="154"/>
      <c r="F11" s="184">
        <f>SUM(F3:F10)</f>
        <v>45513747.21080876</v>
      </c>
    </row>
    <row r="12" spans="1:6" ht="4.5" customHeight="1">
      <c r="A12" s="185"/>
      <c r="B12" s="186"/>
      <c r="C12" s="186"/>
      <c r="D12" s="186"/>
      <c r="E12" s="186"/>
      <c r="F12" s="187"/>
    </row>
    <row r="13" spans="1:6" s="57" customFormat="1" ht="17.25" customHeight="1">
      <c r="A13" s="188" t="s">
        <v>20</v>
      </c>
      <c r="B13" s="252" t="s">
        <v>105</v>
      </c>
      <c r="C13" s="254" t="s">
        <v>96</v>
      </c>
      <c r="D13" s="155"/>
      <c r="E13" s="156"/>
      <c r="F13" s="189"/>
    </row>
    <row r="14" spans="1:6" s="57" customFormat="1" ht="25.5" customHeight="1">
      <c r="A14" s="188" t="s">
        <v>4</v>
      </c>
      <c r="B14" s="253"/>
      <c r="C14" s="255"/>
      <c r="D14" s="256">
        <v>2016</v>
      </c>
      <c r="E14" s="257"/>
      <c r="F14" s="258"/>
    </row>
    <row r="15" spans="1:6" ht="11.25">
      <c r="A15" s="178" t="s">
        <v>5</v>
      </c>
      <c r="B15" s="143">
        <f>+'wap '!I34</f>
        <v>15562305.658735953</v>
      </c>
      <c r="C15" s="144">
        <f>+C3</f>
        <v>1.0375</v>
      </c>
      <c r="D15" s="145">
        <f>B15*C15</f>
        <v>16145892.120938553</v>
      </c>
      <c r="E15" s="146">
        <f>+'wap '!O36</f>
        <v>0.10674</v>
      </c>
      <c r="F15" s="179">
        <f aca="true" t="shared" si="2" ref="F15:F22">D15*E15</f>
        <v>1723412.5249889812</v>
      </c>
    </row>
    <row r="16" spans="1:6" ht="11.25">
      <c r="A16" s="178" t="s">
        <v>8</v>
      </c>
      <c r="B16" s="147">
        <f>+'wap '!I35</f>
        <v>12578993.647471223</v>
      </c>
      <c r="C16" s="148">
        <f aca="true" t="shared" si="3" ref="C16:C22">+C4</f>
        <v>1.0375</v>
      </c>
      <c r="D16" s="149">
        <f aca="true" t="shared" si="4" ref="D16:D22">B16*C16</f>
        <v>13050705.909251396</v>
      </c>
      <c r="E16" s="150">
        <f>+E20</f>
        <v>0.10674</v>
      </c>
      <c r="F16" s="180">
        <f t="shared" si="2"/>
        <v>1393032.348753494</v>
      </c>
    </row>
    <row r="17" spans="1:6" ht="11.25">
      <c r="A17" s="178" t="s">
        <v>22</v>
      </c>
      <c r="B17" s="147">
        <f>+'wap '!I36</f>
        <v>190136152.36720785</v>
      </c>
      <c r="C17" s="148">
        <f t="shared" si="3"/>
        <v>1.0375</v>
      </c>
      <c r="D17" s="149">
        <f t="shared" si="4"/>
        <v>197266258.08097816</v>
      </c>
      <c r="E17" s="150">
        <f>+E16</f>
        <v>0.10674</v>
      </c>
      <c r="F17" s="180">
        <f t="shared" si="2"/>
        <v>21056200.38756361</v>
      </c>
    </row>
    <row r="18" spans="1:6" ht="11.25">
      <c r="A18" s="178" t="s">
        <v>23</v>
      </c>
      <c r="B18" s="147">
        <f>+'wap '!I37</f>
        <v>99356499.26464516</v>
      </c>
      <c r="C18" s="148">
        <f t="shared" si="3"/>
        <v>1.0375</v>
      </c>
      <c r="D18" s="149">
        <f t="shared" si="4"/>
        <v>103082367.98706937</v>
      </c>
      <c r="E18" s="150">
        <f>+E17</f>
        <v>0.10674</v>
      </c>
      <c r="F18" s="180">
        <f t="shared" si="2"/>
        <v>11003011.958939785</v>
      </c>
    </row>
    <row r="19" spans="1:6" ht="11.25">
      <c r="A19" s="178" t="s">
        <v>24</v>
      </c>
      <c r="B19" s="147">
        <f>+'wap '!I38</f>
        <v>135893889.41732097</v>
      </c>
      <c r="C19" s="148">
        <f t="shared" si="3"/>
        <v>1.01538</v>
      </c>
      <c r="D19" s="149">
        <f t="shared" si="4"/>
        <v>137983937.43655935</v>
      </c>
      <c r="E19" s="150">
        <f>+E18</f>
        <v>0.10674</v>
      </c>
      <c r="F19" s="180">
        <f t="shared" si="2"/>
        <v>14728405.481978346</v>
      </c>
    </row>
    <row r="20" spans="1:6" ht="11.25">
      <c r="A20" s="178" t="s">
        <v>7</v>
      </c>
      <c r="B20" s="147">
        <f>+'wap '!I39</f>
        <v>0</v>
      </c>
      <c r="C20" s="148">
        <f t="shared" si="3"/>
        <v>1.0375</v>
      </c>
      <c r="D20" s="149">
        <f>B20*C20</f>
        <v>0</v>
      </c>
      <c r="E20" s="150">
        <f>+E21</f>
        <v>0.10674</v>
      </c>
      <c r="F20" s="180">
        <f>D20*E20</f>
        <v>0</v>
      </c>
    </row>
    <row r="21" spans="1:6" ht="11.25">
      <c r="A21" s="178" t="s">
        <v>6</v>
      </c>
      <c r="B21" s="147">
        <f>+'wap '!I40</f>
        <v>8298678.76838638</v>
      </c>
      <c r="C21" s="148">
        <f t="shared" si="3"/>
        <v>1.0375</v>
      </c>
      <c r="D21" s="149">
        <f>B21*C21</f>
        <v>8609879.22220087</v>
      </c>
      <c r="E21" s="150">
        <f>+E15</f>
        <v>0.10674</v>
      </c>
      <c r="F21" s="180">
        <f>D21*E21</f>
        <v>919018.5081777209</v>
      </c>
    </row>
    <row r="22" spans="1:6" ht="11.25">
      <c r="A22" s="181" t="s">
        <v>10</v>
      </c>
      <c r="B22" s="147">
        <f>+'wap '!I41</f>
        <v>1096422.73</v>
      </c>
      <c r="C22" s="148">
        <f t="shared" si="3"/>
        <v>1.0375</v>
      </c>
      <c r="D22" s="151">
        <f t="shared" si="4"/>
        <v>1137538.582375</v>
      </c>
      <c r="E22" s="150">
        <f>+E19</f>
        <v>0.10674</v>
      </c>
      <c r="F22" s="182">
        <f t="shared" si="2"/>
        <v>121420.8682827075</v>
      </c>
    </row>
    <row r="23" spans="1:13" ht="11.25">
      <c r="A23" s="183" t="s">
        <v>9</v>
      </c>
      <c r="B23" s="152">
        <f>SUM(B15:B22)</f>
        <v>462922941.8537675</v>
      </c>
      <c r="C23" s="142"/>
      <c r="D23" s="153">
        <f>SUM(D15:D22)</f>
        <v>477276579.3393727</v>
      </c>
      <c r="E23" s="154"/>
      <c r="F23" s="184">
        <f>SUM(F15:F22)</f>
        <v>50944502.078684635</v>
      </c>
      <c r="H23" s="85">
        <f>+B11+B23</f>
        <v>871840466.1865237</v>
      </c>
      <c r="I23" s="65" t="s">
        <v>32</v>
      </c>
      <c r="L23" s="85"/>
      <c r="M23" s="85"/>
    </row>
    <row r="24" spans="1:6" ht="4.5" customHeight="1">
      <c r="A24" s="190"/>
      <c r="B24" s="157"/>
      <c r="C24" s="126"/>
      <c r="D24" s="158"/>
      <c r="E24" s="159"/>
      <c r="F24" s="191"/>
    </row>
    <row r="25" spans="1:8" ht="11.25">
      <c r="A25" s="192" t="s">
        <v>11</v>
      </c>
      <c r="B25" s="160"/>
      <c r="C25" s="161" t="s">
        <v>12</v>
      </c>
      <c r="D25" s="126"/>
      <c r="E25" s="162"/>
      <c r="F25" s="193"/>
      <c r="H25" s="85"/>
    </row>
    <row r="26" spans="1:8" ht="11.25">
      <c r="A26" s="188" t="s">
        <v>4</v>
      </c>
      <c r="B26" s="163"/>
      <c r="C26" s="164" t="s">
        <v>13</v>
      </c>
      <c r="D26" s="249">
        <v>2016</v>
      </c>
      <c r="E26" s="250"/>
      <c r="F26" s="251"/>
      <c r="H26" s="85"/>
    </row>
    <row r="27" spans="1:8" ht="11.25">
      <c r="A27" s="178" t="s">
        <v>5</v>
      </c>
      <c r="B27" s="143"/>
      <c r="C27" s="165" t="s">
        <v>14</v>
      </c>
      <c r="D27" s="147">
        <f>D3+D15</f>
        <v>323185926.12212145</v>
      </c>
      <c r="E27" s="146">
        <v>0.007516297055531303</v>
      </c>
      <c r="F27" s="180">
        <f aca="true" t="shared" si="5" ref="F27:F34">D27*E27</f>
        <v>2429161.4249008587</v>
      </c>
      <c r="H27" s="65" t="s">
        <v>104</v>
      </c>
    </row>
    <row r="28" spans="1:7" ht="11.25">
      <c r="A28" s="178" t="s">
        <v>8</v>
      </c>
      <c r="B28" s="147"/>
      <c r="C28" s="166" t="s">
        <v>14</v>
      </c>
      <c r="D28" s="147">
        <f>D4+D16</f>
        <v>94840812.91995807</v>
      </c>
      <c r="E28" s="150">
        <v>0.006945442704318559</v>
      </c>
      <c r="F28" s="180">
        <f t="shared" si="5"/>
        <v>658711.432166564</v>
      </c>
      <c r="G28" s="102"/>
    </row>
    <row r="29" spans="1:6" ht="11.25">
      <c r="A29" s="178" t="s">
        <v>22</v>
      </c>
      <c r="B29" s="147"/>
      <c r="C29" s="166" t="s">
        <v>15</v>
      </c>
      <c r="D29" s="147">
        <f>+'[1]Summary'!$M$22</f>
        <v>511697.18575200246</v>
      </c>
      <c r="E29" s="150">
        <v>3.1148871722981966</v>
      </c>
      <c r="F29" s="180">
        <f t="shared" si="5"/>
        <v>1593879</v>
      </c>
    </row>
    <row r="30" spans="1:6" ht="11.25">
      <c r="A30" s="178" t="s">
        <v>23</v>
      </c>
      <c r="B30" s="147"/>
      <c r="C30" s="166" t="s">
        <v>15</v>
      </c>
      <c r="D30" s="147">
        <f>+'[1]Summary'!$M$27</f>
        <v>230486.33199415752</v>
      </c>
      <c r="E30" s="150">
        <v>3.063509206341565</v>
      </c>
      <c r="F30" s="180">
        <f t="shared" si="5"/>
        <v>706097</v>
      </c>
    </row>
    <row r="31" spans="1:6" ht="11.25">
      <c r="A31" s="178" t="s">
        <v>24</v>
      </c>
      <c r="B31" s="147"/>
      <c r="C31" s="166" t="s">
        <v>15</v>
      </c>
      <c r="D31" s="147">
        <f>+'[1]Summary'!$M$32</f>
        <v>188667.80987852663</v>
      </c>
      <c r="E31" s="150">
        <v>3.3173491567160798</v>
      </c>
      <c r="F31" s="180">
        <f t="shared" si="5"/>
        <v>625877</v>
      </c>
    </row>
    <row r="32" spans="1:6" ht="11.25">
      <c r="A32" s="178" t="s">
        <v>7</v>
      </c>
      <c r="B32" s="147"/>
      <c r="C32" s="166" t="s">
        <v>15</v>
      </c>
      <c r="D32" s="147">
        <f>+'[1]Summary'!$M$42</f>
        <v>465.2233502043091</v>
      </c>
      <c r="E32" s="150">
        <v>2.1194121051038923</v>
      </c>
      <c r="F32" s="180">
        <f>D32*E32</f>
        <v>986.0000000000001</v>
      </c>
    </row>
    <row r="33" spans="1:6" ht="11.25">
      <c r="A33" s="178" t="s">
        <v>6</v>
      </c>
      <c r="B33" s="147"/>
      <c r="C33" s="166" t="s">
        <v>15</v>
      </c>
      <c r="D33" s="147">
        <f>+'[1]Summary'!$M$37</f>
        <v>17809.64893515205</v>
      </c>
      <c r="E33" s="150">
        <v>2.109586782805342</v>
      </c>
      <c r="F33" s="180">
        <f>D33*E33</f>
        <v>37571</v>
      </c>
    </row>
    <row r="34" spans="1:7" ht="11.25">
      <c r="A34" s="181" t="s">
        <v>10</v>
      </c>
      <c r="B34" s="147"/>
      <c r="C34" s="166" t="s">
        <v>14</v>
      </c>
      <c r="D34" s="147">
        <f>D10+D22</f>
        <v>1137538.582375</v>
      </c>
      <c r="E34" s="150">
        <v>0.006945698477764126</v>
      </c>
      <c r="F34" s="182">
        <f t="shared" si="5"/>
        <v>7900.999999999999</v>
      </c>
      <c r="G34" s="102"/>
    </row>
    <row r="35" spans="1:6" ht="11.25">
      <c r="A35" s="183" t="s">
        <v>9</v>
      </c>
      <c r="B35" s="152"/>
      <c r="C35" s="142"/>
      <c r="D35" s="152"/>
      <c r="E35" s="154"/>
      <c r="F35" s="184">
        <f>SUM(F27:F34)</f>
        <v>6060183.857067423</v>
      </c>
    </row>
    <row r="36" spans="1:6" ht="4.5" customHeight="1">
      <c r="A36" s="185"/>
      <c r="B36" s="186"/>
      <c r="C36" s="186"/>
      <c r="D36" s="186"/>
      <c r="E36" s="186"/>
      <c r="F36" s="187"/>
    </row>
    <row r="37" spans="1:6" ht="11.25">
      <c r="A37" s="192" t="s">
        <v>16</v>
      </c>
      <c r="B37" s="160"/>
      <c r="C37" s="167" t="s">
        <v>12</v>
      </c>
      <c r="D37" s="126"/>
      <c r="E37" s="162"/>
      <c r="F37" s="193"/>
    </row>
    <row r="38" spans="1:6" ht="11.25">
      <c r="A38" s="188" t="s">
        <v>4</v>
      </c>
      <c r="B38" s="163"/>
      <c r="C38" s="168" t="s">
        <v>13</v>
      </c>
      <c r="D38" s="249">
        <v>2016</v>
      </c>
      <c r="E38" s="250"/>
      <c r="F38" s="251"/>
    </row>
    <row r="39" spans="1:6" ht="11.25">
      <c r="A39" s="178" t="s">
        <v>5</v>
      </c>
      <c r="B39" s="143"/>
      <c r="C39" s="165" t="s">
        <v>14</v>
      </c>
      <c r="D39" s="143">
        <f>$D$27</f>
        <v>323185926.12212145</v>
      </c>
      <c r="E39" s="146">
        <v>0.00592821373170169</v>
      </c>
      <c r="F39" s="179">
        <f aca="true" t="shared" si="6" ref="F39:F46">D39*E39</f>
        <v>1915915.2451298882</v>
      </c>
    </row>
    <row r="40" spans="1:7" ht="11.25">
      <c r="A40" s="178" t="s">
        <v>8</v>
      </c>
      <c r="B40" s="147"/>
      <c r="C40" s="166" t="s">
        <v>14</v>
      </c>
      <c r="D40" s="147">
        <f>$D$28</f>
        <v>94840812.91995807</v>
      </c>
      <c r="E40" s="150">
        <v>0.0052365886951618945</v>
      </c>
      <c r="F40" s="180">
        <f t="shared" si="6"/>
        <v>496642.3287766166</v>
      </c>
      <c r="G40" s="102"/>
    </row>
    <row r="41" spans="1:6" ht="11.25">
      <c r="A41" s="178" t="s">
        <v>22</v>
      </c>
      <c r="B41" s="147"/>
      <c r="C41" s="166" t="s">
        <v>15</v>
      </c>
      <c r="D41" s="147">
        <f>$D$29</f>
        <v>511697.18575200246</v>
      </c>
      <c r="E41" s="150">
        <v>2.433235973674939</v>
      </c>
      <c r="F41" s="180">
        <f t="shared" si="6"/>
        <v>1245080</v>
      </c>
    </row>
    <row r="42" spans="1:6" ht="11.25">
      <c r="A42" s="178" t="s">
        <v>23</v>
      </c>
      <c r="B42" s="147"/>
      <c r="C42" s="166" t="s">
        <v>15</v>
      </c>
      <c r="D42" s="147">
        <f>$D$30</f>
        <v>230486.33199415752</v>
      </c>
      <c r="E42" s="150">
        <v>2.3935172000306904</v>
      </c>
      <c r="F42" s="180">
        <f t="shared" si="6"/>
        <v>551673</v>
      </c>
    </row>
    <row r="43" spans="1:6" ht="11.25">
      <c r="A43" s="178" t="s">
        <v>24</v>
      </c>
      <c r="B43" s="147"/>
      <c r="C43" s="166" t="s">
        <v>15</v>
      </c>
      <c r="D43" s="147">
        <f>$D$31</f>
        <v>188667.80987852663</v>
      </c>
      <c r="E43" s="150">
        <v>2.676784133579321</v>
      </c>
      <c r="F43" s="180">
        <f t="shared" si="6"/>
        <v>505023</v>
      </c>
    </row>
    <row r="44" spans="1:6" ht="11.25">
      <c r="A44" s="178" t="s">
        <v>7</v>
      </c>
      <c r="B44" s="147"/>
      <c r="C44" s="166" t="s">
        <v>15</v>
      </c>
      <c r="D44" s="147">
        <f>$D$32</f>
        <v>465.2233502043091</v>
      </c>
      <c r="E44" s="150">
        <v>1.6701655229875498</v>
      </c>
      <c r="F44" s="180">
        <f>D44*E44</f>
        <v>777</v>
      </c>
    </row>
    <row r="45" spans="1:6" ht="11.25">
      <c r="A45" s="178" t="s">
        <v>6</v>
      </c>
      <c r="B45" s="147"/>
      <c r="C45" s="166" t="s">
        <v>15</v>
      </c>
      <c r="D45" s="147">
        <f>$D$33</f>
        <v>17809.64893515205</v>
      </c>
      <c r="E45" s="150">
        <v>1.6367532064298453</v>
      </c>
      <c r="F45" s="180">
        <f>D45*E45</f>
        <v>29150</v>
      </c>
    </row>
    <row r="46" spans="1:7" ht="11.25">
      <c r="A46" s="181" t="s">
        <v>10</v>
      </c>
      <c r="B46" s="147"/>
      <c r="C46" s="166" t="s">
        <v>14</v>
      </c>
      <c r="D46" s="147">
        <f>$D$34</f>
        <v>1137538.582375</v>
      </c>
      <c r="E46" s="150">
        <v>0.0052367454539983425</v>
      </c>
      <c r="F46" s="182">
        <f t="shared" si="6"/>
        <v>5957</v>
      </c>
      <c r="G46" s="102"/>
    </row>
    <row r="47" spans="1:6" ht="11.25">
      <c r="A47" s="183" t="s">
        <v>9</v>
      </c>
      <c r="B47" s="152"/>
      <c r="C47" s="142"/>
      <c r="D47" s="152"/>
      <c r="E47" s="154"/>
      <c r="F47" s="184">
        <f>SUM(F39:F46)</f>
        <v>4750217.573906505</v>
      </c>
    </row>
    <row r="48" spans="1:6" ht="4.5" customHeight="1">
      <c r="A48" s="185"/>
      <c r="B48" s="186"/>
      <c r="C48" s="186"/>
      <c r="D48" s="186"/>
      <c r="E48" s="186"/>
      <c r="F48" s="187"/>
    </row>
    <row r="49" spans="1:6" ht="11.25">
      <c r="A49" s="192" t="s">
        <v>17</v>
      </c>
      <c r="B49" s="160"/>
      <c r="C49" s="167"/>
      <c r="D49" s="126"/>
      <c r="E49" s="162"/>
      <c r="F49" s="193"/>
    </row>
    <row r="50" spans="1:6" ht="11.25">
      <c r="A50" s="188" t="s">
        <v>4</v>
      </c>
      <c r="B50" s="163"/>
      <c r="C50" s="168"/>
      <c r="D50" s="249">
        <v>2016</v>
      </c>
      <c r="E50" s="250"/>
      <c r="F50" s="251"/>
    </row>
    <row r="51" spans="1:6" ht="11.25">
      <c r="A51" s="178" t="s">
        <v>5</v>
      </c>
      <c r="B51" s="143"/>
      <c r="C51" s="165"/>
      <c r="D51" s="143">
        <f>$D$3+D15</f>
        <v>323185926.12212145</v>
      </c>
      <c r="E51" s="169">
        <f>0.0036+0.0011</f>
        <v>0.0047</v>
      </c>
      <c r="F51" s="179">
        <f aca="true" t="shared" si="7" ref="F51:F58">D51*E51</f>
        <v>1518973.852773971</v>
      </c>
    </row>
    <row r="52" spans="1:6" ht="11.25">
      <c r="A52" s="178" t="s">
        <v>8</v>
      </c>
      <c r="B52" s="147"/>
      <c r="C52" s="166"/>
      <c r="D52" s="147">
        <f>$D$4+D16</f>
        <v>94840812.91995807</v>
      </c>
      <c r="E52" s="150">
        <f aca="true" t="shared" si="8" ref="E52:E58">0.0036+0.0011</f>
        <v>0.0047</v>
      </c>
      <c r="F52" s="180">
        <f t="shared" si="7"/>
        <v>445751.82072380296</v>
      </c>
    </row>
    <row r="53" spans="1:6" ht="11.25">
      <c r="A53" s="178" t="s">
        <v>22</v>
      </c>
      <c r="B53" s="147"/>
      <c r="C53" s="166"/>
      <c r="D53" s="147">
        <f>$D$5+D17</f>
        <v>214677589.43114898</v>
      </c>
      <c r="E53" s="150">
        <f t="shared" si="8"/>
        <v>0.0047</v>
      </c>
      <c r="F53" s="180">
        <f t="shared" si="7"/>
        <v>1008984.6703264002</v>
      </c>
    </row>
    <row r="54" spans="1:6" ht="11.25">
      <c r="A54" s="178" t="s">
        <v>23</v>
      </c>
      <c r="B54" s="147"/>
      <c r="C54" s="166"/>
      <c r="D54" s="147">
        <f>$D$6+D18</f>
        <v>120941652.32737713</v>
      </c>
      <c r="E54" s="150">
        <f t="shared" si="8"/>
        <v>0.0047</v>
      </c>
      <c r="F54" s="180">
        <f t="shared" si="7"/>
        <v>568425.7659386725</v>
      </c>
    </row>
    <row r="55" spans="1:6" ht="11.25">
      <c r="A55" s="178" t="s">
        <v>24</v>
      </c>
      <c r="B55" s="147"/>
      <c r="C55" s="166"/>
      <c r="D55" s="147">
        <f>$D$7+D19</f>
        <v>137983937.43655935</v>
      </c>
      <c r="E55" s="150">
        <f t="shared" si="8"/>
        <v>0.0047</v>
      </c>
      <c r="F55" s="180">
        <f t="shared" si="7"/>
        <v>648524.505951829</v>
      </c>
    </row>
    <row r="56" spans="1:6" ht="11.25">
      <c r="A56" s="178" t="s">
        <v>7</v>
      </c>
      <c r="B56" s="147"/>
      <c r="C56" s="166"/>
      <c r="D56" s="147">
        <f>$D$8+D20</f>
        <v>151174.79286634419</v>
      </c>
      <c r="E56" s="150">
        <f t="shared" si="8"/>
        <v>0.0047</v>
      </c>
      <c r="F56" s="180">
        <f>D56*E56</f>
        <v>710.5215264718177</v>
      </c>
    </row>
    <row r="57" spans="1:6" ht="11.25">
      <c r="A57" s="178" t="s">
        <v>6</v>
      </c>
      <c r="B57" s="147"/>
      <c r="C57" s="166"/>
      <c r="D57" s="147">
        <f>$D$9+D21</f>
        <v>8609879.22220087</v>
      </c>
      <c r="E57" s="150">
        <f t="shared" si="8"/>
        <v>0.0047</v>
      </c>
      <c r="F57" s="180">
        <f>D57*E57</f>
        <v>40466.432344344095</v>
      </c>
    </row>
    <row r="58" spans="1:6" ht="11.25">
      <c r="A58" s="181" t="s">
        <v>10</v>
      </c>
      <c r="B58" s="147"/>
      <c r="C58" s="166"/>
      <c r="D58" s="147">
        <f>$D$10+D22</f>
        <v>1137538.582375</v>
      </c>
      <c r="E58" s="150">
        <f t="shared" si="8"/>
        <v>0.0047</v>
      </c>
      <c r="F58" s="182">
        <f t="shared" si="7"/>
        <v>5346.4313371625</v>
      </c>
    </row>
    <row r="59" spans="1:6" ht="11.25">
      <c r="A59" s="183" t="s">
        <v>9</v>
      </c>
      <c r="B59" s="152"/>
      <c r="C59" s="142"/>
      <c r="D59" s="152"/>
      <c r="E59" s="154"/>
      <c r="F59" s="184">
        <f>SUM(F51:F58)</f>
        <v>4237184.000922655</v>
      </c>
    </row>
    <row r="60" spans="1:6" ht="4.5" customHeight="1">
      <c r="A60" s="185"/>
      <c r="B60" s="186"/>
      <c r="C60" s="186"/>
      <c r="D60" s="186"/>
      <c r="E60" s="186"/>
      <c r="F60" s="187"/>
    </row>
    <row r="61" spans="1:6" ht="11.25">
      <c r="A61" s="192" t="s">
        <v>18</v>
      </c>
      <c r="B61" s="160"/>
      <c r="C61" s="167"/>
      <c r="D61" s="126"/>
      <c r="E61" s="162"/>
      <c r="F61" s="193"/>
    </row>
    <row r="62" spans="1:6" ht="11.25">
      <c r="A62" s="188" t="s">
        <v>4</v>
      </c>
      <c r="B62" s="163"/>
      <c r="C62" s="168"/>
      <c r="D62" s="249">
        <v>2016</v>
      </c>
      <c r="E62" s="250"/>
      <c r="F62" s="251"/>
    </row>
    <row r="63" spans="1:6" ht="11.25">
      <c r="A63" s="178" t="s">
        <v>5</v>
      </c>
      <c r="B63" s="143"/>
      <c r="C63" s="165"/>
      <c r="D63" s="143">
        <f aca="true" t="shared" si="9" ref="D63:D70">+D51</f>
        <v>323185926.12212145</v>
      </c>
      <c r="E63" s="171">
        <v>0.0013</v>
      </c>
      <c r="F63" s="179">
        <f aca="true" t="shared" si="10" ref="F63:F70">D63*E63</f>
        <v>420141.70395875786</v>
      </c>
    </row>
    <row r="64" spans="1:6" ht="11.25">
      <c r="A64" s="178" t="s">
        <v>8</v>
      </c>
      <c r="B64" s="147"/>
      <c r="C64" s="166"/>
      <c r="D64" s="147">
        <f t="shared" si="9"/>
        <v>94840812.91995807</v>
      </c>
      <c r="E64" s="172">
        <v>0.0013</v>
      </c>
      <c r="F64" s="180">
        <f t="shared" si="10"/>
        <v>123293.05679594548</v>
      </c>
    </row>
    <row r="65" spans="1:6" ht="11.25">
      <c r="A65" s="178" t="s">
        <v>22</v>
      </c>
      <c r="B65" s="147"/>
      <c r="C65" s="166"/>
      <c r="D65" s="147">
        <f t="shared" si="9"/>
        <v>214677589.43114898</v>
      </c>
      <c r="E65" s="172">
        <v>0.0013</v>
      </c>
      <c r="F65" s="180">
        <f t="shared" si="10"/>
        <v>279080.86626049364</v>
      </c>
    </row>
    <row r="66" spans="1:6" ht="11.25">
      <c r="A66" s="178" t="s">
        <v>23</v>
      </c>
      <c r="B66" s="147"/>
      <c r="C66" s="166"/>
      <c r="D66" s="147">
        <f t="shared" si="9"/>
        <v>120941652.32737713</v>
      </c>
      <c r="E66" s="172">
        <v>0.0013</v>
      </c>
      <c r="F66" s="180">
        <f t="shared" si="10"/>
        <v>157224.14802559026</v>
      </c>
    </row>
    <row r="67" spans="1:6" ht="11.25">
      <c r="A67" s="178" t="s">
        <v>24</v>
      </c>
      <c r="B67" s="147"/>
      <c r="C67" s="166"/>
      <c r="D67" s="147">
        <f t="shared" si="9"/>
        <v>137983937.43655935</v>
      </c>
      <c r="E67" s="172">
        <v>0.0013</v>
      </c>
      <c r="F67" s="180">
        <f t="shared" si="10"/>
        <v>179379.11866752716</v>
      </c>
    </row>
    <row r="68" spans="1:6" ht="11.25">
      <c r="A68" s="178" t="s">
        <v>7</v>
      </c>
      <c r="B68" s="147"/>
      <c r="C68" s="166"/>
      <c r="D68" s="147">
        <f t="shared" si="9"/>
        <v>151174.79286634419</v>
      </c>
      <c r="E68" s="172">
        <v>0.0013</v>
      </c>
      <c r="F68" s="180">
        <f>D68*E68</f>
        <v>196.52723072624744</v>
      </c>
    </row>
    <row r="69" spans="1:6" ht="11.25">
      <c r="A69" s="178" t="s">
        <v>6</v>
      </c>
      <c r="B69" s="147"/>
      <c r="C69" s="166"/>
      <c r="D69" s="147">
        <f t="shared" si="9"/>
        <v>8609879.22220087</v>
      </c>
      <c r="E69" s="172">
        <v>0.0013</v>
      </c>
      <c r="F69" s="180">
        <f>D69*E69</f>
        <v>11192.842988861132</v>
      </c>
    </row>
    <row r="70" spans="1:6" ht="11.25">
      <c r="A70" s="181" t="s">
        <v>10</v>
      </c>
      <c r="B70" s="147"/>
      <c r="C70" s="166"/>
      <c r="D70" s="147">
        <f t="shared" si="9"/>
        <v>1137538.582375</v>
      </c>
      <c r="E70" s="173">
        <v>0.0013</v>
      </c>
      <c r="F70" s="182">
        <f t="shared" si="10"/>
        <v>1478.8001570874999</v>
      </c>
    </row>
    <row r="71" spans="1:6" ht="11.25">
      <c r="A71" s="183" t="s">
        <v>9</v>
      </c>
      <c r="B71" s="152"/>
      <c r="C71" s="142"/>
      <c r="D71" s="152"/>
      <c r="E71" s="154"/>
      <c r="F71" s="184">
        <f>SUM(F63:F70)</f>
        <v>1171987.064084989</v>
      </c>
    </row>
    <row r="72" spans="1:6" ht="11.25">
      <c r="A72" s="92" t="s">
        <v>111</v>
      </c>
      <c r="B72" s="93"/>
      <c r="C72" s="104"/>
      <c r="D72" s="88"/>
      <c r="E72" s="95"/>
      <c r="F72" s="93"/>
    </row>
    <row r="73" spans="1:6" ht="11.25">
      <c r="A73" s="77" t="s">
        <v>4</v>
      </c>
      <c r="B73" s="96"/>
      <c r="C73" s="105"/>
      <c r="D73" s="232"/>
      <c r="E73" s="233"/>
      <c r="F73" s="234"/>
    </row>
    <row r="74" spans="1:7" ht="11.25">
      <c r="A74" s="59" t="s">
        <v>5</v>
      </c>
      <c r="B74" s="98"/>
      <c r="C74" s="208">
        <f>+('[4]Summary'!$T$11+'[4]Summary'!$S$11)/2</f>
        <v>34018</v>
      </c>
      <c r="D74" s="98"/>
      <c r="E74" s="171">
        <v>0.788</v>
      </c>
      <c r="F74" s="64">
        <f>+C74*E74*12</f>
        <v>321674.208</v>
      </c>
      <c r="G74" s="65">
        <f>+F74/F76</f>
        <v>0.9278368046612814</v>
      </c>
    </row>
    <row r="75" spans="1:7" ht="11.25">
      <c r="A75" s="59" t="s">
        <v>40</v>
      </c>
      <c r="B75" s="100"/>
      <c r="C75" s="209">
        <f>+('[4]Summary'!$S$15+'[4]Summary'!$T$15)/2</f>
        <v>2645.7751694046037</v>
      </c>
      <c r="D75" s="100"/>
      <c r="E75" s="172">
        <v>0.788</v>
      </c>
      <c r="F75" s="64">
        <f>+C75*E75*12</f>
        <v>25018.450001889934</v>
      </c>
      <c r="G75" s="102">
        <f>+F75/F76</f>
        <v>0.07216319533871857</v>
      </c>
    </row>
    <row r="76" spans="1:6" ht="12" thickBot="1">
      <c r="A76" s="75" t="s">
        <v>9</v>
      </c>
      <c r="B76" s="76"/>
      <c r="C76" s="77"/>
      <c r="D76" s="76"/>
      <c r="E76" s="79"/>
      <c r="F76" s="201">
        <f>SUM(F74:F75)</f>
        <v>346692.65800188994</v>
      </c>
    </row>
    <row r="77" spans="1:6" ht="4.5" customHeight="1" thickTop="1">
      <c r="A77" s="185"/>
      <c r="B77" s="186"/>
      <c r="C77" s="186"/>
      <c r="D77" s="186"/>
      <c r="E77" s="186"/>
      <c r="F77" s="187"/>
    </row>
    <row r="78" spans="1:6" ht="11.25">
      <c r="A78" s="192" t="s">
        <v>25</v>
      </c>
      <c r="B78" s="160"/>
      <c r="C78" s="167" t="s">
        <v>12</v>
      </c>
      <c r="D78" s="126"/>
      <c r="E78" s="162"/>
      <c r="F78" s="193"/>
    </row>
    <row r="79" spans="1:6" ht="11.25">
      <c r="A79" s="188" t="s">
        <v>4</v>
      </c>
      <c r="B79" s="163"/>
      <c r="C79" s="168" t="s">
        <v>13</v>
      </c>
      <c r="D79" s="249">
        <v>2016</v>
      </c>
      <c r="E79" s="250"/>
      <c r="F79" s="251"/>
    </row>
    <row r="80" spans="1:6" ht="11.25">
      <c r="A80" s="178" t="s">
        <v>109</v>
      </c>
      <c r="B80" s="143"/>
      <c r="C80" s="165" t="s">
        <v>14</v>
      </c>
      <c r="D80" s="143"/>
      <c r="E80" s="169"/>
      <c r="F80" s="179">
        <v>235000</v>
      </c>
    </row>
    <row r="81" spans="1:6" ht="11.25">
      <c r="A81" s="178" t="s">
        <v>110</v>
      </c>
      <c r="B81" s="147"/>
      <c r="C81" s="166"/>
      <c r="D81" s="147"/>
      <c r="E81" s="170"/>
      <c r="F81" s="180">
        <v>300000</v>
      </c>
    </row>
    <row r="82" spans="1:6" ht="11.25">
      <c r="A82" s="183" t="s">
        <v>9</v>
      </c>
      <c r="B82" s="152"/>
      <c r="C82" s="142"/>
      <c r="D82" s="152"/>
      <c r="E82" s="154"/>
      <c r="F82" s="184">
        <f>SUM(F80:F81)</f>
        <v>535000</v>
      </c>
    </row>
    <row r="83" spans="1:6" ht="13.5" thickBot="1">
      <c r="A83" s="194" t="s">
        <v>107</v>
      </c>
      <c r="B83" s="195"/>
      <c r="C83" s="196"/>
      <c r="D83" s="197"/>
      <c r="E83" s="198"/>
      <c r="F83" s="199">
        <f>+F11+F23+F35+F47+F59+F71+F82+F76</f>
        <v>113559514.44347686</v>
      </c>
    </row>
    <row r="84" spans="1:6" ht="11.25">
      <c r="A84" s="176"/>
      <c r="B84" s="153"/>
      <c r="C84" s="174"/>
      <c r="D84" s="158"/>
      <c r="E84" s="159"/>
      <c r="F84" s="175"/>
    </row>
    <row r="85" spans="1:2" ht="11.25">
      <c r="A85" s="126" t="s">
        <v>57</v>
      </c>
      <c r="B85" s="127">
        <v>2016</v>
      </c>
    </row>
    <row r="86" spans="1:2" ht="11.25">
      <c r="A86" s="106" t="s">
        <v>81</v>
      </c>
      <c r="B86" s="128" t="s">
        <v>74</v>
      </c>
    </row>
    <row r="87" spans="1:2" ht="11.25">
      <c r="A87" s="107" t="s">
        <v>0</v>
      </c>
      <c r="B87" s="129">
        <f>F11+F23</f>
        <v>96458249.2894934</v>
      </c>
    </row>
    <row r="88" spans="1:2" ht="11.25">
      <c r="A88" s="107" t="s">
        <v>1</v>
      </c>
      <c r="B88" s="130">
        <f>F59</f>
        <v>4237184.000922655</v>
      </c>
    </row>
    <row r="89" spans="1:2" ht="11.25">
      <c r="A89" s="107" t="s">
        <v>2</v>
      </c>
      <c r="B89" s="130">
        <f>F35</f>
        <v>6060183.857067423</v>
      </c>
    </row>
    <row r="90" spans="1:2" ht="11.25">
      <c r="A90" s="107" t="s">
        <v>3</v>
      </c>
      <c r="B90" s="130">
        <f>F47</f>
        <v>4750217.573906505</v>
      </c>
    </row>
    <row r="91" spans="1:2" ht="11.25">
      <c r="A91" s="107" t="s">
        <v>19</v>
      </c>
      <c r="B91" s="130">
        <f>F71</f>
        <v>1171987.064084989</v>
      </c>
    </row>
    <row r="92" spans="1:2" ht="11.25">
      <c r="A92" s="107" t="s">
        <v>21</v>
      </c>
      <c r="B92" s="130">
        <f>+F82</f>
        <v>535000</v>
      </c>
    </row>
    <row r="93" spans="1:2" ht="11.25">
      <c r="A93" s="107" t="s">
        <v>112</v>
      </c>
      <c r="B93" s="130">
        <f>+F76</f>
        <v>346692.65800188994</v>
      </c>
    </row>
    <row r="94" spans="1:2" ht="11.25">
      <c r="A94" s="108" t="s">
        <v>9</v>
      </c>
      <c r="B94" s="131">
        <f>SUM(B87:B93)</f>
        <v>113559514.44347686</v>
      </c>
    </row>
    <row r="96" ht="11.25">
      <c r="A96" s="200" t="s">
        <v>108</v>
      </c>
    </row>
    <row r="98" spans="1:4" ht="15" customHeight="1">
      <c r="A98" s="58" t="s">
        <v>70</v>
      </c>
      <c r="B98" s="262" t="s">
        <v>73</v>
      </c>
      <c r="C98" s="262"/>
      <c r="D98" s="262"/>
    </row>
    <row r="99" spans="1:5" ht="15" customHeight="1">
      <c r="A99" s="109"/>
      <c r="B99" s="110" t="s">
        <v>71</v>
      </c>
      <c r="C99" s="110" t="s">
        <v>72</v>
      </c>
      <c r="D99" s="110" t="s">
        <v>74</v>
      </c>
      <c r="E99" s="65" t="s">
        <v>97</v>
      </c>
    </row>
    <row r="100" spans="1:4" ht="15" customHeight="1">
      <c r="A100" s="109" t="s">
        <v>58</v>
      </c>
      <c r="B100" s="111">
        <f>+'[3]IESO Hydro one RTSR''s'!$B$22</f>
        <v>32661.950464396286</v>
      </c>
      <c r="C100" s="109">
        <v>0.682</v>
      </c>
      <c r="D100" s="111">
        <f>+B100*C100</f>
        <v>22275.45021671827</v>
      </c>
    </row>
    <row r="101" spans="1:4" ht="15" customHeight="1">
      <c r="A101" s="109" t="s">
        <v>59</v>
      </c>
      <c r="B101" s="111">
        <f>+'[3]IESO Hydro one RTSR''s'!$B$23</f>
        <v>14374.696594427245</v>
      </c>
      <c r="C101" s="109">
        <v>0.682</v>
      </c>
      <c r="D101" s="111">
        <f aca="true" t="shared" si="11" ref="D101:D111">+B101*C101</f>
        <v>9803.543077399381</v>
      </c>
    </row>
    <row r="102" spans="1:4" ht="15" customHeight="1">
      <c r="A102" s="109" t="s">
        <v>60</v>
      </c>
      <c r="B102" s="111">
        <f>+'[3]IESO Hydro one RTSR''s'!$B$24</f>
        <v>15181.018575851393</v>
      </c>
      <c r="C102" s="109">
        <v>0.682</v>
      </c>
      <c r="D102" s="111">
        <f t="shared" si="11"/>
        <v>10353.45466873065</v>
      </c>
    </row>
    <row r="103" spans="1:4" ht="15" customHeight="1">
      <c r="A103" s="109" t="s">
        <v>61</v>
      </c>
      <c r="B103" s="111">
        <f>+'[3]IESO Hydro one RTSR''s'!$B$25</f>
        <v>14271.473684210527</v>
      </c>
      <c r="C103" s="109">
        <v>0.682</v>
      </c>
      <c r="D103" s="111">
        <f t="shared" si="11"/>
        <v>9733.14505263158</v>
      </c>
    </row>
    <row r="104" spans="1:4" ht="15" customHeight="1">
      <c r="A104" s="109" t="s">
        <v>62</v>
      </c>
      <c r="B104" s="111">
        <f>+'[3]IESO Hydro one RTSR''s'!$B$26</f>
        <v>11343.739938080495</v>
      </c>
      <c r="C104" s="109">
        <v>0.682</v>
      </c>
      <c r="D104" s="111">
        <f t="shared" si="11"/>
        <v>7736.430637770898</v>
      </c>
    </row>
    <row r="105" spans="1:4" ht="15" customHeight="1">
      <c r="A105" s="109" t="s">
        <v>63</v>
      </c>
      <c r="B105" s="111">
        <f>+'[3]IESO Hydro one RTSR''s'!$B$27</f>
        <v>18760.907120743035</v>
      </c>
      <c r="C105" s="109">
        <v>0.682</v>
      </c>
      <c r="D105" s="111">
        <f t="shared" si="11"/>
        <v>12794.93865634675</v>
      </c>
    </row>
    <row r="106" spans="1:4" ht="15" customHeight="1">
      <c r="A106" s="109" t="s">
        <v>64</v>
      </c>
      <c r="B106" s="111">
        <f>+'[3]IESO Hydro one RTSR''s'!$B$28</f>
        <v>9401.85758513932</v>
      </c>
      <c r="C106" s="109">
        <v>0.682</v>
      </c>
      <c r="D106" s="111">
        <f t="shared" si="11"/>
        <v>6412.066873065017</v>
      </c>
    </row>
    <row r="107" spans="1:4" ht="15" customHeight="1">
      <c r="A107" s="109" t="s">
        <v>65</v>
      </c>
      <c r="B107" s="111">
        <f>+'[3]IESO Hydro one RTSR''s'!$B$29</f>
        <v>11224.427244582044</v>
      </c>
      <c r="C107" s="109">
        <v>0.682</v>
      </c>
      <c r="D107" s="111">
        <f t="shared" si="11"/>
        <v>7655.059380804954</v>
      </c>
    </row>
    <row r="108" spans="1:4" ht="15" customHeight="1">
      <c r="A108" s="109" t="s">
        <v>66</v>
      </c>
      <c r="B108" s="111">
        <f>+'[3]IESO Hydro one RTSR''s'!$B$30</f>
        <v>28406.300309597525</v>
      </c>
      <c r="C108" s="109">
        <v>0.682</v>
      </c>
      <c r="D108" s="111">
        <f t="shared" si="11"/>
        <v>19373.096811145515</v>
      </c>
    </row>
    <row r="109" spans="1:4" ht="15" customHeight="1">
      <c r="A109" s="109" t="s">
        <v>67</v>
      </c>
      <c r="B109" s="111">
        <f>+'[3]IESO Hydro one RTSR''s'!$B$31</f>
        <v>23366.133126934983</v>
      </c>
      <c r="C109" s="109">
        <v>0.682</v>
      </c>
      <c r="D109" s="111">
        <f t="shared" si="11"/>
        <v>15935.70279256966</v>
      </c>
    </row>
    <row r="110" spans="1:4" ht="15" customHeight="1">
      <c r="A110" s="109" t="s">
        <v>68</v>
      </c>
      <c r="B110" s="111">
        <f>+'[3]IESO Hydro one RTSR''s'!$B$32</f>
        <v>10780.52321981424</v>
      </c>
      <c r="C110" s="109">
        <v>0.682</v>
      </c>
      <c r="D110" s="111">
        <f t="shared" si="11"/>
        <v>7352.316835913312</v>
      </c>
    </row>
    <row r="111" spans="1:4" ht="15" customHeight="1" thickBot="1">
      <c r="A111" s="109" t="s">
        <v>69</v>
      </c>
      <c r="B111" s="112">
        <f>+'[3]IESO Hydro one RTSR''s'!$B$33</f>
        <v>10593.284829721362</v>
      </c>
      <c r="C111" s="109">
        <v>0.682</v>
      </c>
      <c r="D111" s="112">
        <f t="shared" si="11"/>
        <v>7224.62025386997</v>
      </c>
    </row>
    <row r="112" spans="1:4" ht="15" customHeight="1" thickBot="1">
      <c r="A112" s="113" t="s">
        <v>79</v>
      </c>
      <c r="B112" s="114">
        <f>SUM(B100:B111)</f>
        <v>200366.31269349845</v>
      </c>
      <c r="C112" s="113"/>
      <c r="D112" s="115">
        <f>SUM(D100:D111)</f>
        <v>136649.82525696597</v>
      </c>
    </row>
    <row r="113" spans="1:4" ht="15" customHeight="1">
      <c r="A113" s="263"/>
      <c r="B113" s="263"/>
      <c r="C113" s="263"/>
      <c r="D113" s="264"/>
    </row>
    <row r="114" spans="1:4" ht="15" customHeight="1">
      <c r="A114" s="58" t="s">
        <v>75</v>
      </c>
      <c r="B114" s="116" t="s">
        <v>76</v>
      </c>
      <c r="C114" s="116" t="s">
        <v>77</v>
      </c>
      <c r="D114" s="116" t="s">
        <v>74</v>
      </c>
    </row>
    <row r="115" spans="1:5" ht="15" customHeight="1" thickBot="1">
      <c r="A115" s="117" t="s">
        <v>80</v>
      </c>
      <c r="B115" s="109">
        <v>3</v>
      </c>
      <c r="C115" s="109">
        <v>298.89</v>
      </c>
      <c r="D115" s="118">
        <f>+B115*C115*12</f>
        <v>10760.039999999999</v>
      </c>
      <c r="E115" s="65" t="s">
        <v>97</v>
      </c>
    </row>
    <row r="116" spans="1:4" ht="15" customHeight="1" thickBot="1">
      <c r="A116" s="109"/>
      <c r="B116" s="109"/>
      <c r="C116" s="109"/>
      <c r="D116" s="119"/>
    </row>
    <row r="117" spans="1:4" ht="12" thickBot="1">
      <c r="A117" s="265" t="s">
        <v>78</v>
      </c>
      <c r="B117" s="266"/>
      <c r="C117" s="120"/>
      <c r="D117" s="121">
        <f>+D112+D115</f>
        <v>147409.86525696598</v>
      </c>
    </row>
  </sheetData>
  <sheetProtection/>
  <mergeCells count="15">
    <mergeCell ref="B98:D98"/>
    <mergeCell ref="D73:F73"/>
    <mergeCell ref="A113:D113"/>
    <mergeCell ref="A117:B117"/>
    <mergeCell ref="D79:F79"/>
    <mergeCell ref="B1:B2"/>
    <mergeCell ref="C1:C2"/>
    <mergeCell ref="D62:F62"/>
    <mergeCell ref="D26:F26"/>
    <mergeCell ref="D38:F38"/>
    <mergeCell ref="D50:F50"/>
    <mergeCell ref="B13:B14"/>
    <mergeCell ref="C13:C14"/>
    <mergeCell ref="D14:F14"/>
    <mergeCell ref="D1:F1"/>
  </mergeCells>
  <printOptions/>
  <pageMargins left="0.5" right="0.5" top="0.5" bottom="1.39" header="0.5" footer="0.5"/>
  <pageSetup fitToHeight="1" fitToWidth="1" horizontalDpi="600" verticalDpi="600" orientation="portrait" scale="63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D1">
      <selection activeCell="L41" sqref="L41"/>
    </sheetView>
  </sheetViews>
  <sheetFormatPr defaultColWidth="9.140625" defaultRowHeight="12.75"/>
  <cols>
    <col min="1" max="1" width="28.8515625" style="0" customWidth="1"/>
    <col min="2" max="2" width="13.8515625" style="0" bestFit="1" customWidth="1"/>
    <col min="3" max="3" width="16.00390625" style="0" bestFit="1" customWidth="1"/>
    <col min="4" max="4" width="16.421875" style="0" bestFit="1" customWidth="1"/>
    <col min="5" max="5" width="22.421875" style="0" bestFit="1" customWidth="1"/>
    <col min="6" max="6" width="22.421875" style="0" customWidth="1"/>
    <col min="7" max="7" width="22.421875" style="0" bestFit="1" customWidth="1"/>
    <col min="8" max="8" width="20.28125" style="0" bestFit="1" customWidth="1"/>
    <col min="9" max="9" width="18.57421875" style="0" customWidth="1"/>
    <col min="10" max="10" width="14.00390625" style="0" bestFit="1" customWidth="1"/>
    <col min="11" max="11" width="4.140625" style="0" customWidth="1"/>
    <col min="13" max="13" width="12.421875" style="0" bestFit="1" customWidth="1"/>
    <col min="14" max="14" width="16.421875" style="0" bestFit="1" customWidth="1"/>
  </cols>
  <sheetData>
    <row r="1" spans="1:15" ht="15">
      <c r="A1" s="15" t="s">
        <v>33</v>
      </c>
      <c r="M1" t="s">
        <v>26</v>
      </c>
      <c r="N1" t="s">
        <v>27</v>
      </c>
      <c r="O1" s="3" t="s">
        <v>28</v>
      </c>
    </row>
    <row r="2" spans="1:15" ht="12.75">
      <c r="A2" s="1" t="s">
        <v>84</v>
      </c>
      <c r="L2" s="2">
        <v>41640</v>
      </c>
      <c r="M2">
        <v>0.03386679254835605</v>
      </c>
      <c r="N2" s="3">
        <f>12.61/1000</f>
        <v>0.01261</v>
      </c>
      <c r="O2">
        <f aca="true" t="shared" si="0" ref="O2:O15">+M2+N2</f>
        <v>0.046476792548356044</v>
      </c>
    </row>
    <row r="3" spans="12:15" ht="12.75">
      <c r="L3" s="2">
        <v>41671</v>
      </c>
      <c r="M3">
        <v>0.05817019392174057</v>
      </c>
      <c r="N3">
        <f>13.3/1000</f>
        <v>0.013300000000000001</v>
      </c>
      <c r="O3">
        <f t="shared" si="0"/>
        <v>0.07147019392174057</v>
      </c>
    </row>
    <row r="4" spans="1:15" ht="12.75">
      <c r="A4" s="1" t="s">
        <v>34</v>
      </c>
      <c r="B4" s="1" t="s">
        <v>35</v>
      </c>
      <c r="C4" s="1"/>
      <c r="D4" s="1"/>
      <c r="E4" s="1"/>
      <c r="L4" s="2">
        <v>41699</v>
      </c>
      <c r="M4">
        <v>0.09066894006731711</v>
      </c>
      <c r="N4">
        <f>-0.27/1000</f>
        <v>-0.00027</v>
      </c>
      <c r="O4">
        <f t="shared" si="0"/>
        <v>0.09039894006731711</v>
      </c>
    </row>
    <row r="5" spans="1:15" ht="12.75">
      <c r="A5" s="1" t="s">
        <v>36</v>
      </c>
      <c r="B5" s="40"/>
      <c r="C5" s="40"/>
      <c r="D5" s="40">
        <v>2014</v>
      </c>
      <c r="E5" s="40">
        <v>2014</v>
      </c>
      <c r="F5" s="18"/>
      <c r="L5" s="2">
        <v>41730</v>
      </c>
      <c r="M5">
        <v>0.08033486966583667</v>
      </c>
      <c r="N5">
        <f>51.98/1000</f>
        <v>0.05198</v>
      </c>
      <c r="O5">
        <f t="shared" si="0"/>
        <v>0.13231486966583667</v>
      </c>
    </row>
    <row r="6" spans="1:15" ht="12.75">
      <c r="A6" s="1" t="s">
        <v>83</v>
      </c>
      <c r="B6" s="40"/>
      <c r="C6" s="40"/>
      <c r="D6" s="40" t="s">
        <v>53</v>
      </c>
      <c r="E6" s="40" t="s">
        <v>54</v>
      </c>
      <c r="F6" s="19"/>
      <c r="L6" s="2">
        <v>41760</v>
      </c>
      <c r="M6">
        <v>0.03492025641843547</v>
      </c>
      <c r="N6">
        <f>71.96/1000</f>
        <v>0.07196</v>
      </c>
      <c r="O6">
        <f t="shared" si="0"/>
        <v>0.10688025641843546</v>
      </c>
    </row>
    <row r="7" spans="12:15" ht="12.75">
      <c r="L7" s="2">
        <v>41791</v>
      </c>
      <c r="M7">
        <v>0.019939550023598023</v>
      </c>
      <c r="N7">
        <f>60.25/1000</f>
        <v>0.06025</v>
      </c>
      <c r="O7">
        <f t="shared" si="0"/>
        <v>0.08018955002359802</v>
      </c>
    </row>
    <row r="8" spans="1:15" ht="12.75">
      <c r="A8" s="16" t="s">
        <v>5</v>
      </c>
      <c r="B8" s="17"/>
      <c r="C8" s="17"/>
      <c r="D8" s="17">
        <f>+E8*1.0362</f>
        <v>15043081.939999998</v>
      </c>
      <c r="E8" s="17">
        <f>+'[2]Pivot by Consumption year all'!$L$6</f>
        <v>14517546.747732095</v>
      </c>
      <c r="F8" s="17"/>
      <c r="L8" s="2">
        <v>41821</v>
      </c>
      <c r="M8">
        <v>0.02857989618683794</v>
      </c>
      <c r="N8">
        <f>62.56/1000</f>
        <v>0.06256</v>
      </c>
      <c r="O8">
        <f t="shared" si="0"/>
        <v>0.09113989618683795</v>
      </c>
    </row>
    <row r="9" spans="1:15" ht="12.75">
      <c r="A9" s="16" t="s">
        <v>38</v>
      </c>
      <c r="B9" s="17"/>
      <c r="C9" s="17"/>
      <c r="D9" s="17">
        <f aca="true" t="shared" si="1" ref="D9:D19">+E9*1.0362</f>
        <v>0</v>
      </c>
      <c r="E9" s="17">
        <f>+'[2]Pivot by Consumption year all'!$L$7</f>
        <v>0</v>
      </c>
      <c r="F9" s="17"/>
      <c r="L9" s="2">
        <v>41852</v>
      </c>
      <c r="M9">
        <v>0.02823739147014274</v>
      </c>
      <c r="N9">
        <f>67.61/1000</f>
        <v>0.06761</v>
      </c>
      <c r="O9">
        <f t="shared" si="0"/>
        <v>0.09584739147014275</v>
      </c>
    </row>
    <row r="10" spans="1:15" ht="12.75">
      <c r="A10" s="16" t="s">
        <v>39</v>
      </c>
      <c r="B10" s="17"/>
      <c r="C10" s="17"/>
      <c r="D10" s="17">
        <f t="shared" si="1"/>
        <v>0</v>
      </c>
      <c r="E10" s="17"/>
      <c r="F10" s="17"/>
      <c r="L10" s="2">
        <v>41883</v>
      </c>
      <c r="M10">
        <v>0.02320180931317985</v>
      </c>
      <c r="N10">
        <f>79.63/1000</f>
        <v>0.07962999999999999</v>
      </c>
      <c r="O10">
        <f t="shared" si="0"/>
        <v>0.10283180931317984</v>
      </c>
    </row>
    <row r="11" spans="1:15" ht="12.75">
      <c r="A11" s="16" t="s">
        <v>40</v>
      </c>
      <c r="B11" s="17"/>
      <c r="C11" s="17"/>
      <c r="D11" s="17">
        <f t="shared" si="1"/>
        <v>12602539.680000013</v>
      </c>
      <c r="E11" s="17">
        <f>+'[2]Pivot by Consumption year all'!$L$8</f>
        <v>12162265.662999433</v>
      </c>
      <c r="F11" s="17"/>
      <c r="L11" s="2">
        <v>41913</v>
      </c>
      <c r="M11">
        <v>0.016485112422492</v>
      </c>
      <c r="N11">
        <f>100.14/1000</f>
        <v>0.10014</v>
      </c>
      <c r="O11">
        <f t="shared" si="0"/>
        <v>0.116625112422492</v>
      </c>
    </row>
    <row r="12" spans="1:15" ht="12.75">
      <c r="A12" s="16" t="s">
        <v>41</v>
      </c>
      <c r="B12" s="17"/>
      <c r="C12" s="17"/>
      <c r="D12" s="17">
        <f t="shared" si="1"/>
        <v>194232654.73279998</v>
      </c>
      <c r="E12" s="17">
        <f>+'[2]Pivot by Consumption year all'!$L$9</f>
        <v>187447070.77089363</v>
      </c>
      <c r="F12" s="17"/>
      <c r="L12" s="2">
        <v>41944</v>
      </c>
      <c r="M12">
        <v>0.008060181623717005</v>
      </c>
      <c r="N12">
        <f>82.32/1000</f>
        <v>0.08231999999999999</v>
      </c>
      <c r="O12">
        <f t="shared" si="0"/>
        <v>0.090380181623717</v>
      </c>
    </row>
    <row r="13" spans="1:15" ht="12.75">
      <c r="A13" s="16" t="s">
        <v>42</v>
      </c>
      <c r="B13" s="17"/>
      <c r="C13" s="17"/>
      <c r="D13" s="17">
        <f t="shared" si="1"/>
        <v>0</v>
      </c>
      <c r="E13" s="17"/>
      <c r="F13" s="17"/>
      <c r="L13" s="2">
        <v>41974</v>
      </c>
      <c r="M13">
        <v>0.018104493054856115</v>
      </c>
      <c r="N13">
        <f>74.44/1000</f>
        <v>0.07443999999999999</v>
      </c>
      <c r="O13">
        <f t="shared" si="0"/>
        <v>0.09254449305485611</v>
      </c>
    </row>
    <row r="14" spans="1:15" ht="12.75">
      <c r="A14" s="16" t="s">
        <v>43</v>
      </c>
      <c r="B14" s="17"/>
      <c r="C14" s="17"/>
      <c r="D14" s="17">
        <f t="shared" si="1"/>
        <v>97513594.28620002</v>
      </c>
      <c r="E14" s="17">
        <f>+'[2]Pivot by Consumption year all'!$L$10</f>
        <v>94106923.65006757</v>
      </c>
      <c r="F14" s="17"/>
      <c r="L14" s="2">
        <v>42005</v>
      </c>
      <c r="M14">
        <v>0.02308939870090017</v>
      </c>
      <c r="N14">
        <f>50.68/1000</f>
        <v>0.05068</v>
      </c>
      <c r="O14">
        <f t="shared" si="0"/>
        <v>0.07376939870090017</v>
      </c>
    </row>
    <row r="15" spans="1:15" ht="12.75">
      <c r="A15" s="16" t="s">
        <v>44</v>
      </c>
      <c r="B15" s="17"/>
      <c r="C15" s="17"/>
      <c r="D15" s="17">
        <f t="shared" si="1"/>
        <v>0</v>
      </c>
      <c r="E15" s="17"/>
      <c r="F15" s="17"/>
      <c r="L15" s="2">
        <v>42036</v>
      </c>
      <c r="M15">
        <v>0.026943717574618265</v>
      </c>
      <c r="N15">
        <f>39.61/1000</f>
        <v>0.03961</v>
      </c>
      <c r="O15">
        <f t="shared" si="0"/>
        <v>0.06655371757461827</v>
      </c>
    </row>
    <row r="16" spans="1:15" ht="12.75">
      <c r="A16" s="16" t="s">
        <v>45</v>
      </c>
      <c r="B16" s="17"/>
      <c r="C16" s="17"/>
      <c r="D16" s="17">
        <f t="shared" si="1"/>
        <v>7502019.94</v>
      </c>
      <c r="E16" s="17">
        <f>+'[2]Pivot by Consumption year all'!$L$11</f>
        <v>7239934.317699286</v>
      </c>
      <c r="F16" s="17"/>
      <c r="L16" s="2">
        <v>42064</v>
      </c>
      <c r="M16">
        <v>0.046283489471824264</v>
      </c>
      <c r="N16">
        <f>62.9/1000</f>
        <v>0.0629</v>
      </c>
      <c r="O16">
        <f>+M16+N16</f>
        <v>0.10918348947182427</v>
      </c>
    </row>
    <row r="17" spans="1:15" ht="12.75">
      <c r="A17" s="16" t="s">
        <v>46</v>
      </c>
      <c r="B17" s="17"/>
      <c r="C17" s="17"/>
      <c r="D17" s="17">
        <f>+E17*1.0149</f>
        <v>135415976.07709995</v>
      </c>
      <c r="E17" s="17">
        <f>+'[2]Pivot by Consumption year all'!$L$12</f>
        <v>133427900.36171049</v>
      </c>
      <c r="F17" s="17"/>
      <c r="L17" s="2">
        <v>42095</v>
      </c>
      <c r="M17">
        <v>0.030384522872146984</v>
      </c>
      <c r="N17">
        <f>95.59/1000</f>
        <v>0.09559000000000001</v>
      </c>
      <c r="O17">
        <f>+M17+N17</f>
        <v>0.125974522872147</v>
      </c>
    </row>
    <row r="18" spans="1:15" ht="12.75">
      <c r="A18" s="16" t="s">
        <v>47</v>
      </c>
      <c r="B18" s="17"/>
      <c r="C18" s="17"/>
      <c r="D18" s="17">
        <f t="shared" si="1"/>
        <v>888306.9400000001</v>
      </c>
      <c r="E18" s="17">
        <f>+'[2]Pivot by Consumption year all'!$L$13</f>
        <v>857273.6344335071</v>
      </c>
      <c r="F18" s="17"/>
      <c r="H18" s="21">
        <f>+'[4]Summary'!$T$7</f>
        <v>857666192.6423075</v>
      </c>
      <c r="L18" s="3" t="s">
        <v>29</v>
      </c>
      <c r="O18">
        <f>AVERAGE(O2:O17)</f>
        <v>0.09328628845849994</v>
      </c>
    </row>
    <row r="19" spans="1:6" ht="12.75">
      <c r="A19" s="16" t="s">
        <v>48</v>
      </c>
      <c r="B19" s="17"/>
      <c r="C19" s="17"/>
      <c r="D19" s="17">
        <f t="shared" si="1"/>
        <v>0</v>
      </c>
      <c r="E19" s="17">
        <f>+'[2]Pivot by Consumption year all'!$L$15</f>
        <v>0</v>
      </c>
      <c r="F19" s="17"/>
    </row>
    <row r="20" spans="1:6" ht="13.5" thickBot="1">
      <c r="A20" s="38" t="s">
        <v>37</v>
      </c>
      <c r="B20" s="39">
        <f>SUM(B8:B19)</f>
        <v>0</v>
      </c>
      <c r="C20" s="39">
        <f>SUM(C8:C19)</f>
        <v>0</v>
      </c>
      <c r="D20" s="39">
        <f>SUM(D8:D19)</f>
        <v>463198173.5960999</v>
      </c>
      <c r="E20" s="39">
        <f>SUM(E8:E19)</f>
        <v>449758915.145536</v>
      </c>
      <c r="F20" s="17"/>
    </row>
    <row r="21" spans="12:15" ht="14.25" thickBot="1" thickTop="1">
      <c r="L21" s="4" t="s">
        <v>93</v>
      </c>
      <c r="M21" s="5"/>
      <c r="N21" s="5"/>
      <c r="O21" s="6"/>
    </row>
    <row r="22" spans="1:15" ht="51">
      <c r="A22" s="41" t="s">
        <v>102</v>
      </c>
      <c r="B22" s="34">
        <v>2014</v>
      </c>
      <c r="C22" s="34" t="s">
        <v>55</v>
      </c>
      <c r="D22" s="35" t="s">
        <v>56</v>
      </c>
      <c r="E22" s="42" t="s">
        <v>101</v>
      </c>
      <c r="F22" s="48"/>
      <c r="G22" s="49" t="s">
        <v>89</v>
      </c>
      <c r="H22" s="231" t="s">
        <v>137</v>
      </c>
      <c r="I22" s="50" t="s">
        <v>87</v>
      </c>
      <c r="J22" s="51" t="s">
        <v>88</v>
      </c>
      <c r="K22" s="46"/>
      <c r="L22" s="7"/>
      <c r="M22" s="8"/>
      <c r="N22" s="8"/>
      <c r="O22" s="9"/>
    </row>
    <row r="23" spans="1:15" ht="12.75">
      <c r="A23" s="16" t="s">
        <v>5</v>
      </c>
      <c r="B23" s="20">
        <f>+C23+D23</f>
        <v>290591981.8826495</v>
      </c>
      <c r="C23" s="20">
        <f>+E8</f>
        <v>14517546.747732095</v>
      </c>
      <c r="D23" s="21">
        <f>+'[2]Pivot by Consumption year all'!$L$28</f>
        <v>276074435.1349174</v>
      </c>
      <c r="E23" s="21">
        <f>+C23+D23</f>
        <v>290591981.8826495</v>
      </c>
      <c r="F23" s="31" t="s">
        <v>5</v>
      </c>
      <c r="G23" s="22">
        <f aca="true" t="shared" si="2" ref="G23:G29">+C23/B23</f>
        <v>0.04995852484875083</v>
      </c>
      <c r="H23" s="23">
        <f>+'[5]Summary'!$S$12</f>
        <v>305198832.556156</v>
      </c>
      <c r="I23" s="23">
        <f>+H23*G23</f>
        <v>15247283.460066462</v>
      </c>
      <c r="J23" s="24">
        <f>+H23-I23</f>
        <v>289951549.09608954</v>
      </c>
      <c r="K23" s="23"/>
      <c r="L23" s="7" t="s">
        <v>30</v>
      </c>
      <c r="M23" s="8"/>
      <c r="N23" s="8"/>
      <c r="O23" s="10"/>
    </row>
    <row r="24" spans="1:15" ht="12.75">
      <c r="A24" s="16" t="s">
        <v>40</v>
      </c>
      <c r="B24" s="20">
        <f aca="true" t="shared" si="3" ref="B24:B30">+C24+D24</f>
        <v>88384426.89982614</v>
      </c>
      <c r="C24" s="20">
        <f>+E10+E11</f>
        <v>12162265.662999433</v>
      </c>
      <c r="D24" s="21">
        <f>+'[2]Pivot by Consumption year all'!$L$27</f>
        <v>76222161.2368267</v>
      </c>
      <c r="E24" s="21">
        <f aca="true" t="shared" si="4" ref="E24:E30">+C24+D24</f>
        <v>88384426.89982614</v>
      </c>
      <c r="F24" s="31" t="s">
        <v>40</v>
      </c>
      <c r="G24" s="22">
        <f t="shared" si="2"/>
        <v>0.137606432372798</v>
      </c>
      <c r="H24" s="23">
        <f>+'[5]Summary'!$S$16</f>
        <v>89986483.03337984</v>
      </c>
      <c r="I24" s="23">
        <f aca="true" t="shared" si="5" ref="I24:I30">+H24*G24</f>
        <v>12382718.891998716</v>
      </c>
      <c r="J24" s="24">
        <f aca="true" t="shared" si="6" ref="J24:J30">+H24-I24</f>
        <v>77603764.14138111</v>
      </c>
      <c r="K24" s="23"/>
      <c r="L24" s="11" t="s">
        <v>31</v>
      </c>
      <c r="M24" s="12"/>
      <c r="N24" s="12"/>
      <c r="O24" s="13">
        <f>9.496/1000</f>
        <v>0.009496000000000001</v>
      </c>
    </row>
    <row r="25" spans="1:11" ht="12.75">
      <c r="A25" s="16" t="s">
        <v>49</v>
      </c>
      <c r="B25" s="20">
        <f t="shared" si="3"/>
        <v>204924669.47770697</v>
      </c>
      <c r="C25" s="20">
        <f>+E12+E13+E18</f>
        <v>188304344.40532714</v>
      </c>
      <c r="D25" s="21">
        <f>+'[2]Pivot by Consumption year all'!$L$25</f>
        <v>16620325.072379839</v>
      </c>
      <c r="E25" s="21">
        <f t="shared" si="4"/>
        <v>204924669.47770697</v>
      </c>
      <c r="F25" s="31" t="s">
        <v>49</v>
      </c>
      <c r="G25" s="22">
        <f t="shared" si="2"/>
        <v>0.918895440384312</v>
      </c>
      <c r="H25" s="23">
        <f>+'[5]Summary'!$S$20</f>
        <v>202512641.3725119</v>
      </c>
      <c r="I25" s="23">
        <f t="shared" si="5"/>
        <v>186087942.77738458</v>
      </c>
      <c r="J25" s="24">
        <f t="shared" si="6"/>
        <v>16424698.595127314</v>
      </c>
      <c r="K25" s="23"/>
    </row>
    <row r="26" spans="1:11" ht="12.75">
      <c r="A26" s="16" t="s">
        <v>23</v>
      </c>
      <c r="B26" s="20">
        <f t="shared" si="3"/>
        <v>110411189.26481375</v>
      </c>
      <c r="C26" s="20">
        <f>+E14+E15</f>
        <v>94106923.65006757</v>
      </c>
      <c r="D26" s="21">
        <f>+'[2]Pivot by Consumption year all'!$L$26</f>
        <v>16304265.614746185</v>
      </c>
      <c r="E26" s="21">
        <f t="shared" si="4"/>
        <v>110411189.26481375</v>
      </c>
      <c r="F26" s="31" t="s">
        <v>23</v>
      </c>
      <c r="G26" s="22">
        <f t="shared" si="2"/>
        <v>0.8523314011622363</v>
      </c>
      <c r="H26" s="23">
        <f>+'[5]Summary'!$S$25</f>
        <v>113132018.5243982</v>
      </c>
      <c r="I26" s="23">
        <f t="shared" si="5"/>
        <v>96425971.86521238</v>
      </c>
      <c r="J26" s="24">
        <f t="shared" si="6"/>
        <v>16706046.659185812</v>
      </c>
      <c r="K26" s="23"/>
    </row>
    <row r="27" spans="1:15" ht="12.75">
      <c r="A27" s="16" t="s">
        <v>50</v>
      </c>
      <c r="B27" s="20">
        <f t="shared" si="3"/>
        <v>133427900.36171049</v>
      </c>
      <c r="C27" s="20">
        <f>+E17</f>
        <v>133427900.36171049</v>
      </c>
      <c r="D27" s="21">
        <v>0</v>
      </c>
      <c r="E27" s="21">
        <f t="shared" si="4"/>
        <v>133427900.36171049</v>
      </c>
      <c r="F27" s="31" t="s">
        <v>50</v>
      </c>
      <c r="G27" s="22">
        <f t="shared" si="2"/>
        <v>1</v>
      </c>
      <c r="H27" s="23">
        <f>+'[5]Summary'!$S$30</f>
        <v>135925899.16066048</v>
      </c>
      <c r="I27" s="23">
        <f t="shared" si="5"/>
        <v>135925899.16066048</v>
      </c>
      <c r="J27" s="24">
        <f t="shared" si="6"/>
        <v>0</v>
      </c>
      <c r="K27" s="23"/>
      <c r="L27" s="4" t="s">
        <v>92</v>
      </c>
      <c r="M27" s="5"/>
      <c r="N27" s="5"/>
      <c r="O27" s="6"/>
    </row>
    <row r="28" spans="1:15" ht="12.75">
      <c r="A28" s="16" t="s">
        <v>51</v>
      </c>
      <c r="B28" s="20">
        <f t="shared" si="3"/>
        <v>151003</v>
      </c>
      <c r="C28" s="20">
        <f>+E9</f>
        <v>0</v>
      </c>
      <c r="D28" s="21">
        <f>+'[2]Pivot by Consumption year all'!$L$29</f>
        <v>151003</v>
      </c>
      <c r="E28" s="21">
        <f t="shared" si="4"/>
        <v>151003</v>
      </c>
      <c r="F28" s="31" t="s">
        <v>51</v>
      </c>
      <c r="G28" s="22">
        <f t="shared" si="2"/>
        <v>0</v>
      </c>
      <c r="H28" s="23">
        <f>+'[5]Summary'!$S$40</f>
        <v>148333.0585207993</v>
      </c>
      <c r="I28" s="23">
        <f t="shared" si="5"/>
        <v>0</v>
      </c>
      <c r="J28" s="24">
        <f t="shared" si="6"/>
        <v>148333.0585207993</v>
      </c>
      <c r="K28" s="23"/>
      <c r="L28" s="7"/>
      <c r="M28" s="8"/>
      <c r="N28" s="8"/>
      <c r="O28" s="9"/>
    </row>
    <row r="29" spans="1:15" ht="12.75">
      <c r="A29" s="16" t="s">
        <v>52</v>
      </c>
      <c r="B29" s="20">
        <f t="shared" si="3"/>
        <v>7239934.317699286</v>
      </c>
      <c r="C29" s="20">
        <f>+E16</f>
        <v>7239934.317699286</v>
      </c>
      <c r="D29" s="21">
        <f>+'[2]Pivot by Consumption year all'!$L$30</f>
        <v>0</v>
      </c>
      <c r="E29" s="21">
        <f t="shared" si="4"/>
        <v>7239934.317699286</v>
      </c>
      <c r="F29" s="31" t="s">
        <v>52</v>
      </c>
      <c r="G29" s="22">
        <f t="shared" si="2"/>
        <v>1</v>
      </c>
      <c r="H29" s="23">
        <f>+'[5]Summary'!$S$35</f>
        <v>7751250.811508366</v>
      </c>
      <c r="I29" s="23">
        <f t="shared" si="5"/>
        <v>7751250.811508366</v>
      </c>
      <c r="J29" s="24">
        <f t="shared" si="6"/>
        <v>0</v>
      </c>
      <c r="K29" s="23"/>
      <c r="L29" s="7" t="s">
        <v>30</v>
      </c>
      <c r="M29" s="8"/>
      <c r="N29" s="8"/>
      <c r="O29" s="141">
        <f>100.72/1000</f>
        <v>0.10072</v>
      </c>
    </row>
    <row r="30" spans="1:15" ht="12.75">
      <c r="A30" s="16" t="s">
        <v>48</v>
      </c>
      <c r="B30" s="20">
        <f t="shared" si="3"/>
        <v>1339771.015441034</v>
      </c>
      <c r="C30" s="20">
        <f>+E19</f>
        <v>0</v>
      </c>
      <c r="D30" s="21">
        <f>+'[2]Pivot by Consumption year all'!$L$31</f>
        <v>1339771.015441034</v>
      </c>
      <c r="E30" s="21">
        <f t="shared" si="4"/>
        <v>1339771.015441034</v>
      </c>
      <c r="F30" s="31" t="s">
        <v>48</v>
      </c>
      <c r="G30" s="22">
        <v>1</v>
      </c>
      <c r="H30" s="23">
        <f>+'[5]Summary'!$S$45</f>
        <v>1238375.73</v>
      </c>
      <c r="I30" s="23">
        <f t="shared" si="5"/>
        <v>1238375.73</v>
      </c>
      <c r="J30" s="24">
        <f t="shared" si="6"/>
        <v>0</v>
      </c>
      <c r="K30" s="23"/>
      <c r="L30" s="11" t="s">
        <v>31</v>
      </c>
      <c r="M30" s="12"/>
      <c r="N30" s="12"/>
      <c r="O30" s="10">
        <f>10.21/100</f>
        <v>0.10210000000000001</v>
      </c>
    </row>
    <row r="31" spans="2:15" ht="13.5" thickBot="1">
      <c r="B31" s="43">
        <f>SUM(B23:B30)</f>
        <v>836470876.2198472</v>
      </c>
      <c r="C31" s="44">
        <f>SUM(C23:C30)</f>
        <v>449758915.145536</v>
      </c>
      <c r="D31" s="36">
        <f>SUM(D23:D30)</f>
        <v>386711961.0743112</v>
      </c>
      <c r="E31" s="45">
        <f>SUM(E23:E30)</f>
        <v>836470876.2198472</v>
      </c>
      <c r="F31" s="32"/>
      <c r="G31" s="25"/>
      <c r="H31" s="134">
        <f>SUM(H23:H30)</f>
        <v>855893834.2471356</v>
      </c>
      <c r="I31" s="36">
        <f>SUM(I23:I30)</f>
        <v>455059442.69683105</v>
      </c>
      <c r="J31" s="37">
        <f>SUM(J23:J30)</f>
        <v>400834391.5503046</v>
      </c>
      <c r="K31" s="47"/>
      <c r="L31" s="4"/>
      <c r="M31" s="5"/>
      <c r="N31" s="5"/>
      <c r="O31" s="6"/>
    </row>
    <row r="32" spans="6:15" ht="13.5" thickTop="1">
      <c r="F32" s="33"/>
      <c r="G32" s="26"/>
      <c r="H32" s="26"/>
      <c r="I32" s="26"/>
      <c r="J32" s="27"/>
      <c r="K32" s="26"/>
      <c r="L32" s="7"/>
      <c r="M32" s="8"/>
      <c r="N32" s="8"/>
      <c r="O32" s="9"/>
    </row>
    <row r="33" spans="6:11" ht="51">
      <c r="F33" s="52"/>
      <c r="G33" s="53" t="s">
        <v>89</v>
      </c>
      <c r="H33" s="53" t="s">
        <v>138</v>
      </c>
      <c r="I33" s="54" t="s">
        <v>90</v>
      </c>
      <c r="J33" s="55" t="s">
        <v>91</v>
      </c>
      <c r="K33" s="46"/>
    </row>
    <row r="34" spans="1:15" ht="12.75">
      <c r="A34" s="14" t="s">
        <v>85</v>
      </c>
      <c r="B34" s="133">
        <f>+H31</f>
        <v>855893834.2471356</v>
      </c>
      <c r="C34" s="14"/>
      <c r="F34" s="31" t="s">
        <v>5</v>
      </c>
      <c r="G34" s="28">
        <f>+G23</f>
        <v>0.04995852484875083</v>
      </c>
      <c r="H34" s="23">
        <f>+'[5]Summary'!$T$12</f>
        <v>311504507.1056592</v>
      </c>
      <c r="I34" s="23">
        <f>+G34*H34</f>
        <v>15562305.658735953</v>
      </c>
      <c r="J34" s="24">
        <f>+H34-I34</f>
        <v>295942201.44692326</v>
      </c>
      <c r="K34" s="23"/>
      <c r="L34" s="4" t="s">
        <v>94</v>
      </c>
      <c r="M34" s="5"/>
      <c r="N34" s="5"/>
      <c r="O34" s="6"/>
    </row>
    <row r="35" spans="1:15" ht="12.75">
      <c r="A35" s="14" t="s">
        <v>86</v>
      </c>
      <c r="B35" s="133">
        <f>+H42</f>
        <v>871840466.1865236</v>
      </c>
      <c r="C35" s="14"/>
      <c r="F35" s="31" t="s">
        <v>40</v>
      </c>
      <c r="G35" s="28">
        <f aca="true" t="shared" si="7" ref="G35:G41">+G24</f>
        <v>0.137606432372798</v>
      </c>
      <c r="H35" s="23">
        <f>+'[5]Summary'!$T$16</f>
        <v>91412831.73008005</v>
      </c>
      <c r="I35" s="23">
        <f aca="true" t="shared" si="8" ref="I35:I41">+G35*H35</f>
        <v>12578993.647471223</v>
      </c>
      <c r="J35" s="24">
        <f aca="true" t="shared" si="9" ref="J35:J41">+H35-I35</f>
        <v>78833838.08260883</v>
      </c>
      <c r="K35" s="23"/>
      <c r="L35" s="7"/>
      <c r="M35" s="8"/>
      <c r="N35" s="8"/>
      <c r="O35" s="9"/>
    </row>
    <row r="36" spans="6:15" ht="12.75">
      <c r="F36" s="31" t="s">
        <v>49</v>
      </c>
      <c r="G36" s="28">
        <f t="shared" si="7"/>
        <v>0.918895440384312</v>
      </c>
      <c r="H36" s="23">
        <f>+'[5]Summary'!$T$20</f>
        <v>206918158.48785442</v>
      </c>
      <c r="I36" s="23">
        <f t="shared" si="8"/>
        <v>190136152.36720785</v>
      </c>
      <c r="J36" s="24">
        <f t="shared" si="9"/>
        <v>16782006.120646566</v>
      </c>
      <c r="K36" s="23"/>
      <c r="L36" s="7" t="s">
        <v>30</v>
      </c>
      <c r="M36" s="8"/>
      <c r="N36" s="8"/>
      <c r="O36" s="13">
        <f>+(106.74)/1000</f>
        <v>0.10674</v>
      </c>
    </row>
    <row r="37" spans="6:15" ht="12.75">
      <c r="F37" s="31" t="s">
        <v>23</v>
      </c>
      <c r="G37" s="28">
        <f t="shared" si="7"/>
        <v>0.8523314011622363</v>
      </c>
      <c r="H37" s="23">
        <f>+'[5]Summary'!$T$25</f>
        <v>116570267.303496</v>
      </c>
      <c r="I37" s="23">
        <f t="shared" si="8"/>
        <v>99356499.26464516</v>
      </c>
      <c r="J37" s="24">
        <f t="shared" si="9"/>
        <v>17213768.038850844</v>
      </c>
      <c r="K37" s="23"/>
      <c r="L37" s="132" t="s">
        <v>82</v>
      </c>
      <c r="M37" s="12"/>
      <c r="N37" s="12"/>
      <c r="O37" s="13">
        <f>+(107.28)/1000</f>
        <v>0.10728</v>
      </c>
    </row>
    <row r="38" spans="6:11" ht="12.75">
      <c r="F38" s="31" t="s">
        <v>50</v>
      </c>
      <c r="G38" s="28">
        <f t="shared" si="7"/>
        <v>1</v>
      </c>
      <c r="H38" s="23">
        <f>+'[5]Summary'!$T$30</f>
        <v>135893889.41732097</v>
      </c>
      <c r="I38" s="23">
        <f t="shared" si="8"/>
        <v>135893889.41732097</v>
      </c>
      <c r="J38" s="24">
        <f t="shared" si="9"/>
        <v>0</v>
      </c>
      <c r="K38" s="23"/>
    </row>
    <row r="39" spans="6:11" ht="12.75">
      <c r="F39" s="31" t="s">
        <v>51</v>
      </c>
      <c r="G39" s="28">
        <f t="shared" si="7"/>
        <v>0</v>
      </c>
      <c r="H39" s="23">
        <f>+'[5]Summary'!$T$40</f>
        <v>145710.64372659678</v>
      </c>
      <c r="I39" s="23">
        <f t="shared" si="8"/>
        <v>0</v>
      </c>
      <c r="J39" s="24">
        <f t="shared" si="9"/>
        <v>145710.64372659678</v>
      </c>
      <c r="K39" s="23"/>
    </row>
    <row r="40" spans="6:11" ht="12.75">
      <c r="F40" s="31" t="s">
        <v>52</v>
      </c>
      <c r="G40" s="28">
        <f t="shared" si="7"/>
        <v>1</v>
      </c>
      <c r="H40" s="23">
        <f>+'[5]Summary'!$T$35</f>
        <v>8298678.76838638</v>
      </c>
      <c r="I40" s="23">
        <f t="shared" si="8"/>
        <v>8298678.76838638</v>
      </c>
      <c r="J40" s="24">
        <f t="shared" si="9"/>
        <v>0</v>
      </c>
      <c r="K40" s="23"/>
    </row>
    <row r="41" spans="6:11" ht="12.75">
      <c r="F41" s="31" t="s">
        <v>48</v>
      </c>
      <c r="G41" s="28">
        <f t="shared" si="7"/>
        <v>1</v>
      </c>
      <c r="H41" s="23">
        <f>+'[5]Summary'!$T$45</f>
        <v>1096422.73</v>
      </c>
      <c r="I41" s="23">
        <f t="shared" si="8"/>
        <v>1096422.73</v>
      </c>
      <c r="J41" s="24">
        <f t="shared" si="9"/>
        <v>0</v>
      </c>
      <c r="K41" s="23"/>
    </row>
    <row r="42" spans="6:11" ht="13.5" thickBot="1">
      <c r="F42" s="29"/>
      <c r="G42" s="30"/>
      <c r="H42" s="134">
        <f>SUM(H34:H41)</f>
        <v>871840466.1865236</v>
      </c>
      <c r="I42" s="36">
        <f>SUM(I34:I41)</f>
        <v>462922941.8537675</v>
      </c>
      <c r="J42" s="37">
        <f>SUM(J34:J41)</f>
        <v>408917524.3327561</v>
      </c>
      <c r="K42" s="47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2.421875" style="0" customWidth="1"/>
    <col min="3" max="3" width="12.57421875" style="0" customWidth="1"/>
  </cols>
  <sheetData>
    <row r="1" spans="1:3" ht="15.75">
      <c r="A1" s="284" t="s">
        <v>125</v>
      </c>
      <c r="B1" s="284"/>
      <c r="C1" s="284"/>
    </row>
    <row r="2" spans="1:3" ht="12.75">
      <c r="A2" s="285" t="s">
        <v>113</v>
      </c>
      <c r="B2" s="285"/>
      <c r="C2" s="214"/>
    </row>
    <row r="3" spans="1:3" ht="12.75">
      <c r="A3" s="274" t="s">
        <v>114</v>
      </c>
      <c r="B3" s="274"/>
      <c r="C3" s="215"/>
    </row>
    <row r="4" spans="1:3" ht="12.75">
      <c r="A4" s="274" t="s">
        <v>115</v>
      </c>
      <c r="B4" s="274"/>
      <c r="C4" s="215"/>
    </row>
    <row r="5" spans="1:3" ht="12.75">
      <c r="A5" s="274" t="s">
        <v>116</v>
      </c>
      <c r="B5" s="274"/>
      <c r="C5" s="215"/>
    </row>
    <row r="6" spans="1:3" ht="12.75">
      <c r="A6" s="274" t="s">
        <v>117</v>
      </c>
      <c r="B6" s="274"/>
      <c r="C6" s="215"/>
    </row>
    <row r="7" spans="1:3" ht="12.75">
      <c r="A7" s="276" t="s">
        <v>118</v>
      </c>
      <c r="B7" s="276"/>
      <c r="C7" s="215"/>
    </row>
    <row r="8" spans="1:3" ht="12.75">
      <c r="A8" s="276" t="s">
        <v>119</v>
      </c>
      <c r="B8" s="276"/>
      <c r="C8" s="215"/>
    </row>
    <row r="9" spans="1:3" ht="12.75">
      <c r="A9" s="277" t="s">
        <v>120</v>
      </c>
      <c r="B9" s="278"/>
      <c r="C9" s="216">
        <f>-C8</f>
        <v>0</v>
      </c>
    </row>
    <row r="10" spans="1:3" ht="12.75">
      <c r="A10" s="279" t="s">
        <v>121</v>
      </c>
      <c r="B10" s="280"/>
      <c r="C10" s="217">
        <f>SUM(C3:C8)-C9</f>
        <v>0</v>
      </c>
    </row>
    <row r="11" spans="1:3" ht="12.75">
      <c r="A11" s="281" t="s">
        <v>122</v>
      </c>
      <c r="B11" s="282"/>
      <c r="C11" s="215">
        <f>+'COP Forecast 2016 using % alloc'!F83</f>
        <v>113559514.44347686</v>
      </c>
    </row>
    <row r="12" spans="1:3" ht="12.75">
      <c r="A12" s="271" t="s">
        <v>123</v>
      </c>
      <c r="B12" s="283"/>
      <c r="C12" s="215">
        <f>C10+C11</f>
        <v>113559514.44347686</v>
      </c>
    </row>
    <row r="13" spans="1:3" ht="13.5" thickBot="1">
      <c r="A13" s="271"/>
      <c r="B13" s="272"/>
      <c r="C13" s="273"/>
    </row>
    <row r="14" spans="1:3" ht="13.5" thickBot="1">
      <c r="A14" s="274" t="s">
        <v>124</v>
      </c>
      <c r="B14" s="275"/>
      <c r="C14" s="218">
        <f>C12*0.075</f>
        <v>8516963.583260763</v>
      </c>
    </row>
  </sheetData>
  <sheetProtection/>
  <mergeCells count="14">
    <mergeCell ref="A1:C1"/>
    <mergeCell ref="A2:B2"/>
    <mergeCell ref="A3:B3"/>
    <mergeCell ref="A4:B4"/>
    <mergeCell ref="A5:B5"/>
    <mergeCell ref="A6:B6"/>
    <mergeCell ref="A13:C13"/>
    <mergeCell ref="A14:B14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4.8515625" style="0" customWidth="1"/>
  </cols>
  <sheetData>
    <row r="1" spans="1:3" ht="12.75">
      <c r="A1" s="286" t="s">
        <v>134</v>
      </c>
      <c r="B1" s="286"/>
      <c r="C1" s="286"/>
    </row>
    <row r="2" spans="1:3" ht="13.5" thickBot="1">
      <c r="A2" s="286" t="s">
        <v>57</v>
      </c>
      <c r="B2" s="286"/>
      <c r="C2" s="286"/>
    </row>
    <row r="3" spans="1:3" ht="38.25">
      <c r="A3" s="224"/>
      <c r="B3" s="219" t="s">
        <v>132</v>
      </c>
      <c r="C3" s="220" t="s">
        <v>133</v>
      </c>
    </row>
    <row r="4" spans="1:3" ht="12.75">
      <c r="A4" s="221" t="s">
        <v>126</v>
      </c>
      <c r="B4" s="222">
        <v>89750348</v>
      </c>
      <c r="C4" s="225">
        <f>+'COP Forecast 2016 using % alloc'!B87</f>
        <v>96458249.2894934</v>
      </c>
    </row>
    <row r="5" spans="1:3" ht="12.75">
      <c r="A5" s="221" t="s">
        <v>127</v>
      </c>
      <c r="B5" s="222">
        <f>3895380+1150908</f>
        <v>5046288</v>
      </c>
      <c r="C5" s="225">
        <f>+'COP Forecast 2016 using % alloc'!B88+'COP Forecast 2016 using % alloc'!B91</f>
        <v>5409171.065007644</v>
      </c>
    </row>
    <row r="6" spans="1:3" ht="12.75">
      <c r="A6" s="221" t="s">
        <v>128</v>
      </c>
      <c r="B6" s="222">
        <f>6047707-1</f>
        <v>6047706</v>
      </c>
      <c r="C6" s="225">
        <f>+'COP Forecast 2016 using % alloc'!B89</f>
        <v>6060183.857067423</v>
      </c>
    </row>
    <row r="7" spans="1:3" ht="12.75">
      <c r="A7" s="221" t="s">
        <v>129</v>
      </c>
      <c r="B7" s="223">
        <v>4740133</v>
      </c>
      <c r="C7" s="226">
        <f>+'COP Forecast 2016 using % alloc'!B90</f>
        <v>4750217.573906505</v>
      </c>
    </row>
    <row r="8" spans="1:3" ht="12.75">
      <c r="A8" s="221" t="s">
        <v>130</v>
      </c>
      <c r="B8" s="223">
        <v>535000</v>
      </c>
      <c r="C8" s="226">
        <f>+'COP Forecast 2016 using % alloc'!B92</f>
        <v>535000</v>
      </c>
    </row>
    <row r="9" spans="1:3" ht="12.75">
      <c r="A9" s="221" t="s">
        <v>131</v>
      </c>
      <c r="B9" s="223">
        <v>346693</v>
      </c>
      <c r="C9" s="226">
        <f>+'COP Forecast 2016 using % alloc'!B93</f>
        <v>346692.65800188994</v>
      </c>
    </row>
    <row r="10" spans="1:3" ht="13.5" thickBot="1">
      <c r="A10" s="228" t="s">
        <v>107</v>
      </c>
      <c r="B10" s="229">
        <f>SUM(B4:B9)</f>
        <v>106466168</v>
      </c>
      <c r="C10" s="230">
        <f>SUM(C4:C9)</f>
        <v>113559514.44347686</v>
      </c>
    </row>
    <row r="13" ht="12.75">
      <c r="A13" s="14" t="s">
        <v>135</v>
      </c>
    </row>
    <row r="14" ht="12.75">
      <c r="A14" s="227" t="s">
        <v>136</v>
      </c>
    </row>
    <row r="17" ht="12.75">
      <c r="C17" s="14"/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Tyers</dc:creator>
  <cp:keywords/>
  <dc:description/>
  <cp:lastModifiedBy>Cameron McKenzie</cp:lastModifiedBy>
  <cp:lastPrinted>2015-12-16T17:47:56Z</cp:lastPrinted>
  <dcterms:created xsi:type="dcterms:W3CDTF">2007-11-22T16:04:55Z</dcterms:created>
  <dcterms:modified xsi:type="dcterms:W3CDTF">2016-02-09T16:24:40Z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