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40" windowHeight="7110" tabRatio="831" firstSheet="1" activeTab="1"/>
  </bookViews>
  <sheets>
    <sheet name="ScaInit" sheetId="1" state="hidden" r:id="rId1"/>
    <sheet name="Summary" sheetId="2" r:id="rId2"/>
    <sheet name="Residential" sheetId="3" r:id="rId3"/>
    <sheet name="GS &lt; 50 kW" sheetId="4" r:id="rId4"/>
    <sheet name="GS &gt; 50 kW" sheetId="5" r:id="rId5"/>
    <sheet name="Rate Class Energy Model" sheetId="6" r:id="rId6"/>
    <sheet name="Rate Class Customer Model" sheetId="7" r:id="rId7"/>
    <sheet name="Rate Class Load Model" sheetId="8" r:id="rId8"/>
  </sheets>
  <externalReferences>
    <externalReference r:id="rId11"/>
    <externalReference r:id="rId12"/>
    <externalReference r:id="rId13"/>
  </externalReferences>
  <definedNames>
    <definedName name="_Order1" hidden="1">255</definedName>
    <definedName name="_Sort" hidden="1">'[1]Sheet1'!$G$40:$K$40</definedName>
    <definedName name="PAGE11">#REF!</definedName>
    <definedName name="PAGE2">'[1]Sheet1'!$A$1:$I$40</definedName>
    <definedName name="PAGE3">#REF!</definedName>
    <definedName name="PAGE4">#REF!</definedName>
    <definedName name="PAGE7">#REF!</definedName>
    <definedName name="PAGE9">#REF!</definedName>
    <definedName name="_xlnm.Print_Area" localSheetId="3">'GS &lt; 50 kW'!$L$168:$N$219</definedName>
    <definedName name="_xlnm.Print_Area" localSheetId="4">'GS &gt; 50 kW'!$M$168:$O$219</definedName>
    <definedName name="_xlnm.Print_Area" localSheetId="6">'Rate Class Customer Model'!$A$1:$M$50</definedName>
    <definedName name="_xlnm.Print_Area" localSheetId="5">'Rate Class Energy Model'!$A$1:$S$78</definedName>
    <definedName name="_xlnm.Print_Area" localSheetId="7">'Rate Class Load Model'!$A$1:$H$45</definedName>
    <definedName name="_xlnm.Print_Area" localSheetId="2">'Residential'!$L$168:$N$219</definedName>
    <definedName name="_xlnm.Print_Area" localSheetId="1">'Summary'!$A$1:$T$64</definedName>
    <definedName name="Res_X">'Residential'!$C$2:$E$110</definedName>
    <definedName name="res_y">'Residential'!$B$3:$B$110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<sst xmlns="http://schemas.openxmlformats.org/spreadsheetml/2006/main" count="378" uniqueCount="176">
  <si>
    <t>Loss Factor</t>
  </si>
  <si>
    <t>Heating Degree Days</t>
  </si>
  <si>
    <t>Cooling Degree Days</t>
  </si>
  <si>
    <t>Number of Days in Month</t>
  </si>
  <si>
    <t>Number of Peak Hours</t>
  </si>
  <si>
    <t>% Difference</t>
  </si>
  <si>
    <t>Total</t>
  </si>
  <si>
    <t>Variances (kWh)</t>
  </si>
  <si>
    <t>% Variance</t>
  </si>
  <si>
    <t>Average</t>
  </si>
  <si>
    <t xml:space="preserve">Geomean </t>
  </si>
  <si>
    <t>Usage Per Customer</t>
  </si>
  <si>
    <t>Weather Sensitive Adjustment %</t>
  </si>
  <si>
    <t>Weather Sensitive Energy</t>
  </si>
  <si>
    <t>Weather Sensitvie Adjustment</t>
  </si>
  <si>
    <t>Weather Normal Forecast</t>
  </si>
  <si>
    <t>Check</t>
  </si>
  <si>
    <t>Weather Sensitvie Adjustment%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</si>
  <si>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</si>
  <si>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</si>
  <si>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</si>
  <si>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</si>
  <si>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</si>
  <si>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</si>
  <si>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</si>
  <si>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</si>
  <si>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</si>
  <si>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</si>
  <si>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</si>
  <si>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</si>
  <si>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</si>
  <si>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</si>
  <si>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</si>
  <si>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</si>
  <si>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</si>
  <si>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</si>
  <si>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</si>
  <si>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</si>
  <si>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</si>
  <si>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</si>
  <si>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</si>
  <si>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</si>
  <si>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</si>
  <si>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</si>
  <si>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</si>
  <si>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</si>
  <si>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</si>
  <si>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</si>
  <si>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</si>
  <si>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</si>
  <si>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</si>
  <si>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</si>
  <si>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</si>
  <si>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2001 Actual </t>
  </si>
  <si>
    <t xml:space="preserve">2002 Actual 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</si>
  <si>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</si>
  <si>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</si>
  <si>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</si>
  <si>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</si>
  <si>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</si>
  <si>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</si>
  <si>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</si>
  <si>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</si>
  <si>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</si>
  <si>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</si>
  <si>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</si>
  <si>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</si>
  <si>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</si>
  <si>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Check totals above sould be zero</t>
  </si>
  <si>
    <t>2008 Actual</t>
  </si>
  <si>
    <t>Number of Customers</t>
  </si>
  <si>
    <t>Billed</t>
  </si>
  <si>
    <t>Weather Normal</t>
  </si>
  <si>
    <t xml:space="preserve">2009 Actual </t>
  </si>
  <si>
    <t xml:space="preserve">  Connections</t>
  </si>
  <si>
    <t>Total of Above</t>
  </si>
  <si>
    <t>Total from Model</t>
  </si>
  <si>
    <t>Check should all be zero</t>
  </si>
  <si>
    <t>Large User &gt; 4999 kW</t>
  </si>
  <si>
    <t xml:space="preserve">Residential </t>
  </si>
  <si>
    <t xml:space="preserve">Streetlights </t>
  </si>
  <si>
    <t>Sentinel Lights</t>
  </si>
  <si>
    <t xml:space="preserve">Unmetered Loads </t>
  </si>
  <si>
    <t>Modeled Billed</t>
  </si>
  <si>
    <t>General Service &gt; 50 to 999 kW</t>
  </si>
  <si>
    <t>General Service &gt; 1000 to 4999 kW</t>
  </si>
  <si>
    <t>10 Yr Avge</t>
  </si>
  <si>
    <t>2010 Bridge Year Weather Normal</t>
  </si>
  <si>
    <t>2011 Test Year Weather Normal</t>
  </si>
  <si>
    <t>Not Used</t>
  </si>
  <si>
    <t>Individual weather normalized regression model has been run for each individual customer class except SL, Sent L, UMS</t>
  </si>
  <si>
    <t>Predicted Consumption</t>
  </si>
  <si>
    <t>Actual and Modeled Used</t>
  </si>
  <si>
    <t>na</t>
  </si>
  <si>
    <t>Weather Corrected  Usage/Customer kWh</t>
  </si>
  <si>
    <t>Weather Corrected  Usage/Customer kW</t>
  </si>
  <si>
    <t>Total Metered</t>
  </si>
  <si>
    <t>Only Used this Geomean calc for GS 1000-4999, Large User, Street Light, Sent Light &amp;unmetered kWh</t>
  </si>
  <si>
    <t>Average customers/connections</t>
  </si>
  <si>
    <t>Description</t>
  </si>
  <si>
    <r>
      <t xml:space="preserve">General Service </t>
    </r>
    <r>
      <rPr>
        <b/>
        <u val="single"/>
        <sz val="10"/>
        <rFont val="Arial"/>
        <family val="2"/>
      </rPr>
      <t>&lt; 50 kW</t>
    </r>
  </si>
  <si>
    <t>Residential forecast</t>
  </si>
  <si>
    <t>General Service &lt; 50 kW</t>
  </si>
  <si>
    <t>General Service &gt; 50 - 999 kW</t>
  </si>
  <si>
    <t xml:space="preserve">2010 Actual </t>
  </si>
  <si>
    <t xml:space="preserve">2011 Actual </t>
  </si>
  <si>
    <t xml:space="preserve">2012 Actual </t>
  </si>
  <si>
    <t xml:space="preserve">2013 Actual </t>
  </si>
  <si>
    <t>Total to 2013</t>
  </si>
  <si>
    <t>See individual models for each class 2015</t>
  </si>
  <si>
    <t xml:space="preserve">2014 Actual </t>
  </si>
  <si>
    <t>2015 Bridge Year Weather Normal</t>
  </si>
  <si>
    <t>2016 Test Year Weather Normal</t>
  </si>
  <si>
    <t>Milton Hydro Weather Normal Customer Class Load Forecast for 2016 Rate Application</t>
  </si>
  <si>
    <t>Total to 2016</t>
  </si>
  <si>
    <t>Used Milton Hydro's Customer #'s for 2015 &amp; 2016</t>
  </si>
  <si>
    <t>adjusted for re-class to Large User for one full year.</t>
  </si>
  <si>
    <t>See individual models for each class 2016</t>
  </si>
  <si>
    <t>used 1.0000 for each - no growth</t>
  </si>
  <si>
    <t>Dec. count from Rate Class Customer Model tab - back up count to Jan</t>
  </si>
  <si>
    <t>Actual</t>
  </si>
  <si>
    <t>Average metered customers</t>
  </si>
  <si>
    <t>CDM Related Savings</t>
  </si>
  <si>
    <t>OPA kWh Net Savings Persistence</t>
  </si>
  <si>
    <t>OPA kWh Annual Net Savings</t>
  </si>
  <si>
    <t>50% of Annual Net Savings</t>
  </si>
  <si>
    <t>OPA kWh Net Savings With First Year 50%</t>
  </si>
  <si>
    <t>Change Year Over Year</t>
  </si>
  <si>
    <t>Monthly Increment (Year/78)</t>
  </si>
  <si>
    <t>Residential</t>
  </si>
  <si>
    <t>2005 to 2016 CDM Savings with Persistence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</si>
  <si>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</si>
  <si>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</si>
  <si>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</si>
  <si>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</si>
  <si>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</si>
  <si>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</si>
  <si>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</si>
  <si>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</si>
  <si>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</si>
  <si>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</si>
  <si>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</si>
  <si>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</si>
  <si>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Predicted Consumpiton Adjusted for 2015 - 2020 CDM Plans</t>
  </si>
  <si>
    <t>CDM Reduction for 2015 - 2020 Programs</t>
  </si>
  <si>
    <t>General Service 50 - 999 kW</t>
  </si>
  <si>
    <t>average for 2013 &amp; 2014 only</t>
  </si>
  <si>
    <t>Blackout Flag</t>
  </si>
  <si>
    <t>Target Gone - Replaced by Lowes</t>
  </si>
  <si>
    <t>Unmetered</t>
  </si>
  <si>
    <t xml:space="preserve">Cogeco </t>
  </si>
  <si>
    <t>Connections</t>
  </si>
  <si>
    <t>kWh</t>
  </si>
  <si>
    <t>Monthly Change in</t>
  </si>
  <si>
    <t>Bell</t>
  </si>
  <si>
    <t>Kelsey's</t>
  </si>
  <si>
    <t>Town Flashers</t>
  </si>
  <si>
    <t>Misc from Audit</t>
  </si>
  <si>
    <t>5 months</t>
  </si>
  <si>
    <t>Full Year</t>
  </si>
  <si>
    <t>per month</t>
  </si>
  <si>
    <r>
      <t xml:space="preserve">General Service </t>
    </r>
    <r>
      <rPr>
        <b/>
        <u val="single"/>
        <sz val="10"/>
        <rFont val="Arial"/>
        <family val="2"/>
      </rPr>
      <t>1000 to 4999 kW</t>
    </r>
  </si>
  <si>
    <r>
      <t xml:space="preserve">General Service </t>
    </r>
    <r>
      <rPr>
        <b/>
        <u val="single"/>
        <sz val="10"/>
        <rFont val="Arial"/>
        <family val="2"/>
      </rPr>
      <t xml:space="preserve"> 50 to 999 kW</t>
    </r>
  </si>
  <si>
    <t>Large User</t>
  </si>
  <si>
    <r>
      <t xml:space="preserve">General Service </t>
    </r>
    <r>
      <rPr>
        <b/>
        <u val="single"/>
        <sz val="10"/>
        <rFont val="Arial"/>
        <family val="2"/>
      </rPr>
      <t>50 to 999 kW</t>
    </r>
  </si>
  <si>
    <t>General Service 1000 to 4999 kW</t>
  </si>
  <si>
    <t>*** 1/2 of 2016 persistence</t>
  </si>
  <si>
    <t>Adjusted for CDM</t>
  </si>
  <si>
    <t>Actuals to October</t>
  </si>
  <si>
    <t>Actual to Oct</t>
  </si>
  <si>
    <t>Act. To Oct</t>
  </si>
  <si>
    <t>June 2015 one new customer, prorated customer count for 7/12ths to give 12.58 count &amp; kWh from DRC file</t>
  </si>
  <si>
    <t>CDM Adj. see: CDM folder CDM_2006_2014 calcs Final_EXHIBIT_Tables</t>
  </si>
  <si>
    <t>Actual to October 2015 X 12/10</t>
  </si>
  <si>
    <t>CDM Captured in 2015 Actual Consumption</t>
  </si>
  <si>
    <t>Recovered to October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</si>
</sst>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;\(#,##0\)"/>
    <numFmt numFmtId="174" formatCode="0.0000"/>
    <numFmt numFmtId="175" formatCode="#,##0.0000"/>
    <numFmt numFmtId="176" formatCode="0.0000%"/>
    <numFmt numFmtId="177" formatCode="_(* #,##0_);_(* \(#,##0\);_(* &quot;-&quot;??_);_(@_)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"/>
    <numFmt numFmtId="184" formatCode="#,##0.0"/>
    <numFmt numFmtId="185" formatCode="#,##0.000"/>
    <numFmt numFmtId="186" formatCode="#,##0.00000"/>
    <numFmt numFmtId="187" formatCode="#,##0.000000"/>
    <numFmt numFmtId="188" formatCode="#,##0.0000000"/>
    <numFmt numFmtId="189" formatCode="#,##0.00000000"/>
    <numFmt numFmtId="190" formatCode="#,##0.0;\(#,##0.0\)"/>
    <numFmt numFmtId="191" formatCode="#,##0.00;\(#,##0.00\)"/>
    <numFmt numFmtId="192" formatCode="#,##0.000000000"/>
    <numFmt numFmtId="193" formatCode="#,##0.0000000000"/>
    <numFmt numFmtId="194" formatCode="_(* #,##0.0_);_(* \(#,##0.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;\-#,##0.0"/>
    <numFmt numFmtId="200" formatCode="_-* #,##0.0_-;\-* #,##0.0_-;_-* &quot;-&quot;?_-;_-@_-"/>
    <numFmt numFmtId="201" formatCode="_-* #,##0.0_-;\-* #,##0.0_-;_-* &quot;-&quot;??_-;_-@_-"/>
    <numFmt numFmtId="202" formatCode="_-* #,##0_-;\-* #,##0_-;_-* &quot;-&quot;??_-;_-@_-"/>
    <numFmt numFmtId="203" formatCode="_-&quot;$&quot;* #,##0_-;\-&quot;$&quot;* #,##0_-;_-&quot;$&quot;* &quot;-&quot;??_-;_-@_-"/>
    <numFmt numFmtId="204" formatCode="#,##0_ ;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7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42" applyNumberForma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Alignment="1">
      <alignment horizontal="center" wrapText="1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37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/>
    </xf>
    <xf numFmtId="10" fontId="0" fillId="34" borderId="0" xfId="0" applyNumberForma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0" fontId="0" fillId="0" borderId="0" xfId="59" applyNumberFormat="1" applyFont="1" applyFill="1" applyAlignment="1">
      <alignment horizontal="center" wrapText="1"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7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 horizontal="center"/>
    </xf>
    <xf numFmtId="37" fontId="0" fillId="0" borderId="0" xfId="0" applyNumberFormat="1" applyFont="1" applyAlignment="1">
      <alignment horizontal="center" wrapText="1"/>
    </xf>
    <xf numFmtId="10" fontId="0" fillId="0" borderId="0" xfId="59" applyNumberFormat="1" applyFont="1" applyAlignment="1">
      <alignment horizontal="center"/>
    </xf>
    <xf numFmtId="3" fontId="0" fillId="0" borderId="0" xfId="0" applyNumberFormat="1" applyFont="1" applyAlignment="1" quotePrefix="1">
      <alignment horizontal="center"/>
    </xf>
    <xf numFmtId="0" fontId="0" fillId="33" borderId="0" xfId="0" applyFont="1" applyFill="1" applyAlignment="1">
      <alignment horizontal="center"/>
    </xf>
    <xf numFmtId="175" fontId="3" fillId="35" borderId="0" xfId="0" applyNumberFormat="1" applyFont="1" applyFill="1" applyAlignment="1">
      <alignment horizontal="center" wrapText="1"/>
    </xf>
    <xf numFmtId="3" fontId="0" fillId="36" borderId="0" xfId="0" applyNumberFormat="1" applyFill="1" applyAlignment="1">
      <alignment horizontal="center"/>
    </xf>
    <xf numFmtId="3" fontId="8" fillId="3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7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9" fillId="25" borderId="0" xfId="0" applyNumberFormat="1" applyFont="1" applyFill="1" applyAlignment="1">
      <alignment horizontal="center"/>
    </xf>
    <xf numFmtId="173" fontId="9" fillId="25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/>
    </xf>
    <xf numFmtId="0" fontId="9" fillId="25" borderId="0" xfId="0" applyFont="1" applyFill="1" applyAlignment="1">
      <alignment/>
    </xf>
    <xf numFmtId="3" fontId="0" fillId="25" borderId="0" xfId="0" applyNumberFormat="1" applyFill="1" applyAlignment="1">
      <alignment horizontal="center"/>
    </xf>
    <xf numFmtId="185" fontId="0" fillId="0" borderId="0" xfId="0" applyNumberFormat="1" applyAlignment="1">
      <alignment horizontal="center"/>
    </xf>
    <xf numFmtId="3" fontId="3" fillId="0" borderId="0" xfId="0" applyNumberFormat="1" applyFont="1" applyFill="1" applyAlignment="1">
      <alignment/>
    </xf>
    <xf numFmtId="3" fontId="3" fillId="36" borderId="0" xfId="42" applyNumberFormat="1" applyFont="1" applyFill="1" applyAlignment="1">
      <alignment/>
    </xf>
    <xf numFmtId="3" fontId="3" fillId="0" borderId="0" xfId="42" applyNumberFormat="1" applyFont="1" applyFill="1" applyAlignment="1">
      <alignment/>
    </xf>
    <xf numFmtId="3" fontId="0" fillId="36" borderId="0" xfId="0" applyNumberFormat="1" applyFont="1" applyFill="1" applyAlignment="1">
      <alignment horizontal="center"/>
    </xf>
    <xf numFmtId="184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3" fillId="25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77" fontId="0" fillId="0" borderId="0" xfId="42" applyNumberFormat="1" applyFont="1" applyAlignment="1">
      <alignment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wrapText="1"/>
    </xf>
    <xf numFmtId="3" fontId="7" fillId="25" borderId="0" xfId="0" applyNumberFormat="1" applyFont="1" applyFill="1" applyAlignment="1">
      <alignment horizontal="center"/>
    </xf>
    <xf numFmtId="3" fontId="3" fillId="25" borderId="0" xfId="0" applyNumberFormat="1" applyFont="1" applyFill="1" applyAlignment="1">
      <alignment horizontal="center" wrapText="1"/>
    </xf>
    <xf numFmtId="3" fontId="7" fillId="25" borderId="0" xfId="0" applyNumberFormat="1" applyFont="1" applyFill="1" applyAlignment="1">
      <alignment horizontal="center" wrapText="1"/>
    </xf>
    <xf numFmtId="3" fontId="0" fillId="7" borderId="0" xfId="0" applyNumberForma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3" fontId="0" fillId="7" borderId="0" xfId="0" applyNumberFormat="1" applyFont="1" applyFill="1" applyAlignment="1">
      <alignment horizontal="center"/>
    </xf>
    <xf numFmtId="3" fontId="0" fillId="13" borderId="0" xfId="0" applyNumberFormat="1" applyFill="1" applyAlignment="1">
      <alignment horizontal="center"/>
    </xf>
    <xf numFmtId="3" fontId="0" fillId="7" borderId="10" xfId="0" applyNumberFormat="1" applyFill="1" applyBorder="1" applyAlignment="1">
      <alignment horizontal="center"/>
    </xf>
    <xf numFmtId="177" fontId="0" fillId="7" borderId="10" xfId="42" applyNumberFormat="1" applyFont="1" applyFill="1" applyBorder="1" applyAlignment="1">
      <alignment horizontal="center"/>
    </xf>
    <xf numFmtId="177" fontId="0" fillId="7" borderId="10" xfId="42" applyNumberFormat="1" applyFont="1" applyFill="1" applyBorder="1" applyAlignment="1">
      <alignment horizontal="center"/>
    </xf>
    <xf numFmtId="10" fontId="0" fillId="0" borderId="0" xfId="59" applyNumberFormat="1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0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178" fontId="0" fillId="0" borderId="0" xfId="0" applyNumberFormat="1" applyFont="1" applyFill="1" applyAlignment="1" quotePrefix="1">
      <alignment horizontal="right"/>
    </xf>
    <xf numFmtId="1" fontId="0" fillId="0" borderId="0" xfId="0" applyNumberForma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77" fontId="3" fillId="0" borderId="0" xfId="42" applyNumberFormat="1" applyFont="1" applyFill="1" applyAlignment="1">
      <alignment horizontal="center"/>
    </xf>
    <xf numFmtId="177" fontId="0" fillId="0" borderId="0" xfId="42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178" fontId="0" fillId="0" borderId="0" xfId="0" applyNumberFormat="1" applyAlignment="1">
      <alignment/>
    </xf>
    <xf numFmtId="178" fontId="50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178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/>
    </xf>
    <xf numFmtId="3" fontId="0" fillId="0" borderId="0" xfId="42" applyNumberFormat="1" applyFont="1" applyFill="1" applyAlignment="1">
      <alignment horizontal="center"/>
    </xf>
    <xf numFmtId="177" fontId="0" fillId="0" borderId="0" xfId="42" applyNumberFormat="1" applyFont="1" applyAlignment="1">
      <alignment horizontal="center"/>
    </xf>
    <xf numFmtId="177" fontId="2" fillId="0" borderId="0" xfId="42" applyNumberFormat="1" applyFont="1" applyAlignment="1">
      <alignment horizontal="center" wrapText="1"/>
    </xf>
    <xf numFmtId="177" fontId="0" fillId="0" borderId="0" xfId="42" applyNumberFormat="1" applyFont="1" applyFill="1" applyAlignment="1">
      <alignment horizontal="right"/>
    </xf>
    <xf numFmtId="177" fontId="0" fillId="33" borderId="0" xfId="42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36" borderId="0" xfId="0" applyNumberFormat="1" applyFont="1" applyFill="1" applyAlignment="1">
      <alignment horizontal="center"/>
    </xf>
    <xf numFmtId="175" fontId="0" fillId="37" borderId="0" xfId="0" applyNumberFormat="1" applyFill="1" applyAlignment="1">
      <alignment horizontal="center"/>
    </xf>
    <xf numFmtId="3" fontId="0" fillId="37" borderId="0" xfId="0" applyNumberFormat="1" applyFill="1" applyAlignment="1">
      <alignment horizontal="center"/>
    </xf>
    <xf numFmtId="3" fontId="0" fillId="0" borderId="0" xfId="0" applyNumberFormat="1" applyFill="1" applyAlignment="1">
      <alignment horizontal="left"/>
    </xf>
    <xf numFmtId="3" fontId="3" fillId="37" borderId="0" xfId="0" applyNumberFormat="1" applyFont="1" applyFill="1" applyAlignment="1">
      <alignment horizontal="left"/>
    </xf>
    <xf numFmtId="177" fontId="0" fillId="37" borderId="10" xfId="42" applyNumberFormat="1" applyFont="1" applyFill="1" applyBorder="1" applyAlignment="1">
      <alignment horizontal="center"/>
    </xf>
    <xf numFmtId="175" fontId="0" fillId="37" borderId="0" xfId="0" applyNumberFormat="1" applyFont="1" applyFill="1" applyAlignment="1">
      <alignment horizontal="left"/>
    </xf>
    <xf numFmtId="37" fontId="0" fillId="37" borderId="0" xfId="0" applyNumberFormat="1" applyFont="1" applyFill="1" applyAlignment="1">
      <alignment horizontal="center"/>
    </xf>
    <xf numFmtId="0" fontId="0" fillId="37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ont="1" applyBorder="1" applyAlignment="1">
      <alignment horizontal="left"/>
    </xf>
    <xf numFmtId="178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Alignment="1">
      <alignment horizontal="left"/>
    </xf>
    <xf numFmtId="177" fontId="0" fillId="13" borderId="10" xfId="42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0" fillId="0" borderId="0" xfId="42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3" fontId="3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0" fontId="0" fillId="0" borderId="14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1" fontId="0" fillId="0" borderId="0" xfId="42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0" xfId="42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17" fontId="0" fillId="0" borderId="15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17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17" fontId="0" fillId="0" borderId="1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178" fontId="0" fillId="0" borderId="0" xfId="0" applyNumberFormat="1" applyAlignment="1" quotePrefix="1">
      <alignment/>
    </xf>
    <xf numFmtId="0" fontId="0" fillId="0" borderId="0" xfId="0" applyFont="1" applyAlignment="1">
      <alignment horizontal="center" wrapText="1"/>
    </xf>
    <xf numFmtId="0" fontId="0" fillId="0" borderId="11" xfId="42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/>
    </xf>
    <xf numFmtId="177" fontId="0" fillId="0" borderId="11" xfId="42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8" fontId="0" fillId="0" borderId="0" xfId="0" applyNumberFormat="1" applyAlignment="1">
      <alignment vertic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center"/>
    </xf>
    <xf numFmtId="178" fontId="3" fillId="0" borderId="0" xfId="0" applyNumberFormat="1" applyFont="1" applyAlignment="1" quotePrefix="1">
      <alignment/>
    </xf>
    <xf numFmtId="178" fontId="3" fillId="0" borderId="0" xfId="0" applyNumberFormat="1" applyFont="1" applyFill="1" applyAlignment="1" quotePrefix="1">
      <alignment horizontal="right"/>
    </xf>
    <xf numFmtId="37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177" fontId="3" fillId="0" borderId="0" xfId="42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73" fontId="0" fillId="0" borderId="0" xfId="0" applyNumberFormat="1" applyFont="1" applyFill="1" applyAlignment="1">
      <alignment horizontal="center" wrapText="1"/>
    </xf>
    <xf numFmtId="177" fontId="0" fillId="0" borderId="21" xfId="0" applyNumberFormat="1" applyBorder="1" applyAlignment="1">
      <alignment/>
    </xf>
    <xf numFmtId="202" fontId="0" fillId="0" borderId="0" xfId="42" applyNumberFormat="1" applyFont="1" applyAlignment="1">
      <alignment horizontal="center"/>
    </xf>
    <xf numFmtId="3" fontId="0" fillId="0" borderId="18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42" applyNumberFormat="1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left" wrapText="1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 wrapText="1"/>
    </xf>
    <xf numFmtId="173" fontId="10" fillId="0" borderId="29" xfId="0" applyNumberFormat="1" applyFont="1" applyBorder="1" applyAlignment="1">
      <alignment horizontal="center"/>
    </xf>
    <xf numFmtId="173" fontId="10" fillId="0" borderId="30" xfId="0" applyNumberFormat="1" applyFont="1" applyBorder="1" applyAlignment="1">
      <alignment horizontal="center"/>
    </xf>
    <xf numFmtId="173" fontId="10" fillId="0" borderId="31" xfId="0" applyNumberFormat="1" applyFont="1" applyBorder="1" applyAlignment="1">
      <alignment horizontal="center"/>
    </xf>
    <xf numFmtId="3" fontId="0" fillId="7" borderId="0" xfId="0" applyNumberFormat="1" applyFont="1" applyFill="1" applyAlignment="1">
      <alignment horizontal="right"/>
    </xf>
    <xf numFmtId="0" fontId="9" fillId="25" borderId="0" xfId="0" applyFont="1" applyFill="1" applyAlignment="1">
      <alignment horizontal="center" wrapText="1"/>
    </xf>
    <xf numFmtId="3" fontId="7" fillId="25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 vertical="center"/>
    </xf>
    <xf numFmtId="3" fontId="9" fillId="25" borderId="32" xfId="0" applyNumberFormat="1" applyFont="1" applyFill="1" applyBorder="1" applyAlignment="1">
      <alignment horizontal="center"/>
    </xf>
    <xf numFmtId="3" fontId="9" fillId="25" borderId="21" xfId="0" applyNumberFormat="1" applyFont="1" applyFill="1" applyBorder="1" applyAlignment="1">
      <alignment horizontal="center"/>
    </xf>
    <xf numFmtId="3" fontId="9" fillId="25" borderId="33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 wrapText="1"/>
    </xf>
    <xf numFmtId="3" fontId="0" fillId="0" borderId="0" xfId="0" applyNumberFormat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ajovicr\Local%20Settings\Temporary%20Internet%20Files\Content.Outlook\HAF9ATEP\Dummy%20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%20%20Department\2016%20Rate%20Rebasing\Settlement%20Proposal\Settlement_Models\3.0%20-%20Staff%2039_DRC%20Consumption_to_October_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%20%20Department\2016%20Rate%20Rebasing\Settlement%20Proposal\Settlement_Models\2005-2014_Summary_of_CDM_Savings_&amp;_Persistence_20150621_Final_EXHIBIT_Tables_Updated_201511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 (2)"/>
      <sheetName val="Pivot"/>
      <sheetName val="Details"/>
      <sheetName val="Lookup"/>
      <sheetName val="Sheet1"/>
      <sheetName val="Pivot post year"/>
      <sheetName val="Sheet3"/>
    </sheetNames>
    <sheetDataSet>
      <sheetData sheetId="1">
        <row r="4">
          <cell r="A4" t="str">
            <v>Sum of billed_consum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ass_Summary"/>
      <sheetName val="2005-2016_Net_kWh"/>
      <sheetName val="2005-2016_Gross_kWh"/>
      <sheetName val="CDM_GS&gt;1000_&amp;_LU_Load_Forecast"/>
      <sheetName val="2015-2020_CDM_Plan"/>
      <sheetName val="Sheet4"/>
      <sheetName val="Sheet3"/>
    </sheetNames>
    <sheetDataSet>
      <sheetData sheetId="3">
        <row r="47">
          <cell r="R47">
            <v>23480.849601805254</v>
          </cell>
          <cell r="AJ47">
            <v>32009.743339506345</v>
          </cell>
        </row>
        <row r="59">
          <cell r="P59">
            <v>363078.6314801493</v>
          </cell>
          <cell r="AH59">
            <v>64019.48667901271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tabSelected="1" zoomScale="90" zoomScaleNormal="90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" sqref="A7"/>
    </sheetView>
  </sheetViews>
  <sheetFormatPr defaultColWidth="9.140625" defaultRowHeight="12.75"/>
  <cols>
    <col min="1" max="1" width="32.7109375" style="0" customWidth="1"/>
    <col min="2" max="2" width="1.7109375" style="0" customWidth="1"/>
    <col min="3" max="11" width="12.00390625" style="1" bestFit="1" customWidth="1"/>
    <col min="12" max="13" width="11.7109375" style="20" customWidth="1"/>
    <col min="14" max="14" width="12.00390625" style="0" bestFit="1" customWidth="1"/>
    <col min="15" max="20" width="11.7109375" style="0" customWidth="1"/>
    <col min="27" max="27" width="11.140625" style="0" customWidth="1"/>
  </cols>
  <sheetData>
    <row r="1" spans="1:14" ht="15.75">
      <c r="A1" s="34" t="s">
        <v>113</v>
      </c>
      <c r="B1" s="34"/>
      <c r="N1" s="20"/>
    </row>
    <row r="2" spans="1:20" ht="51">
      <c r="A2" s="17" t="s">
        <v>99</v>
      </c>
      <c r="C2" s="36" t="s">
        <v>53</v>
      </c>
      <c r="D2" s="36" t="s">
        <v>54</v>
      </c>
      <c r="E2" s="36" t="s">
        <v>55</v>
      </c>
      <c r="F2" s="36" t="s">
        <v>56</v>
      </c>
      <c r="G2" s="36" t="s">
        <v>57</v>
      </c>
      <c r="H2" s="36" t="s">
        <v>58</v>
      </c>
      <c r="I2" s="36" t="s">
        <v>59</v>
      </c>
      <c r="J2" s="36" t="s">
        <v>69</v>
      </c>
      <c r="K2" s="36" t="s">
        <v>73</v>
      </c>
      <c r="L2" s="46" t="s">
        <v>87</v>
      </c>
      <c r="M2" s="36" t="s">
        <v>104</v>
      </c>
      <c r="N2" s="36" t="s">
        <v>88</v>
      </c>
      <c r="O2" s="36" t="s">
        <v>105</v>
      </c>
      <c r="P2" s="36" t="s">
        <v>106</v>
      </c>
      <c r="Q2" s="36" t="s">
        <v>107</v>
      </c>
      <c r="R2" s="36" t="s">
        <v>110</v>
      </c>
      <c r="S2" s="46" t="s">
        <v>111</v>
      </c>
      <c r="T2" s="36" t="s">
        <v>112</v>
      </c>
    </row>
    <row r="3" spans="1:20" ht="12.75" hidden="1">
      <c r="A3" s="17" t="s">
        <v>62</v>
      </c>
      <c r="B3" s="17"/>
      <c r="C3" s="26" t="e">
        <f>+#REF!</f>
        <v>#REF!</v>
      </c>
      <c r="D3" s="6" t="e">
        <f>+#REF!</f>
        <v>#REF!</v>
      </c>
      <c r="E3" s="26" t="e">
        <f>+#REF!</f>
        <v>#REF!</v>
      </c>
      <c r="F3" s="26" t="e">
        <f>+#REF!</f>
        <v>#REF!</v>
      </c>
      <c r="G3" s="26" t="e">
        <f>+#REF!</f>
        <v>#REF!</v>
      </c>
      <c r="H3" s="26" t="e">
        <f>+#REF!</f>
        <v>#REF!</v>
      </c>
      <c r="I3" s="26" t="e">
        <f>+#REF!</f>
        <v>#REF!</v>
      </c>
      <c r="J3" s="26" t="e">
        <f>+#REF!</f>
        <v>#REF!</v>
      </c>
      <c r="K3" s="26" t="e">
        <f>+#REF!</f>
        <v>#REF!</v>
      </c>
      <c r="L3" s="47"/>
      <c r="M3" s="47"/>
      <c r="N3" s="1"/>
      <c r="O3" s="1"/>
      <c r="P3" s="1"/>
      <c r="Q3" s="1"/>
      <c r="R3" s="1"/>
      <c r="S3" s="1"/>
      <c r="T3" s="1"/>
    </row>
    <row r="4" spans="1:20" ht="12.75" hidden="1">
      <c r="A4" s="17" t="s">
        <v>63</v>
      </c>
      <c r="B4" s="17"/>
      <c r="C4" s="26" t="e">
        <f>+#REF!</f>
        <v>#REF!</v>
      </c>
      <c r="D4" s="26" t="e">
        <f>+#REF!</f>
        <v>#REF!</v>
      </c>
      <c r="E4" s="26" t="e">
        <f>+#REF!</f>
        <v>#REF!</v>
      </c>
      <c r="F4" s="26" t="e">
        <f>+#REF!</f>
        <v>#REF!</v>
      </c>
      <c r="G4" s="26" t="e">
        <f>+#REF!</f>
        <v>#REF!</v>
      </c>
      <c r="H4" s="26" t="e">
        <f>+#REF!</f>
        <v>#REF!</v>
      </c>
      <c r="I4" s="26" t="e">
        <f>+#REF!</f>
        <v>#REF!</v>
      </c>
      <c r="J4" s="26" t="e">
        <f>+#REF!</f>
        <v>#REF!</v>
      </c>
      <c r="K4" s="26" t="e">
        <f>+#REF!</f>
        <v>#REF!</v>
      </c>
      <c r="L4" s="48" t="e">
        <f>+#REF!</f>
        <v>#REF!</v>
      </c>
      <c r="M4" s="48"/>
      <c r="N4" s="26" t="e">
        <f>+#REF!</f>
        <v>#REF!</v>
      </c>
      <c r="O4" s="1"/>
      <c r="P4" s="1"/>
      <c r="Q4" s="1"/>
      <c r="R4" s="1"/>
      <c r="S4" s="1"/>
      <c r="T4" s="1"/>
    </row>
    <row r="5" spans="1:20" ht="12.75" hidden="1">
      <c r="A5" s="17" t="s">
        <v>5</v>
      </c>
      <c r="B5" s="17"/>
      <c r="C5" s="35" t="e">
        <f aca="true" t="shared" si="0" ref="C5:K5">(C4-C3)/C3</f>
        <v>#REF!</v>
      </c>
      <c r="D5" s="35" t="e">
        <f t="shared" si="0"/>
        <v>#REF!</v>
      </c>
      <c r="E5" s="35" t="e">
        <f t="shared" si="0"/>
        <v>#REF!</v>
      </c>
      <c r="F5" s="35" t="e">
        <f t="shared" si="0"/>
        <v>#REF!</v>
      </c>
      <c r="G5" s="35" t="e">
        <f t="shared" si="0"/>
        <v>#REF!</v>
      </c>
      <c r="H5" s="35" t="e">
        <f t="shared" si="0"/>
        <v>#REF!</v>
      </c>
      <c r="I5" s="35" t="e">
        <f t="shared" si="0"/>
        <v>#REF!</v>
      </c>
      <c r="J5" s="35" t="e">
        <f t="shared" si="0"/>
        <v>#REF!</v>
      </c>
      <c r="K5" s="35" t="e">
        <f t="shared" si="0"/>
        <v>#REF!</v>
      </c>
      <c r="L5" s="49"/>
      <c r="M5" s="49"/>
      <c r="N5" s="38"/>
      <c r="O5" s="20"/>
      <c r="P5" s="20"/>
      <c r="Q5" s="20"/>
      <c r="R5" s="1"/>
      <c r="S5" s="1"/>
      <c r="T5" s="1"/>
    </row>
    <row r="6" spans="1:20" ht="4.5" customHeight="1">
      <c r="A6" s="17"/>
      <c r="B6" s="17"/>
      <c r="C6" s="32"/>
      <c r="D6" s="32"/>
      <c r="E6" s="32"/>
      <c r="F6" s="32"/>
      <c r="G6" s="32"/>
      <c r="H6" s="32"/>
      <c r="I6" s="32"/>
      <c r="J6" s="32"/>
      <c r="K6" s="32"/>
      <c r="L6" s="47"/>
      <c r="M6" s="47"/>
      <c r="N6" s="1"/>
      <c r="O6" s="1"/>
      <c r="P6" s="1"/>
      <c r="Q6" s="1"/>
      <c r="R6" s="1"/>
      <c r="S6" s="1"/>
      <c r="T6" s="1"/>
    </row>
    <row r="7" spans="1:20" ht="12.75">
      <c r="A7" s="17" t="s">
        <v>65</v>
      </c>
      <c r="B7" s="17"/>
      <c r="C7" s="26">
        <f>'Rate Class Energy Model'!G6</f>
        <v>525513861.920527</v>
      </c>
      <c r="D7" s="26">
        <f>'Rate Class Energy Model'!G7</f>
        <v>564764318.9143891</v>
      </c>
      <c r="E7" s="26">
        <f>'Rate Class Energy Model'!G8</f>
        <v>585995585.0870725</v>
      </c>
      <c r="F7" s="26">
        <f>'Rate Class Energy Model'!G9</f>
        <v>589630610.8135729</v>
      </c>
      <c r="G7" s="26">
        <f>'Rate Class Energy Model'!G10</f>
        <v>636787690.2962409</v>
      </c>
      <c r="H7" s="26">
        <f>'Rate Class Energy Model'!G11</f>
        <v>636829104.2023412</v>
      </c>
      <c r="I7" s="26">
        <f>'Rate Class Energy Model'!G12</f>
        <v>672730918.0223122</v>
      </c>
      <c r="J7" s="26">
        <f>'Rate Class Energy Model'!G13</f>
        <v>685172481.5561754</v>
      </c>
      <c r="K7" s="26">
        <f>'Rate Class Energy Model'!G14</f>
        <v>673060305.5943639</v>
      </c>
      <c r="L7" s="48">
        <v>706080870.1513474</v>
      </c>
      <c r="M7" s="48">
        <f>+'Rate Class Energy Model'!G15</f>
        <v>725606710.2899997</v>
      </c>
      <c r="N7" s="26">
        <v>730934798.8751802</v>
      </c>
      <c r="O7" s="6">
        <f>+'Rate Class Energy Model'!G16</f>
        <v>754466669.8199999</v>
      </c>
      <c r="P7" s="6">
        <f>+'Rate Class Energy Model'!G17</f>
        <v>783449113.6999999</v>
      </c>
      <c r="Q7" s="6">
        <f>+'Rate Class Energy Model'!G18</f>
        <v>814644301.5</v>
      </c>
      <c r="R7" s="6">
        <f>+'Rate Class Energy Model'!G19</f>
        <v>836470876.06</v>
      </c>
      <c r="S7" s="6">
        <f>+'Rate Class Energy Model'!G76</f>
        <v>855893834.2471356</v>
      </c>
      <c r="T7" s="6">
        <f>+'Rate Class Energy Model'!G77</f>
        <v>871840466.1865236</v>
      </c>
    </row>
    <row r="8" spans="1:20" ht="12.75">
      <c r="A8" s="17"/>
      <c r="B8" s="17"/>
      <c r="C8" s="32"/>
      <c r="D8" s="32"/>
      <c r="E8" s="32"/>
      <c r="F8" s="32"/>
      <c r="G8" s="32"/>
      <c r="H8" s="32"/>
      <c r="I8" s="32"/>
      <c r="K8" s="20"/>
      <c r="N8" s="1"/>
      <c r="O8" s="1"/>
      <c r="P8" s="1"/>
      <c r="Q8" s="1"/>
      <c r="R8" s="6"/>
      <c r="S8" s="6"/>
      <c r="T8" s="6"/>
    </row>
    <row r="9" spans="1:20" ht="15.75">
      <c r="A9" s="34" t="s">
        <v>64</v>
      </c>
      <c r="B9" s="34"/>
      <c r="N9" s="1"/>
      <c r="O9" s="1"/>
      <c r="P9" s="1"/>
      <c r="Q9" s="1"/>
      <c r="R9" s="6"/>
      <c r="S9" s="6"/>
      <c r="T9" s="6"/>
    </row>
    <row r="10" spans="1:20" ht="12.75">
      <c r="A10" s="33" t="str">
        <f>'Rate Class Energy Model'!H2</f>
        <v>Residential </v>
      </c>
      <c r="B10" s="33"/>
      <c r="N10" s="1"/>
      <c r="O10" s="1"/>
      <c r="P10" s="1"/>
      <c r="Q10" s="1"/>
      <c r="R10" s="6"/>
      <c r="S10" s="6"/>
      <c r="T10" s="6"/>
    </row>
    <row r="11" spans="1:20" ht="12.75">
      <c r="A11" t="s">
        <v>50</v>
      </c>
      <c r="C11" s="6">
        <f>'Rate Class Customer Model'!B5</f>
        <v>9693</v>
      </c>
      <c r="D11" s="6">
        <f>'Rate Class Customer Model'!B6</f>
        <v>12314</v>
      </c>
      <c r="E11" s="6">
        <f>'Rate Class Customer Model'!B7</f>
        <v>13821</v>
      </c>
      <c r="F11" s="6">
        <f>'Rate Class Customer Model'!B8</f>
        <v>15760</v>
      </c>
      <c r="G11" s="6">
        <f>'Rate Class Customer Model'!B9</f>
        <v>17611</v>
      </c>
      <c r="H11" s="6">
        <f>'Rate Class Customer Model'!B10</f>
        <v>18720</v>
      </c>
      <c r="I11" s="6">
        <f>'Rate Class Customer Model'!B11</f>
        <v>20305</v>
      </c>
      <c r="J11" s="6">
        <f>'Rate Class Customer Model'!B12</f>
        <v>22755</v>
      </c>
      <c r="K11" s="6">
        <f>'Rate Class Customer Model'!B13</f>
        <v>24832</v>
      </c>
      <c r="L11" s="24">
        <v>26332</v>
      </c>
      <c r="M11" s="24">
        <f>+'Rate Class Customer Model'!B14</f>
        <v>26587</v>
      </c>
      <c r="N11" s="6">
        <v>27832</v>
      </c>
      <c r="O11" s="6">
        <f>+'Rate Class Customer Model'!B15</f>
        <v>27826</v>
      </c>
      <c r="P11" s="6">
        <f>+'Rate Class Customer Model'!B16</f>
        <v>29614</v>
      </c>
      <c r="Q11" s="6">
        <f>+'Rate Class Customer Model'!B17</f>
        <v>31309</v>
      </c>
      <c r="R11" s="6">
        <f>+'Rate Class Customer Model'!B18</f>
        <v>32268</v>
      </c>
      <c r="S11" s="6">
        <f>+'Rate Class Customer Model'!B19</f>
        <v>33001</v>
      </c>
      <c r="T11" s="6">
        <f>+'Rate Class Customer Model'!B20</f>
        <v>34501</v>
      </c>
    </row>
    <row r="12" spans="1:20" ht="12.75">
      <c r="A12" t="s">
        <v>51</v>
      </c>
      <c r="C12" s="6">
        <f>'Rate Class Energy Model'!H6</f>
        <v>134047710.49640852</v>
      </c>
      <c r="D12" s="6">
        <f>'Rate Class Energy Model'!H7</f>
        <v>150212622.7341968</v>
      </c>
      <c r="E12" s="6">
        <f>'Rate Class Energy Model'!H8</f>
        <v>158175326.68108305</v>
      </c>
      <c r="F12" s="6">
        <f>'Rate Class Energy Model'!H9</f>
        <v>169087407.9317853</v>
      </c>
      <c r="G12" s="6">
        <f>'Rate Class Energy Model'!H10</f>
        <v>192683717.00575626</v>
      </c>
      <c r="H12" s="6">
        <f>'Rate Class Energy Model'!H11</f>
        <v>195292369.8922671</v>
      </c>
      <c r="I12" s="6">
        <f>'Rate Class Energy Model'!H12</f>
        <v>211418657.82015693</v>
      </c>
      <c r="J12" s="6">
        <f>'Rate Class Energy Model'!H13</f>
        <v>218391096.58213848</v>
      </c>
      <c r="K12" s="6">
        <f>'Rate Class Energy Model'!H14</f>
        <v>230401040.6502598</v>
      </c>
      <c r="L12" s="24">
        <v>249747032.7319093</v>
      </c>
      <c r="M12" s="24">
        <f>+'Rate Class Energy Model'!H15</f>
        <v>258659734.84999987</v>
      </c>
      <c r="N12" s="6">
        <v>260408064.7085208</v>
      </c>
      <c r="O12" s="6">
        <f>+'Rate Class Energy Model'!H16</f>
        <v>268725506.52</v>
      </c>
      <c r="P12" s="6">
        <f>+'Rate Class Energy Model'!H17</f>
        <v>281220954.65</v>
      </c>
      <c r="Q12" s="6">
        <f>+'Rate Class Energy Model'!H18</f>
        <v>287291133.53</v>
      </c>
      <c r="R12" s="6">
        <f>+'Rate Class Energy Model'!H19</f>
        <v>290591982.63</v>
      </c>
      <c r="S12" s="6">
        <f>+'Rate Class Energy Model'!H76</f>
        <v>305198832.556156</v>
      </c>
      <c r="T12" s="6">
        <f>+'Rate Class Energy Model'!H77</f>
        <v>311504507.1056592</v>
      </c>
    </row>
    <row r="13" spans="10:20" ht="4.5" customHeight="1">
      <c r="J13" s="20"/>
      <c r="K13" s="20"/>
      <c r="N13" s="38"/>
      <c r="O13" s="1"/>
      <c r="P13" s="1"/>
      <c r="Q13" s="1"/>
      <c r="R13" s="6"/>
      <c r="S13" s="6"/>
      <c r="T13" s="6"/>
    </row>
    <row r="14" spans="1:20" ht="12.75">
      <c r="A14" s="33" t="str">
        <f>'Rate Class Energy Model'!I2</f>
        <v>General Service &lt; 50 kW</v>
      </c>
      <c r="B14" s="33"/>
      <c r="N14" s="1"/>
      <c r="O14" s="1"/>
      <c r="P14" s="1"/>
      <c r="Q14" s="1"/>
      <c r="R14" s="6"/>
      <c r="S14" s="6"/>
      <c r="T14" s="6"/>
    </row>
    <row r="15" spans="1:20" ht="12.75">
      <c r="A15" t="s">
        <v>50</v>
      </c>
      <c r="C15" s="6">
        <f>'Rate Class Customer Model'!C5</f>
        <v>1700</v>
      </c>
      <c r="D15" s="6">
        <f>'Rate Class Customer Model'!C6</f>
        <v>1713</v>
      </c>
      <c r="E15" s="6">
        <f>'Rate Class Customer Model'!C7</f>
        <v>1760</v>
      </c>
      <c r="F15" s="6">
        <f>'Rate Class Customer Model'!C8</f>
        <v>1803</v>
      </c>
      <c r="G15" s="6">
        <f>'Rate Class Customer Model'!C9</f>
        <v>1990</v>
      </c>
      <c r="H15" s="6">
        <f>'Rate Class Customer Model'!C10</f>
        <v>1998</v>
      </c>
      <c r="I15" s="6">
        <f>'Rate Class Customer Model'!C11</f>
        <v>2048.432576769025</v>
      </c>
      <c r="J15" s="6">
        <f>'Rate Class Customer Model'!C12</f>
        <v>2135.567024128686</v>
      </c>
      <c r="K15" s="6">
        <f>'Rate Class Customer Model'!C13</f>
        <v>2203</v>
      </c>
      <c r="L15" s="24">
        <v>2258.203635152583</v>
      </c>
      <c r="M15" s="24">
        <f>+'Rate Class Customer Model'!C14</f>
        <v>2283</v>
      </c>
      <c r="N15" s="6">
        <v>2314.7905845739174</v>
      </c>
      <c r="O15" s="6">
        <f>+'Rate Class Customer Model'!C15</f>
        <v>2374</v>
      </c>
      <c r="P15" s="6">
        <f>+'Rate Class Customer Model'!C16</f>
        <v>2425</v>
      </c>
      <c r="Q15" s="6">
        <f>+'Rate Class Customer Model'!C17</f>
        <v>2477</v>
      </c>
      <c r="R15" s="6">
        <f>+'Rate Class Customer Model'!C18</f>
        <v>2544</v>
      </c>
      <c r="S15" s="6">
        <f>+'Rate Class Customer Model'!C19</f>
        <v>2574</v>
      </c>
      <c r="T15" s="6">
        <f>+'Rate Class Customer Model'!C20</f>
        <v>2642.0505332703788</v>
      </c>
    </row>
    <row r="16" spans="1:20" ht="12.75">
      <c r="A16" t="s">
        <v>51</v>
      </c>
      <c r="C16" s="6">
        <f>'Rate Class Energy Model'!I6</f>
        <v>59298833.46320482</v>
      </c>
      <c r="D16" s="6">
        <f>'Rate Class Energy Model'!I7</f>
        <v>60711849.650126085</v>
      </c>
      <c r="E16" s="6">
        <f>'Rate Class Energy Model'!I8</f>
        <v>61255640.12115057</v>
      </c>
      <c r="F16" s="6">
        <f>'Rate Class Energy Model'!I9</f>
        <v>61650512.17297429</v>
      </c>
      <c r="G16" s="6">
        <f>'Rate Class Energy Model'!I10</f>
        <v>65492217.28479891</v>
      </c>
      <c r="H16" s="6">
        <f>'Rate Class Energy Model'!I11</f>
        <v>64355938.60585358</v>
      </c>
      <c r="I16" s="6">
        <f>'Rate Class Energy Model'!I12</f>
        <v>68462630.69041939</v>
      </c>
      <c r="J16" s="6">
        <f>'Rate Class Energy Model'!I13</f>
        <v>71310392.64507413</v>
      </c>
      <c r="K16" s="6">
        <f>'Rate Class Energy Model'!I14</f>
        <v>73618222.92461503</v>
      </c>
      <c r="L16" s="24">
        <v>73958012.7558797</v>
      </c>
      <c r="M16" s="24">
        <f>+'Rate Class Energy Model'!I15</f>
        <v>79867181.44999999</v>
      </c>
      <c r="N16" s="6">
        <v>75603703.21540198</v>
      </c>
      <c r="O16" s="6">
        <f>+'Rate Class Energy Model'!I16</f>
        <v>83338833.54000002</v>
      </c>
      <c r="P16" s="6">
        <f>+'Rate Class Energy Model'!I17</f>
        <v>84168273.07</v>
      </c>
      <c r="Q16" s="6">
        <f>+'Rate Class Energy Model'!I18</f>
        <v>87021883.13</v>
      </c>
      <c r="R16" s="6">
        <f>+'Rate Class Energy Model'!I19</f>
        <v>88384426.73</v>
      </c>
      <c r="S16" s="6">
        <f>+'Rate Class Energy Model'!I76</f>
        <v>89986483.03337984</v>
      </c>
      <c r="T16" s="6">
        <f>+'Rate Class Energy Model'!I77</f>
        <v>91412831.73008005</v>
      </c>
    </row>
    <row r="17" spans="10:20" ht="4.5" customHeight="1">
      <c r="J17" s="20"/>
      <c r="K17" s="20"/>
      <c r="N17" s="38"/>
      <c r="O17" s="1"/>
      <c r="P17" s="1"/>
      <c r="Q17" s="1"/>
      <c r="R17" s="6"/>
      <c r="S17" s="6"/>
      <c r="T17" s="6"/>
    </row>
    <row r="18" spans="1:20" ht="12.75">
      <c r="A18" s="33" t="str">
        <f>'Rate Class Energy Model'!J2</f>
        <v>General Service  50 to 999 kW</v>
      </c>
      <c r="B18" s="33"/>
      <c r="N18" s="6"/>
      <c r="O18" s="1"/>
      <c r="P18" s="1"/>
      <c r="Q18" s="1"/>
      <c r="R18" s="6"/>
      <c r="S18" s="6"/>
      <c r="T18" s="6"/>
    </row>
    <row r="19" spans="1:23" ht="12.75">
      <c r="A19" t="s">
        <v>50</v>
      </c>
      <c r="C19" s="6">
        <f>'Rate Class Customer Model'!D5</f>
        <v>192</v>
      </c>
      <c r="D19" s="6">
        <f>'Rate Class Customer Model'!D6</f>
        <v>218</v>
      </c>
      <c r="E19" s="6">
        <f>'Rate Class Customer Model'!D7</f>
        <v>212</v>
      </c>
      <c r="F19" s="6">
        <f>'Rate Class Customer Model'!D8</f>
        <v>229</v>
      </c>
      <c r="G19" s="6">
        <f>'Rate Class Customer Model'!D9</f>
        <v>244</v>
      </c>
      <c r="H19" s="6">
        <f>'Rate Class Customer Model'!D10</f>
        <v>245</v>
      </c>
      <c r="I19" s="6">
        <f>'Rate Class Customer Model'!D11</f>
        <v>273</v>
      </c>
      <c r="J19" s="6">
        <f>'Rate Class Customer Model'!D12</f>
        <v>274</v>
      </c>
      <c r="K19" s="6">
        <f>'Rate Class Customer Model'!D13</f>
        <v>275</v>
      </c>
      <c r="L19" s="24">
        <v>286.7464868457334</v>
      </c>
      <c r="M19" s="24">
        <f>+'Rate Class Customer Model'!D14</f>
        <v>257</v>
      </c>
      <c r="N19" s="6">
        <v>298.99471897589217</v>
      </c>
      <c r="O19" s="6">
        <f>+'Rate Class Customer Model'!D15</f>
        <v>271</v>
      </c>
      <c r="P19" s="6">
        <f>+'Rate Class Customer Model'!D16</f>
        <v>271</v>
      </c>
      <c r="Q19" s="6">
        <f>+'Rate Class Customer Model'!D17</f>
        <v>273</v>
      </c>
      <c r="R19" s="6">
        <f>+'Rate Class Customer Model'!D18</f>
        <v>284</v>
      </c>
      <c r="S19" s="6">
        <f>+'Rate Class Customer Model'!D19</f>
        <v>293</v>
      </c>
      <c r="T19" s="6">
        <f>+'Rate Class Customer Model'!D20</f>
        <v>301.93278392268166</v>
      </c>
      <c r="V19" s="142" t="s">
        <v>148</v>
      </c>
      <c r="W19" s="143"/>
    </row>
    <row r="20" spans="1:20" ht="12.75">
      <c r="A20" t="s">
        <v>51</v>
      </c>
      <c r="C20" s="6">
        <f>'Rate Class Energy Model'!J6</f>
        <v>145138638.52955747</v>
      </c>
      <c r="D20" s="6">
        <f>'Rate Class Energy Model'!J7</f>
        <v>147962300.54892254</v>
      </c>
      <c r="E20" s="6">
        <f>'Rate Class Energy Model'!J8</f>
        <v>148063379.94480598</v>
      </c>
      <c r="F20" s="6">
        <f>'Rate Class Energy Model'!J9</f>
        <v>155978135.26211834</v>
      </c>
      <c r="G20" s="6">
        <f>'Rate Class Energy Model'!J10</f>
        <v>164259880.11562985</v>
      </c>
      <c r="H20" s="6">
        <f>'Rate Class Energy Model'!J11</f>
        <v>165309885.2250971</v>
      </c>
      <c r="I20" s="6">
        <f>'Rate Class Energy Model'!J12</f>
        <v>172334962.69293764</v>
      </c>
      <c r="J20" s="6">
        <f>'Rate Class Energy Model'!J13</f>
        <v>180947734.90405402</v>
      </c>
      <c r="K20" s="6">
        <f>'Rate Class Energy Model'!J14</f>
        <v>184558254.86612535</v>
      </c>
      <c r="L20" s="24">
        <v>183863312.91460758</v>
      </c>
      <c r="M20" s="24">
        <f>+'Rate Class Energy Model'!J15</f>
        <v>192607267.92</v>
      </c>
      <c r="N20" s="6">
        <v>188689652.77374837</v>
      </c>
      <c r="O20" s="6">
        <f>+'Rate Class Energy Model'!J16</f>
        <v>192782769.75999996</v>
      </c>
      <c r="P20" s="6">
        <f>+'Rate Class Energy Model'!J17</f>
        <v>194206572.97999996</v>
      </c>
      <c r="Q20" s="6">
        <f>+'Rate Class Energy Model'!J18</f>
        <v>203179610.86</v>
      </c>
      <c r="R20" s="6">
        <f>+'Rate Class Energy Model'!J19</f>
        <v>204924669.73</v>
      </c>
      <c r="S20" s="6">
        <f>+'Rate Class Energy Model'!J76</f>
        <v>202512641.3725119</v>
      </c>
      <c r="T20" s="6">
        <f>+'Rate Class Energy Model'!J77</f>
        <v>206918158.48785442</v>
      </c>
    </row>
    <row r="21" spans="1:20" ht="12.75">
      <c r="A21" t="s">
        <v>52</v>
      </c>
      <c r="C21" s="6">
        <f>'Rate Class Load Model'!B4</f>
        <v>413565</v>
      </c>
      <c r="D21" s="6">
        <f>'Rate Class Load Model'!B5</f>
        <v>415618</v>
      </c>
      <c r="E21" s="6">
        <f>'Rate Class Load Model'!B6</f>
        <v>409870</v>
      </c>
      <c r="F21" s="6">
        <f>'Rate Class Load Model'!B7</f>
        <v>420450</v>
      </c>
      <c r="G21" s="6">
        <f>'Rate Class Load Model'!B8</f>
        <v>441283.36999999994</v>
      </c>
      <c r="H21" s="6">
        <f>'Rate Class Load Model'!B9</f>
        <v>436353.45000000007</v>
      </c>
      <c r="I21" s="6">
        <f>'Rate Class Load Model'!B10</f>
        <v>456774.85999999964</v>
      </c>
      <c r="J21" s="6">
        <f>'Rate Class Load Model'!B11</f>
        <v>475949.8800000002</v>
      </c>
      <c r="K21" s="6">
        <f>'Rate Class Load Model'!B12</f>
        <v>494157.0800000001</v>
      </c>
      <c r="L21" s="24">
        <v>498608.89772400813</v>
      </c>
      <c r="M21" s="24">
        <f>+'Rate Class Load Model'!B13</f>
        <v>502595</v>
      </c>
      <c r="N21" s="6">
        <v>511697.18575200246</v>
      </c>
      <c r="O21" s="1">
        <f>+'Rate Class Load Model'!B14</f>
        <v>503231</v>
      </c>
      <c r="P21" s="1">
        <f>+'Rate Class Load Model'!B15</f>
        <v>520812.31</v>
      </c>
      <c r="Q21" s="1">
        <f>+'Rate Class Load Model'!B16</f>
        <v>541769.58</v>
      </c>
      <c r="R21" s="6">
        <f>+'Rate Class Load Model'!B17</f>
        <v>537015.85</v>
      </c>
      <c r="S21" s="6">
        <f>+'Rate Class Load Model'!B18</f>
        <v>543820.8513088914</v>
      </c>
      <c r="T21" s="6">
        <f>+'Rate Class Load Model'!B19</f>
        <v>555651.2834828242</v>
      </c>
    </row>
    <row r="22" spans="10:20" ht="4.5" customHeight="1">
      <c r="J22" s="20"/>
      <c r="K22" s="20"/>
      <c r="N22" s="38"/>
      <c r="O22" s="1"/>
      <c r="P22" s="1"/>
      <c r="Q22" s="1"/>
      <c r="R22" s="6"/>
      <c r="S22" s="6"/>
      <c r="T22" s="6"/>
    </row>
    <row r="23" spans="1:20" ht="12.75">
      <c r="A23" s="33" t="s">
        <v>165</v>
      </c>
      <c r="B23" s="33"/>
      <c r="L23" s="6"/>
      <c r="M23" s="6"/>
      <c r="N23" s="6"/>
      <c r="O23" s="1"/>
      <c r="P23" s="1"/>
      <c r="Q23" s="1"/>
      <c r="R23" s="6"/>
      <c r="S23" s="6"/>
      <c r="T23" s="6"/>
    </row>
    <row r="24" spans="1:23" ht="12.75">
      <c r="A24" t="s">
        <v>50</v>
      </c>
      <c r="C24" s="6">
        <f>+'Rate Class Customer Model'!E5</f>
        <v>10</v>
      </c>
      <c r="D24" s="6">
        <f>+'Rate Class Customer Model'!E6</f>
        <v>10</v>
      </c>
      <c r="E24" s="6">
        <f>+'Rate Class Customer Model'!E7</f>
        <v>10</v>
      </c>
      <c r="F24" s="6">
        <f>+'Rate Class Customer Model'!E8</f>
        <v>10</v>
      </c>
      <c r="G24" s="6">
        <f>+'Rate Class Customer Model'!E9</f>
        <v>11</v>
      </c>
      <c r="H24" s="6">
        <f>+'Rate Class Customer Model'!E10</f>
        <v>13</v>
      </c>
      <c r="I24" s="6">
        <f>+'Rate Class Customer Model'!E11</f>
        <v>14</v>
      </c>
      <c r="J24" s="6">
        <f>+'Rate Class Customer Model'!E12</f>
        <v>14</v>
      </c>
      <c r="K24" s="6">
        <f>+'Rate Class Customer Model'!E13</f>
        <v>12.334</v>
      </c>
      <c r="L24" s="6">
        <v>12</v>
      </c>
      <c r="M24" s="6">
        <f>+'Rate Class Customer Model'!E14</f>
        <v>13</v>
      </c>
      <c r="N24" s="6">
        <v>13</v>
      </c>
      <c r="O24" s="6">
        <f>+'Rate Class Customer Model'!E15</f>
        <v>12</v>
      </c>
      <c r="P24" s="6">
        <f>+'Rate Class Customer Model'!E16</f>
        <v>12</v>
      </c>
      <c r="Q24" s="6">
        <f>+'Rate Class Customer Model'!E17</f>
        <v>11</v>
      </c>
      <c r="R24" s="6">
        <f>+'Rate Class Customer Model'!E18</f>
        <v>12</v>
      </c>
      <c r="S24" s="6">
        <f>+'Rate Class Customer Model'!E19</f>
        <v>13</v>
      </c>
      <c r="T24" s="6">
        <f>+'Rate Class Customer Model'!E20</f>
        <v>13</v>
      </c>
      <c r="V24" s="142" t="s">
        <v>148</v>
      </c>
      <c r="W24" s="143"/>
    </row>
    <row r="25" spans="1:20" ht="12.75">
      <c r="A25" t="s">
        <v>51</v>
      </c>
      <c r="C25" s="6">
        <f>+'Rate Class Energy Model'!K6</f>
        <v>136434026.9000911</v>
      </c>
      <c r="D25" s="6">
        <f>+'Rate Class Energy Model'!K7</f>
        <v>142026097.2865849</v>
      </c>
      <c r="E25" s="6">
        <f>+'Rate Class Energy Model'!K8</f>
        <v>140546076.96195292</v>
      </c>
      <c r="F25" s="6">
        <f>+'Rate Class Energy Model'!K9</f>
        <v>114675484.53323162</v>
      </c>
      <c r="G25" s="6">
        <f>+'Rate Class Energy Model'!K10</f>
        <v>119553702.90836273</v>
      </c>
      <c r="H25" s="6">
        <f>+'Rate Class Energy Model'!K11</f>
        <v>116022864.47096446</v>
      </c>
      <c r="I25" s="6">
        <f>+'Rate Class Energy Model'!K12</f>
        <v>122900957.80117863</v>
      </c>
      <c r="J25" s="6">
        <f>+'Rate Class Energy Model'!K13</f>
        <v>124956583.52816156</v>
      </c>
      <c r="K25" s="6">
        <f>+'Rate Class Energy Model'!K14</f>
        <v>117357756.73847939</v>
      </c>
      <c r="L25" s="6">
        <v>109150252.86594374</v>
      </c>
      <c r="M25" s="6">
        <f>+'Rate Class Energy Model'!K15</f>
        <v>110640752.77</v>
      </c>
      <c r="N25" s="6">
        <v>112523353.0368486</v>
      </c>
      <c r="O25" s="6">
        <f>+'Rate Class Energy Model'!K16</f>
        <v>121407487</v>
      </c>
      <c r="P25" s="6">
        <f>+'Rate Class Energy Model'!K17</f>
        <v>128979851</v>
      </c>
      <c r="Q25" s="6">
        <f>+'Rate Class Energy Model'!K18</f>
        <v>100652663.27</v>
      </c>
      <c r="R25" s="6">
        <f>+'Rate Class Energy Model'!K19</f>
        <v>110411188.92</v>
      </c>
      <c r="S25" s="6">
        <f>+'Rate Class Energy Model'!K76</f>
        <v>113132018.5243982</v>
      </c>
      <c r="T25" s="6">
        <f>+'Rate Class Energy Model'!K77</f>
        <v>116570267.303496</v>
      </c>
    </row>
    <row r="26" spans="1:20" ht="12.75">
      <c r="A26" t="s">
        <v>52</v>
      </c>
      <c r="C26" s="6">
        <f>+'Rate Class Load Model'!C4</f>
        <v>255515</v>
      </c>
      <c r="D26" s="6">
        <f>+'Rate Class Load Model'!C5</f>
        <v>286432</v>
      </c>
      <c r="E26" s="6">
        <f>+'Rate Class Load Model'!C6</f>
        <v>271068</v>
      </c>
      <c r="F26" s="6">
        <f>+'Rate Class Load Model'!C7</f>
        <v>230160</v>
      </c>
      <c r="G26" s="6">
        <f>+'Rate Class Load Model'!C8</f>
        <v>247850.98000000007</v>
      </c>
      <c r="H26" s="6">
        <f>+'Rate Class Load Model'!C9</f>
        <v>241018.28000000003</v>
      </c>
      <c r="I26" s="6">
        <f>+'Rate Class Load Model'!C10</f>
        <v>258604.60999999996</v>
      </c>
      <c r="J26" s="6">
        <f>+'Rate Class Load Model'!C11</f>
        <v>266354.63000000006</v>
      </c>
      <c r="K26" s="6">
        <f>+'Rate Class Load Model'!C12</f>
        <v>260952.47999999995</v>
      </c>
      <c r="L26" s="6">
        <v>223577.06858475547</v>
      </c>
      <c r="M26" s="6">
        <f>+'Rate Class Load Model'!C13</f>
        <v>243580</v>
      </c>
      <c r="N26" s="6">
        <v>230486.33199415752</v>
      </c>
      <c r="O26" s="6">
        <f>+'Rate Class Load Model'!C14</f>
        <v>260972</v>
      </c>
      <c r="P26" s="6">
        <f>+'Rate Class Load Model'!C15</f>
        <v>287183</v>
      </c>
      <c r="Q26" s="6">
        <f>+'Rate Class Load Model'!C16</f>
        <v>232734.3</v>
      </c>
      <c r="R26" s="6">
        <f>+'Rate Class Load Model'!C17</f>
        <v>242503.52999999997</v>
      </c>
      <c r="S26" s="6">
        <f>+'Rate Class Load Model'!C18</f>
        <v>238557.97632951225</v>
      </c>
      <c r="T26" s="6">
        <f>+'Rate Class Load Model'!C19</f>
        <v>245808.10482149263</v>
      </c>
    </row>
    <row r="27" spans="3:20" ht="4.5" customHeight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"/>
      <c r="P27" s="1"/>
      <c r="Q27" s="1"/>
      <c r="R27" s="6"/>
      <c r="S27" s="6"/>
      <c r="T27" s="6"/>
    </row>
    <row r="28" spans="1:20" ht="12.75">
      <c r="A28" s="33" t="str">
        <f>'Rate Class Energy Model'!L2</f>
        <v>Large User</v>
      </c>
      <c r="B28" s="33"/>
      <c r="N28" s="6"/>
      <c r="O28" s="1"/>
      <c r="P28" s="1"/>
      <c r="Q28" s="1"/>
      <c r="R28" s="6"/>
      <c r="S28" s="6"/>
      <c r="T28" s="6"/>
    </row>
    <row r="29" spans="1:20" ht="12.75">
      <c r="A29" t="s">
        <v>50</v>
      </c>
      <c r="C29" s="6">
        <f>'Rate Class Customer Model'!F5</f>
        <v>1</v>
      </c>
      <c r="D29" s="6">
        <f>'Rate Class Customer Model'!F6</f>
        <v>2</v>
      </c>
      <c r="E29" s="6">
        <f>'Rate Class Customer Model'!F7</f>
        <v>2</v>
      </c>
      <c r="F29" s="6">
        <f>'Rate Class Customer Model'!F8</f>
        <v>2</v>
      </c>
      <c r="G29" s="6">
        <f>'Rate Class Customer Model'!F9</f>
        <v>2</v>
      </c>
      <c r="H29" s="6">
        <f>'Rate Class Customer Model'!F10</f>
        <v>2</v>
      </c>
      <c r="I29" s="6">
        <f>'Rate Class Customer Model'!F11</f>
        <v>2</v>
      </c>
      <c r="J29" s="6">
        <f>'Rate Class Customer Model'!F12</f>
        <v>2</v>
      </c>
      <c r="K29" s="6">
        <f>'Rate Class Customer Model'!F13</f>
        <v>2</v>
      </c>
      <c r="L29" s="24">
        <v>2</v>
      </c>
      <c r="M29" s="24">
        <f>+'Rate Class Customer Model'!F14</f>
        <v>2</v>
      </c>
      <c r="N29" s="6">
        <v>2</v>
      </c>
      <c r="O29" s="6">
        <f>+'Rate Class Customer Model'!F15</f>
        <v>2</v>
      </c>
      <c r="P29" s="6">
        <f>+'Rate Class Customer Model'!F16</f>
        <v>2</v>
      </c>
      <c r="Q29" s="6">
        <f>+'Rate Class Customer Model'!F17</f>
        <v>3</v>
      </c>
      <c r="R29" s="6">
        <f>+'Rate Class Customer Model'!F18</f>
        <v>3</v>
      </c>
      <c r="S29" s="6">
        <f>+'Rate Class Customer Model'!F19</f>
        <v>3</v>
      </c>
      <c r="T29" s="6">
        <f>+'Rate Class Customer Model'!F20</f>
        <v>3</v>
      </c>
    </row>
    <row r="30" spans="1:20" ht="12.75">
      <c r="A30" t="s">
        <v>51</v>
      </c>
      <c r="C30" s="6">
        <f>'Rate Class Energy Model'!L6</f>
        <v>46895461.751254484</v>
      </c>
      <c r="D30" s="6">
        <f>'Rate Class Energy Model'!L7</f>
        <v>59872905.694558784</v>
      </c>
      <c r="E30" s="6">
        <f>'Rate Class Energy Model'!L8</f>
        <v>73457084.37807998</v>
      </c>
      <c r="F30" s="6">
        <f>'Rate Class Energy Model'!L9</f>
        <v>83457792.91346338</v>
      </c>
      <c r="G30" s="6">
        <f>'Rate Class Energy Model'!L10</f>
        <v>89641173.17169322</v>
      </c>
      <c r="H30" s="6">
        <f>'Rate Class Energy Model'!L11</f>
        <v>90399608.04815884</v>
      </c>
      <c r="I30" s="6">
        <f>'Rate Class Energy Model'!L12</f>
        <v>91791513.2676196</v>
      </c>
      <c r="J30" s="6">
        <f>'Rate Class Energy Model'!L13</f>
        <v>83253315.39674725</v>
      </c>
      <c r="K30" s="6">
        <f>'Rate Class Energy Model'!L14</f>
        <v>60254116.21488424</v>
      </c>
      <c r="L30" s="24">
        <v>81945598.05224256</v>
      </c>
      <c r="M30" s="24">
        <f>+'Rate Class Energy Model'!L15</f>
        <v>76336019.67999999</v>
      </c>
      <c r="N30" s="6">
        <v>85702235.10921724</v>
      </c>
      <c r="O30" s="6">
        <f>+'Rate Class Energy Model'!L16</f>
        <v>80336534</v>
      </c>
      <c r="P30" s="6">
        <f>+'Rate Class Energy Model'!L17</f>
        <v>86554626</v>
      </c>
      <c r="Q30" s="6">
        <f>+'Rate Class Energy Model'!L18</f>
        <v>127931414.90000002</v>
      </c>
      <c r="R30" s="6">
        <f>+'Rate Class Energy Model'!L19</f>
        <v>133427900.34</v>
      </c>
      <c r="S30" s="6">
        <f>+'Rate Class Energy Model'!L76</f>
        <v>135925899.16066048</v>
      </c>
      <c r="T30" s="6">
        <f>+'Rate Class Energy Model'!L77</f>
        <v>135893889.41732097</v>
      </c>
    </row>
    <row r="31" spans="1:20" ht="12.75">
      <c r="A31" t="s">
        <v>52</v>
      </c>
      <c r="C31" s="6">
        <f>'Rate Class Load Model'!D4</f>
        <v>105657</v>
      </c>
      <c r="D31" s="6">
        <f>'Rate Class Load Model'!D5</f>
        <v>125800</v>
      </c>
      <c r="E31" s="6">
        <f>'Rate Class Load Model'!D6</f>
        <v>164458</v>
      </c>
      <c r="F31" s="6">
        <f>'Rate Class Load Model'!D7</f>
        <v>186557</v>
      </c>
      <c r="G31" s="6">
        <f>'Rate Class Load Model'!D8</f>
        <v>184313.3</v>
      </c>
      <c r="H31" s="6">
        <f>'Rate Class Load Model'!D9</f>
        <v>187387.38999999998</v>
      </c>
      <c r="I31" s="6">
        <f>'Rate Class Load Model'!D10</f>
        <v>187645.52</v>
      </c>
      <c r="J31" s="6">
        <f>'Rate Class Load Model'!D11</f>
        <v>187386.68</v>
      </c>
      <c r="K31" s="6">
        <f>'Rate Class Load Model'!D12</f>
        <v>154281.77</v>
      </c>
      <c r="L31" s="24">
        <v>180397.82152705948</v>
      </c>
      <c r="M31" s="24">
        <f>+'Rate Class Load Model'!D13</f>
        <v>174023</v>
      </c>
      <c r="N31" s="6">
        <v>188667.80987852663</v>
      </c>
      <c r="O31" s="1">
        <f>+'Rate Class Load Model'!D14</f>
        <v>175385</v>
      </c>
      <c r="P31" s="1">
        <f>+'Rate Class Load Model'!D15</f>
        <v>179954</v>
      </c>
      <c r="Q31" s="1">
        <f>+'Rate Class Load Model'!D16</f>
        <v>246682.37</v>
      </c>
      <c r="R31" s="6">
        <f>+'Rate Class Load Model'!D17</f>
        <v>253601.38999999998</v>
      </c>
      <c r="S31" s="6">
        <f>+'Rate Class Load Model'!D18</f>
        <v>260223.44518110462</v>
      </c>
      <c r="T31" s="6">
        <f>+'Rate Class Load Model'!D19</f>
        <v>260162.16410264492</v>
      </c>
    </row>
    <row r="32" spans="10:20" ht="4.5" customHeight="1">
      <c r="J32" s="20"/>
      <c r="K32" s="20"/>
      <c r="N32" s="38"/>
      <c r="O32" s="1"/>
      <c r="P32" s="1"/>
      <c r="Q32" s="1"/>
      <c r="R32" s="6"/>
      <c r="S32" s="6"/>
      <c r="T32" s="6"/>
    </row>
    <row r="33" spans="1:20" ht="12.75">
      <c r="A33" s="33" t="str">
        <f>'Rate Class Energy Model'!M2</f>
        <v>Streetlights </v>
      </c>
      <c r="B33" s="33"/>
      <c r="N33" s="6"/>
      <c r="O33" s="1"/>
      <c r="P33" s="1"/>
      <c r="Q33" s="1"/>
      <c r="R33" s="6"/>
      <c r="S33" s="6"/>
      <c r="T33" s="6"/>
    </row>
    <row r="34" spans="1:20" ht="12.75">
      <c r="A34" t="s">
        <v>74</v>
      </c>
      <c r="C34" s="6">
        <f>'Rate Class Customer Model'!G5</f>
        <v>2283</v>
      </c>
      <c r="D34" s="6">
        <f>'Rate Class Customer Model'!G6</f>
        <v>2348</v>
      </c>
      <c r="E34" s="6">
        <f>'Rate Class Customer Model'!G7</f>
        <v>2408</v>
      </c>
      <c r="F34" s="6">
        <f>'Rate Class Customer Model'!G8</f>
        <v>2466</v>
      </c>
      <c r="G34" s="6">
        <f>'Rate Class Customer Model'!G9</f>
        <v>2529</v>
      </c>
      <c r="H34" s="6">
        <f>'Rate Class Customer Model'!G10</f>
        <v>2579</v>
      </c>
      <c r="I34" s="6">
        <f>'Rate Class Customer Model'!G11</f>
        <v>2634</v>
      </c>
      <c r="J34" s="6">
        <f>'Rate Class Customer Model'!G12</f>
        <v>2709</v>
      </c>
      <c r="K34" s="6">
        <f>'Rate Class Customer Model'!G13</f>
        <v>2774</v>
      </c>
      <c r="L34" s="24">
        <v>2833.9507631542415</v>
      </c>
      <c r="M34" s="24">
        <f>+'Rate Class Customer Model'!G14</f>
        <v>2795</v>
      </c>
      <c r="N34" s="6">
        <v>2895.197162214314</v>
      </c>
      <c r="O34" s="6">
        <f>+'Rate Class Customer Model'!G15</f>
        <v>2900</v>
      </c>
      <c r="P34" s="6">
        <f>+'Rate Class Customer Model'!G16</f>
        <v>2991</v>
      </c>
      <c r="Q34" s="6">
        <f>+'Rate Class Customer Model'!G17</f>
        <v>3046</v>
      </c>
      <c r="R34" s="6">
        <f>+'Rate Class Customer Model'!G18</f>
        <v>3097</v>
      </c>
      <c r="S34" s="6">
        <f>+'Rate Class Customer Model'!G19</f>
        <v>3164.614044620675</v>
      </c>
      <c r="T34" s="6">
        <f>+'Rate Class Customer Model'!G20</f>
        <v>3233.7042464999763</v>
      </c>
    </row>
    <row r="35" spans="1:20" ht="13.5" thickBot="1">
      <c r="A35" t="s">
        <v>51</v>
      </c>
      <c r="C35" s="6">
        <f>'Rate Class Energy Model'!M6</f>
        <v>2910384</v>
      </c>
      <c r="D35" s="6">
        <f>'Rate Class Energy Model'!M7</f>
        <v>3070173</v>
      </c>
      <c r="E35" s="6">
        <f>'Rate Class Energy Model'!M8</f>
        <v>3488004</v>
      </c>
      <c r="F35" s="6">
        <f>'Rate Class Energy Model'!M9</f>
        <v>3650549</v>
      </c>
      <c r="G35" s="6">
        <f>'Rate Class Energy Model'!M10</f>
        <v>3961621.809999999</v>
      </c>
      <c r="H35" s="6">
        <f>'Rate Class Energy Model'!M11</f>
        <v>4232884.96</v>
      </c>
      <c r="I35" s="6">
        <f>'Rate Class Energy Model'!M12</f>
        <v>4566123.35</v>
      </c>
      <c r="J35" s="6">
        <f>'Rate Class Energy Model'!M13</f>
        <v>4960008.7</v>
      </c>
      <c r="K35" s="6">
        <f>'Rate Class Energy Model'!M14</f>
        <v>5438382.319999999</v>
      </c>
      <c r="L35" s="24">
        <v>5863007.384719074</v>
      </c>
      <c r="M35" s="24">
        <f>+'Rate Class Energy Model'!M15</f>
        <v>6055918.620000001</v>
      </c>
      <c r="N35" s="6">
        <v>6320786.875695491</v>
      </c>
      <c r="O35" s="6">
        <f>+'Rate Class Energy Model'!M16</f>
        <v>6418516</v>
      </c>
      <c r="P35" s="6">
        <f>+'Rate Class Energy Model'!M17</f>
        <v>6834941</v>
      </c>
      <c r="Q35" s="6">
        <f>+'Rate Class Energy Model'!M18</f>
        <v>7077824.87</v>
      </c>
      <c r="R35" s="6">
        <f>+'Rate Class Energy Model'!M19</f>
        <v>7239934.31</v>
      </c>
      <c r="S35" s="6">
        <f>+'Rate Class Energy Model'!M76</f>
        <v>7751250.811508366</v>
      </c>
      <c r="T35" s="6">
        <f>+'Rate Class Energy Model'!M77</f>
        <v>8298678.76838638</v>
      </c>
    </row>
    <row r="36" spans="1:30" ht="12.75">
      <c r="A36" t="s">
        <v>52</v>
      </c>
      <c r="C36" s="6">
        <f>'Rate Class Load Model'!E4</f>
        <v>8091</v>
      </c>
      <c r="D36" s="6">
        <f>'Rate Class Load Model'!E5</f>
        <v>9249</v>
      </c>
      <c r="E36" s="6">
        <f>'Rate Class Load Model'!E6</f>
        <v>9813</v>
      </c>
      <c r="F36" s="6">
        <f>'Rate Class Load Model'!E7</f>
        <v>10170</v>
      </c>
      <c r="G36" s="6">
        <f>'Rate Class Load Model'!E8</f>
        <v>11151.39</v>
      </c>
      <c r="H36" s="6">
        <f>'Rate Class Load Model'!E9</f>
        <v>11810.400000000005</v>
      </c>
      <c r="I36" s="6">
        <f>'Rate Class Load Model'!E10</f>
        <v>12737.500000000004</v>
      </c>
      <c r="J36" s="6">
        <f>'Rate Class Load Model'!E11</f>
        <v>13799.250000000002</v>
      </c>
      <c r="K36" s="6">
        <f>'Rate Class Load Model'!E12</f>
        <v>15174.12</v>
      </c>
      <c r="L36" s="24">
        <v>16519.794968496117</v>
      </c>
      <c r="M36" s="24">
        <f>+'Rate Class Load Model'!E13</f>
        <v>16892</v>
      </c>
      <c r="N36" s="6">
        <v>17809.64893515205</v>
      </c>
      <c r="O36" s="6">
        <f>+'Rate Class Load Model'!E14</f>
        <v>17894</v>
      </c>
      <c r="P36" s="6">
        <f>+'Rate Class Load Model'!E15</f>
        <v>19000</v>
      </c>
      <c r="Q36" s="6">
        <f>+'Rate Class Load Model'!E16</f>
        <v>19747.59</v>
      </c>
      <c r="R36" s="6">
        <f>+'Rate Class Load Model'!E17</f>
        <v>20172.63</v>
      </c>
      <c r="S36" s="6">
        <f>+'Rate Class Load Model'!E18</f>
        <v>21754.490256975914</v>
      </c>
      <c r="T36" s="6">
        <f>+'Rate Class Load Model'!E19</f>
        <v>23290.88953547914</v>
      </c>
      <c r="Y36" s="185"/>
      <c r="Z36" s="186"/>
      <c r="AA36" s="208" t="s">
        <v>153</v>
      </c>
      <c r="AB36" s="208"/>
      <c r="AC36" s="186">
        <v>2015</v>
      </c>
      <c r="AD36" s="187">
        <v>2016</v>
      </c>
    </row>
    <row r="37" spans="3:30" ht="4.5" customHeight="1">
      <c r="C37" s="6"/>
      <c r="D37" s="6"/>
      <c r="E37" s="6"/>
      <c r="F37" s="6"/>
      <c r="G37" s="6"/>
      <c r="H37" s="6"/>
      <c r="I37" s="6"/>
      <c r="J37" s="6"/>
      <c r="K37" s="6"/>
      <c r="L37" s="24"/>
      <c r="M37" s="24"/>
      <c r="N37" s="6"/>
      <c r="O37" s="1"/>
      <c r="P37" s="1"/>
      <c r="Q37" s="1"/>
      <c r="R37" s="6"/>
      <c r="S37" s="6"/>
      <c r="T37" s="6"/>
      <c r="Y37" s="188"/>
      <c r="Z37" s="176"/>
      <c r="AA37" s="176"/>
      <c r="AB37" s="176"/>
      <c r="AC37" s="176"/>
      <c r="AD37" s="189"/>
    </row>
    <row r="38" spans="1:30" ht="12.75">
      <c r="A38" s="33" t="str">
        <f>'Rate Class Energy Model'!N2</f>
        <v>Sentinel Lights</v>
      </c>
      <c r="B38" s="33"/>
      <c r="N38" s="6"/>
      <c r="O38" s="1"/>
      <c r="P38" s="1"/>
      <c r="Q38" s="1"/>
      <c r="R38" s="6"/>
      <c r="S38" s="6"/>
      <c r="T38" s="6"/>
      <c r="Y38" s="188" t="s">
        <v>149</v>
      </c>
      <c r="Z38" s="176"/>
      <c r="AA38" s="176" t="s">
        <v>151</v>
      </c>
      <c r="AB38" s="176" t="s">
        <v>152</v>
      </c>
      <c r="AC38" s="176" t="s">
        <v>158</v>
      </c>
      <c r="AD38" s="189" t="s">
        <v>159</v>
      </c>
    </row>
    <row r="39" spans="1:30" ht="12.75">
      <c r="A39" t="s">
        <v>74</v>
      </c>
      <c r="C39" s="6">
        <f>'Rate Class Customer Model'!H5</f>
        <v>329</v>
      </c>
      <c r="D39" s="6">
        <f>'Rate Class Customer Model'!H6</f>
        <v>301</v>
      </c>
      <c r="E39" s="6">
        <f>'Rate Class Customer Model'!H7</f>
        <v>311</v>
      </c>
      <c r="F39" s="6">
        <f>'Rate Class Customer Model'!H8</f>
        <v>309</v>
      </c>
      <c r="G39" s="6">
        <f>'Rate Class Customer Model'!H9</f>
        <v>298</v>
      </c>
      <c r="H39" s="6">
        <f>'Rate Class Customer Model'!H10</f>
        <v>295</v>
      </c>
      <c r="I39" s="6">
        <f>'Rate Class Customer Model'!H11</f>
        <v>290</v>
      </c>
      <c r="J39" s="6">
        <f>'Rate Class Customer Model'!H12</f>
        <v>288</v>
      </c>
      <c r="K39" s="6">
        <f>'Rate Class Customer Model'!H13</f>
        <v>279</v>
      </c>
      <c r="L39" s="24">
        <v>274.5220537260221</v>
      </c>
      <c r="M39" s="24">
        <f>+'Rate Class Customer Model'!H14</f>
        <v>266</v>
      </c>
      <c r="N39" s="6">
        <v>270.1159784299389</v>
      </c>
      <c r="O39" s="6">
        <f>+'Rate Class Customer Model'!H15</f>
        <v>265</v>
      </c>
      <c r="P39" s="6">
        <f>+'Rate Class Customer Model'!H16</f>
        <v>265</v>
      </c>
      <c r="Q39" s="6">
        <f>+'Rate Class Customer Model'!H17</f>
        <v>256</v>
      </c>
      <c r="R39" s="6">
        <f>+'Rate Class Customer Model'!H18</f>
        <v>251</v>
      </c>
      <c r="S39" s="6">
        <f>+'Rate Class Customer Model'!H19</f>
        <v>246.56251236299744</v>
      </c>
      <c r="T39" s="6">
        <f>+'Rate Class Customer Model'!H20</f>
        <v>242.2034761065867</v>
      </c>
      <c r="Y39" s="188" t="s">
        <v>150</v>
      </c>
      <c r="Z39" s="176"/>
      <c r="AA39" s="176">
        <v>0</v>
      </c>
      <c r="AB39" s="176">
        <v>-13380</v>
      </c>
      <c r="AC39" s="176"/>
      <c r="AD39" s="189"/>
    </row>
    <row r="40" spans="1:30" ht="12.75">
      <c r="A40" t="s">
        <v>51</v>
      </c>
      <c r="C40" s="6">
        <f>'Rate Class Energy Model'!N6</f>
        <v>193936</v>
      </c>
      <c r="D40" s="6">
        <f>'Rate Class Energy Model'!N7</f>
        <v>193936</v>
      </c>
      <c r="E40" s="6">
        <f>'Rate Class Energy Model'!N8</f>
        <v>192008</v>
      </c>
      <c r="F40" s="6">
        <f>'Rate Class Energy Model'!N9</f>
        <v>191280</v>
      </c>
      <c r="G40" s="6">
        <f>'Rate Class Energy Model'!N10</f>
        <v>184460.99999999988</v>
      </c>
      <c r="H40" s="6">
        <f>'Rate Class Energy Model'!N11</f>
        <v>180811.99999999988</v>
      </c>
      <c r="I40" s="6">
        <f>'Rate Class Energy Model'!N12</f>
        <v>178317.3999999999</v>
      </c>
      <c r="J40" s="6">
        <f>'Rate Class Energy Model'!N13</f>
        <v>176575.79999999987</v>
      </c>
      <c r="K40" s="6">
        <f>'Rate Class Energy Model'!N14</f>
        <v>172686.87999999983</v>
      </c>
      <c r="L40" s="24">
        <v>169915.25788221895</v>
      </c>
      <c r="M40" s="24">
        <f>+'Rate Class Energy Model'!N15</f>
        <v>158811</v>
      </c>
      <c r="N40" s="6">
        <v>167188.12026241363</v>
      </c>
      <c r="O40" s="6">
        <f>+'Rate Class Energy Model'!N16</f>
        <v>158082</v>
      </c>
      <c r="P40" s="6">
        <f>+'Rate Class Energy Model'!N17</f>
        <v>155804</v>
      </c>
      <c r="Q40" s="6">
        <f>+'Rate Class Energy Model'!N18</f>
        <v>153123.74</v>
      </c>
      <c r="R40" s="6">
        <f>+'Rate Class Energy Model'!N19</f>
        <v>151002.67</v>
      </c>
      <c r="S40" s="6">
        <f>+'Rate Class Energy Model'!N76</f>
        <v>148333.0585207993</v>
      </c>
      <c r="T40" s="6">
        <f>+'Rate Class Energy Model'!N77</f>
        <v>145710.64372659678</v>
      </c>
      <c r="Y40" s="188" t="s">
        <v>154</v>
      </c>
      <c r="Z40" s="176"/>
      <c r="AA40" s="176">
        <v>-2</v>
      </c>
      <c r="AB40" s="176">
        <v>-150</v>
      </c>
      <c r="AC40" s="176"/>
      <c r="AD40" s="189"/>
    </row>
    <row r="41" spans="1:30" ht="12.75">
      <c r="A41" t="s">
        <v>52</v>
      </c>
      <c r="C41" s="6">
        <f>'Rate Class Load Model'!F4</f>
        <v>535</v>
      </c>
      <c r="D41" s="6">
        <f>'Rate Class Load Model'!F5</f>
        <v>539</v>
      </c>
      <c r="E41" s="6">
        <f>'Rate Class Load Model'!F6</f>
        <v>533</v>
      </c>
      <c r="F41" s="6">
        <f>'Rate Class Load Model'!F7</f>
        <v>531</v>
      </c>
      <c r="G41" s="6">
        <f>'Rate Class Load Model'!F8</f>
        <v>512.0970873786407</v>
      </c>
      <c r="H41" s="6">
        <f>'Rate Class Load Model'!F9</f>
        <v>506.94174757281553</v>
      </c>
      <c r="I41" s="6">
        <f>'Rate Class Load Model'!F10</f>
        <v>498.34951456310677</v>
      </c>
      <c r="J41" s="6">
        <f>'Rate Class Load Model'!F11</f>
        <v>494.9126213592233</v>
      </c>
      <c r="K41" s="6">
        <f>'Rate Class Load Model'!F12</f>
        <v>479.44660194174753</v>
      </c>
      <c r="L41" s="24">
        <v>472.8119761064526</v>
      </c>
      <c r="M41" s="24">
        <f>+'Rate Class Load Model'!F13</f>
        <v>441.14166666666665</v>
      </c>
      <c r="N41" s="6">
        <v>465.2233502043091</v>
      </c>
      <c r="O41" s="6">
        <f>+'Rate Class Load Model'!F14</f>
        <v>439.1166666666667</v>
      </c>
      <c r="P41" s="6">
        <f>+'Rate Class Load Model'!F15</f>
        <v>412.7016666666666</v>
      </c>
      <c r="Q41" s="6">
        <f>+'Rate Class Load Model'!F16</f>
        <v>425.3437222222222</v>
      </c>
      <c r="R41" s="6">
        <f>+'Rate Class Load Model'!F17</f>
        <v>419.4527777777778</v>
      </c>
      <c r="S41" s="6">
        <f>+'Rate Class Load Model'!F18</f>
        <v>411.1334123903725</v>
      </c>
      <c r="T41" s="6">
        <f>+'Rate Class Load Model'!F19</f>
        <v>403.86488874638457</v>
      </c>
      <c r="Y41" s="188" t="s">
        <v>155</v>
      </c>
      <c r="Z41" s="176"/>
      <c r="AA41" s="176">
        <v>-1</v>
      </c>
      <c r="AB41" s="176">
        <v>-1503</v>
      </c>
      <c r="AC41" s="176"/>
      <c r="AD41" s="189"/>
    </row>
    <row r="42" spans="14:30" ht="4.5" customHeight="1">
      <c r="N42" s="1"/>
      <c r="O42" s="1"/>
      <c r="P42" s="1"/>
      <c r="Q42" s="1"/>
      <c r="R42" s="6"/>
      <c r="S42" s="6"/>
      <c r="T42" s="6"/>
      <c r="Y42" s="188"/>
      <c r="Z42" s="176"/>
      <c r="AA42" s="176"/>
      <c r="AB42" s="176"/>
      <c r="AC42" s="176"/>
      <c r="AD42" s="189"/>
    </row>
    <row r="43" spans="1:30" ht="12.75">
      <c r="A43" s="33" t="str">
        <f>'Rate Class Energy Model'!O2</f>
        <v>Unmetered Loads </v>
      </c>
      <c r="B43" s="33"/>
      <c r="N43" s="1"/>
      <c r="O43" s="1"/>
      <c r="P43" s="1"/>
      <c r="Q43" s="1"/>
      <c r="R43" s="6"/>
      <c r="S43" s="6"/>
      <c r="T43" s="6"/>
      <c r="Y43" s="188" t="s">
        <v>156</v>
      </c>
      <c r="Z43" s="176"/>
      <c r="AA43" s="176">
        <v>38</v>
      </c>
      <c r="AB43" s="176">
        <v>194</v>
      </c>
      <c r="AC43" s="176"/>
      <c r="AD43" s="189"/>
    </row>
    <row r="44" spans="1:30" ht="12.75">
      <c r="A44" t="s">
        <v>74</v>
      </c>
      <c r="C44" s="6">
        <f>'Rate Class Customer Model'!I5</f>
        <v>110</v>
      </c>
      <c r="D44" s="6">
        <f>'Rate Class Customer Model'!I6</f>
        <v>114</v>
      </c>
      <c r="E44" s="6">
        <f>'Rate Class Customer Model'!I7</f>
        <v>122</v>
      </c>
      <c r="F44" s="6">
        <f>'Rate Class Customer Model'!I8</f>
        <v>137</v>
      </c>
      <c r="G44" s="6">
        <f>'Rate Class Customer Model'!I9</f>
        <v>139</v>
      </c>
      <c r="H44" s="6">
        <f>'Rate Class Customer Model'!I10</f>
        <v>142</v>
      </c>
      <c r="I44" s="6">
        <f>'Rate Class Customer Model'!I11</f>
        <v>168.5674232309746</v>
      </c>
      <c r="J44" s="6">
        <f>'Rate Class Customer Model'!I12</f>
        <v>176.43297587131366</v>
      </c>
      <c r="K44" s="6">
        <f>'Rate Class Customer Model'!I13</f>
        <v>182.99999999999997</v>
      </c>
      <c r="L44" s="24">
        <v>195.0219031734995</v>
      </c>
      <c r="M44" s="24">
        <f>+'Rate Class Customer Model'!I14</f>
        <v>184</v>
      </c>
      <c r="N44" s="6">
        <v>207.83356676182416</v>
      </c>
      <c r="O44" s="6">
        <f>+'Rate Class Customer Model'!I15</f>
        <v>187</v>
      </c>
      <c r="P44" s="6">
        <f>+'Rate Class Customer Model'!I16</f>
        <v>192</v>
      </c>
      <c r="Q44" s="6">
        <f>+'Rate Class Customer Model'!I17</f>
        <v>192</v>
      </c>
      <c r="R44" s="6">
        <f>+'Rate Class Customer Model'!I18</f>
        <v>189</v>
      </c>
      <c r="S44" s="6">
        <f>+'Rate Class Customer Model'!I19</f>
        <v>178</v>
      </c>
      <c r="T44" s="6">
        <f>+'Rate Class Customer Model'!I20</f>
        <v>178</v>
      </c>
      <c r="Y44" s="188" t="s">
        <v>157</v>
      </c>
      <c r="Z44" s="176"/>
      <c r="AA44" s="176">
        <v>2</v>
      </c>
      <c r="AB44" s="176">
        <f>-72-763-747-234-235-54-100-50-3283-182+144+36+100</f>
        <v>-5440</v>
      </c>
      <c r="AC44" s="176"/>
      <c r="AD44" s="189"/>
    </row>
    <row r="45" spans="1:30" ht="13.5" thickBot="1">
      <c r="A45" t="s">
        <v>51</v>
      </c>
      <c r="C45" s="6">
        <f>'Rate Class Energy Model'!O6</f>
        <v>594870.7800105764</v>
      </c>
      <c r="D45" s="6">
        <f>'Rate Class Energy Model'!O7</f>
        <v>714434</v>
      </c>
      <c r="E45" s="6">
        <f>'Rate Class Energy Model'!O8</f>
        <v>818065</v>
      </c>
      <c r="F45" s="6">
        <f>'Rate Class Energy Model'!O9</f>
        <v>939449</v>
      </c>
      <c r="G45" s="6">
        <f>'Rate Class Energy Model'!O10</f>
        <v>1010917</v>
      </c>
      <c r="H45" s="6">
        <f>'Rate Class Energy Model'!O11</f>
        <v>1034741</v>
      </c>
      <c r="I45" s="6">
        <f>'Rate Class Energy Model'!O12</f>
        <v>1077755</v>
      </c>
      <c r="J45" s="6">
        <f>'Rate Class Energy Model'!O13</f>
        <v>1176774</v>
      </c>
      <c r="K45" s="6">
        <f>'Rate Class Energy Model'!O14</f>
        <v>1259845</v>
      </c>
      <c r="L45" s="24">
        <v>1383738.1881631506</v>
      </c>
      <c r="M45" s="24">
        <f>+'Rate Class Energy Model'!O15</f>
        <v>1281024</v>
      </c>
      <c r="N45" s="6">
        <v>1519815.0354853482</v>
      </c>
      <c r="O45" s="6">
        <f>+'Rate Class Energy Model'!O16</f>
        <v>1298941</v>
      </c>
      <c r="P45" s="6">
        <f>+'Rate Class Energy Model'!O17</f>
        <v>1328091</v>
      </c>
      <c r="Q45" s="6">
        <f>+'Rate Class Energy Model'!O18</f>
        <v>1336647.2</v>
      </c>
      <c r="R45" s="6">
        <f>+'Rate Class Energy Model'!O19</f>
        <v>1339770.73</v>
      </c>
      <c r="S45" s="6">
        <f>+'Rate Class Energy Model'!O76</f>
        <v>1238375.73</v>
      </c>
      <c r="T45" s="6">
        <f>+'Rate Class Energy Model'!O77</f>
        <v>1096422.73</v>
      </c>
      <c r="Y45" s="190" t="s">
        <v>160</v>
      </c>
      <c r="Z45" s="133"/>
      <c r="AA45" s="133">
        <f>SUM(AA39:AA44)</f>
        <v>37</v>
      </c>
      <c r="AB45" s="133">
        <f>SUM(AB39:AB44)</f>
        <v>-20279</v>
      </c>
      <c r="AC45" s="133">
        <f>+AB45*5</f>
        <v>-101395</v>
      </c>
      <c r="AD45" s="191">
        <f>+AB45*12</f>
        <v>-243348</v>
      </c>
    </row>
    <row r="46" spans="14:20" ht="4.5" customHeight="1">
      <c r="N46" s="6"/>
      <c r="O46" s="1"/>
      <c r="P46" s="1"/>
      <c r="Q46" s="1"/>
      <c r="R46" s="6"/>
      <c r="S46" s="6"/>
      <c r="T46" s="6"/>
    </row>
    <row r="47" spans="1:30" ht="12.75">
      <c r="A47" s="33" t="s">
        <v>75</v>
      </c>
      <c r="B47" s="33"/>
      <c r="C47" s="6"/>
      <c r="D47" s="6"/>
      <c r="E47" s="6"/>
      <c r="F47" s="6"/>
      <c r="G47" s="6"/>
      <c r="H47" s="6"/>
      <c r="J47" s="6"/>
      <c r="K47" s="6"/>
      <c r="L47" s="24"/>
      <c r="M47" s="24"/>
      <c r="N47" s="1"/>
      <c r="O47" s="1"/>
      <c r="P47" s="1"/>
      <c r="Q47" s="1"/>
      <c r="R47" s="6"/>
      <c r="S47" s="6"/>
      <c r="T47" s="6"/>
      <c r="Y47" t="s">
        <v>151</v>
      </c>
      <c r="AC47" s="15">
        <f>+AA45*5/12</f>
        <v>15.416666666666666</v>
      </c>
      <c r="AD47">
        <f>+AA45</f>
        <v>37</v>
      </c>
    </row>
    <row r="48" spans="1:20" ht="12.75">
      <c r="A48" t="s">
        <v>61</v>
      </c>
      <c r="C48" s="6">
        <f aca="true" t="shared" si="1" ref="C48:E49">C11+C15+C19+C24+C29+C34+C39+C44</f>
        <v>14318</v>
      </c>
      <c r="D48" s="6">
        <f t="shared" si="1"/>
        <v>17020</v>
      </c>
      <c r="E48" s="6">
        <f t="shared" si="1"/>
        <v>18646</v>
      </c>
      <c r="F48" s="6">
        <f aca="true" t="shared" si="2" ref="F48:K48">F11+F15+F19+F24+F29+F34+F39+F44</f>
        <v>20716</v>
      </c>
      <c r="G48" s="6">
        <f t="shared" si="2"/>
        <v>22824</v>
      </c>
      <c r="H48" s="6">
        <f t="shared" si="2"/>
        <v>23994</v>
      </c>
      <c r="I48" s="6">
        <f t="shared" si="2"/>
        <v>25735</v>
      </c>
      <c r="J48" s="6">
        <f t="shared" si="2"/>
        <v>28354</v>
      </c>
      <c r="K48" s="6">
        <f t="shared" si="2"/>
        <v>30560.334</v>
      </c>
      <c r="L48" s="6">
        <f aca="true" t="shared" si="3" ref="L48:S48">L11+L15+L19+L24+L29+L34+L39+L44</f>
        <v>32194.444842052075</v>
      </c>
      <c r="M48" s="6">
        <f t="shared" si="3"/>
        <v>32387</v>
      </c>
      <c r="N48" s="6">
        <f t="shared" si="3"/>
        <v>33833.93201095589</v>
      </c>
      <c r="O48" s="6">
        <f t="shared" si="3"/>
        <v>33837</v>
      </c>
      <c r="P48" s="6">
        <f t="shared" si="3"/>
        <v>35772</v>
      </c>
      <c r="Q48" s="6">
        <f t="shared" si="3"/>
        <v>37567</v>
      </c>
      <c r="R48" s="6">
        <f t="shared" si="3"/>
        <v>38648</v>
      </c>
      <c r="S48" s="6">
        <f t="shared" si="3"/>
        <v>39473.17655698367</v>
      </c>
      <c r="T48" s="6">
        <f>T11+T15+T19+T24+T29+T34+T39+T44</f>
        <v>41114.89103979962</v>
      </c>
    </row>
    <row r="49" spans="1:20" ht="12.75">
      <c r="A49" t="s">
        <v>51</v>
      </c>
      <c r="C49" s="6">
        <f t="shared" si="1"/>
        <v>525513861.920527</v>
      </c>
      <c r="D49" s="6">
        <f t="shared" si="1"/>
        <v>564764318.9143891</v>
      </c>
      <c r="E49" s="6">
        <f t="shared" si="1"/>
        <v>585995585.0870725</v>
      </c>
      <c r="F49" s="6">
        <f aca="true" t="shared" si="4" ref="F49:K49">F12+F16+F20+F25+F30+F35+F40+F45</f>
        <v>589630610.8135729</v>
      </c>
      <c r="G49" s="6">
        <f t="shared" si="4"/>
        <v>636787690.2962409</v>
      </c>
      <c r="H49" s="6">
        <f t="shared" si="4"/>
        <v>636829104.2023412</v>
      </c>
      <c r="I49" s="6">
        <f t="shared" si="4"/>
        <v>672730918.0223122</v>
      </c>
      <c r="J49" s="6">
        <f t="shared" si="4"/>
        <v>685172481.5561754</v>
      </c>
      <c r="K49" s="6">
        <f t="shared" si="4"/>
        <v>673060305.5943639</v>
      </c>
      <c r="L49" s="6">
        <f aca="true" t="shared" si="5" ref="L49:S49">L12+L16+L20+L25+L30+L35+L40+L45</f>
        <v>706080870.1513474</v>
      </c>
      <c r="M49" s="6">
        <f t="shared" si="5"/>
        <v>725606710.2899997</v>
      </c>
      <c r="N49" s="6">
        <f t="shared" si="5"/>
        <v>730934798.8751802</v>
      </c>
      <c r="O49" s="6">
        <f t="shared" si="5"/>
        <v>754466669.8199999</v>
      </c>
      <c r="P49" s="6">
        <f t="shared" si="5"/>
        <v>783449113.6999999</v>
      </c>
      <c r="Q49" s="6">
        <f t="shared" si="5"/>
        <v>814644301.5</v>
      </c>
      <c r="R49" s="6">
        <f t="shared" si="5"/>
        <v>836470876.06</v>
      </c>
      <c r="S49" s="6">
        <f t="shared" si="5"/>
        <v>855893834.2471356</v>
      </c>
      <c r="T49" s="6">
        <f>T12+T16+T20+T25+T30+T35+T40+T45</f>
        <v>871840466.1865236</v>
      </c>
    </row>
    <row r="50" spans="1:20" ht="12.75">
      <c r="A50" t="s">
        <v>60</v>
      </c>
      <c r="C50" s="6">
        <f>C21+C26+C31+C36+C41</f>
        <v>783363</v>
      </c>
      <c r="D50" s="6">
        <f>D21+D26+D31+D36+D41</f>
        <v>837638</v>
      </c>
      <c r="E50" s="6">
        <f>E21+E26+E31+E36+E41</f>
        <v>855742</v>
      </c>
      <c r="F50" s="6">
        <f aca="true" t="shared" si="6" ref="F50:K50">F21+F26+F31+F36+F41</f>
        <v>847868</v>
      </c>
      <c r="G50" s="6">
        <f t="shared" si="6"/>
        <v>885111.1370873785</v>
      </c>
      <c r="H50" s="6">
        <f t="shared" si="6"/>
        <v>877076.461747573</v>
      </c>
      <c r="I50" s="6">
        <f t="shared" si="6"/>
        <v>916260.8395145627</v>
      </c>
      <c r="J50" s="6">
        <f t="shared" si="6"/>
        <v>943985.3526213594</v>
      </c>
      <c r="K50" s="6">
        <f t="shared" si="6"/>
        <v>925044.8966019418</v>
      </c>
      <c r="L50" s="6">
        <f aca="true" t="shared" si="7" ref="L50:T50">L21+L26+L31+L36+L41</f>
        <v>919576.3947804257</v>
      </c>
      <c r="M50" s="6">
        <f t="shared" si="7"/>
        <v>937531.1416666667</v>
      </c>
      <c r="N50" s="6">
        <f t="shared" si="7"/>
        <v>949126.199910043</v>
      </c>
      <c r="O50" s="6">
        <f t="shared" si="7"/>
        <v>957921.1166666667</v>
      </c>
      <c r="P50" s="6">
        <f t="shared" si="7"/>
        <v>1007362.0116666667</v>
      </c>
      <c r="Q50" s="6">
        <f t="shared" si="7"/>
        <v>1041359.1837222221</v>
      </c>
      <c r="R50" s="6">
        <f t="shared" si="7"/>
        <v>1053712.8527777777</v>
      </c>
      <c r="S50" s="6">
        <f t="shared" si="7"/>
        <v>1064767.8964888747</v>
      </c>
      <c r="T50" s="6">
        <f t="shared" si="7"/>
        <v>1085316.3068311873</v>
      </c>
    </row>
    <row r="51" spans="14:20" ht="4.5" customHeight="1">
      <c r="N51" s="1"/>
      <c r="O51" s="1"/>
      <c r="P51" s="1"/>
      <c r="Q51" s="1"/>
      <c r="R51" s="6"/>
      <c r="S51" s="6"/>
      <c r="T51" s="6"/>
    </row>
    <row r="52" spans="1:20" ht="12.75">
      <c r="A52" s="33" t="s">
        <v>76</v>
      </c>
      <c r="B52" s="33"/>
      <c r="N52" s="6"/>
      <c r="O52" s="1"/>
      <c r="P52" s="1"/>
      <c r="Q52" s="1"/>
      <c r="R52" s="6"/>
      <c r="S52" s="6"/>
      <c r="T52" s="6"/>
    </row>
    <row r="53" spans="1:20" ht="12.75">
      <c r="A53" t="s">
        <v>61</v>
      </c>
      <c r="C53" s="6">
        <f>+'Rate Class Customer Model'!J5</f>
        <v>14318</v>
      </c>
      <c r="D53" s="6">
        <f>+'Rate Class Customer Model'!J6</f>
        <v>17020</v>
      </c>
      <c r="E53" s="6">
        <f>'Rate Class Customer Model'!J7</f>
        <v>18646</v>
      </c>
      <c r="F53" s="6">
        <f>'Rate Class Customer Model'!J8</f>
        <v>20716</v>
      </c>
      <c r="G53" s="6">
        <f>'Rate Class Customer Model'!J9</f>
        <v>22824</v>
      </c>
      <c r="H53" s="6">
        <f>'Rate Class Customer Model'!J10</f>
        <v>23994</v>
      </c>
      <c r="I53" s="6">
        <f>'Rate Class Customer Model'!J11</f>
        <v>25735</v>
      </c>
      <c r="J53" s="6">
        <f>'Rate Class Customer Model'!J12</f>
        <v>28354</v>
      </c>
      <c r="K53" s="6">
        <f>'Rate Class Customer Model'!J13</f>
        <v>30560.334</v>
      </c>
      <c r="L53" s="6">
        <v>32194.444842052075</v>
      </c>
      <c r="M53" s="6">
        <f>+'Rate Class Customer Model'!J14</f>
        <v>32387</v>
      </c>
      <c r="N53" s="6">
        <v>33833.93201095589</v>
      </c>
      <c r="O53" s="6">
        <f>+'Rate Class Customer Model'!J15</f>
        <v>33837</v>
      </c>
      <c r="P53" s="6">
        <f>+'Rate Class Customer Model'!J16</f>
        <v>35772</v>
      </c>
      <c r="Q53" s="6">
        <f>+'Rate Class Customer Model'!J17</f>
        <v>37567</v>
      </c>
      <c r="R53" s="6">
        <f>+'Rate Class Customer Model'!J18</f>
        <v>38648</v>
      </c>
      <c r="S53" s="6">
        <f>+'Rate Class Customer Model'!J19</f>
        <v>39473.17655698367</v>
      </c>
      <c r="T53" s="6">
        <f>+'Rate Class Customer Model'!J20</f>
        <v>41114.89103979962</v>
      </c>
    </row>
    <row r="54" spans="1:20" ht="12.75">
      <c r="A54" t="s">
        <v>51</v>
      </c>
      <c r="C54" s="6">
        <f>+'Rate Class Energy Model'!G6</f>
        <v>525513861.920527</v>
      </c>
      <c r="D54" s="6">
        <f>+'Rate Class Energy Model'!G7</f>
        <v>564764318.9143891</v>
      </c>
      <c r="E54" s="6">
        <f>'Rate Class Energy Model'!G8</f>
        <v>585995585.0870725</v>
      </c>
      <c r="F54" s="6">
        <f>'Rate Class Energy Model'!G9</f>
        <v>589630610.8135729</v>
      </c>
      <c r="G54" s="6">
        <f>'Rate Class Energy Model'!G10</f>
        <v>636787690.2962409</v>
      </c>
      <c r="H54" s="6">
        <f>'Rate Class Energy Model'!G11</f>
        <v>636829104.2023412</v>
      </c>
      <c r="I54" s="6">
        <f>'Rate Class Energy Model'!G12</f>
        <v>672730918.0223122</v>
      </c>
      <c r="J54" s="6">
        <f>'Rate Class Energy Model'!G13</f>
        <v>685172481.5561754</v>
      </c>
      <c r="K54" s="6">
        <f>'Rate Class Energy Model'!G14</f>
        <v>673060305.5943639</v>
      </c>
      <c r="L54" s="24">
        <v>706080870.1513474</v>
      </c>
      <c r="M54" s="24">
        <f>+'Rate Class Energy Model'!G15</f>
        <v>725606710.2899997</v>
      </c>
      <c r="N54" s="6">
        <v>730934798.8751802</v>
      </c>
      <c r="O54" s="6">
        <f>+'Rate Class Energy Model'!G16</f>
        <v>754466669.8199999</v>
      </c>
      <c r="P54" s="6">
        <f>+'Rate Class Energy Model'!G17</f>
        <v>783449113.6999999</v>
      </c>
      <c r="Q54" s="6">
        <f>+'Rate Class Energy Model'!G18</f>
        <v>814644301.5</v>
      </c>
      <c r="R54" s="6">
        <f>+'Rate Class Energy Model'!G19</f>
        <v>836470876.06</v>
      </c>
      <c r="S54" s="6">
        <f>+'Rate Class Energy Model'!G76</f>
        <v>855893834.2471356</v>
      </c>
      <c r="T54" s="6">
        <f>+'Rate Class Energy Model'!G77</f>
        <v>871840466.1865236</v>
      </c>
    </row>
    <row r="55" spans="1:20" ht="12.75">
      <c r="A55" t="s">
        <v>60</v>
      </c>
      <c r="C55" s="6">
        <f>+'Rate Class Load Model'!G4</f>
        <v>783363</v>
      </c>
      <c r="D55" s="6">
        <f>+'Rate Class Load Model'!G5</f>
        <v>837638</v>
      </c>
      <c r="E55" s="6">
        <f>'Rate Class Load Model'!G6</f>
        <v>855742</v>
      </c>
      <c r="F55" s="6">
        <f>'Rate Class Load Model'!G7</f>
        <v>847868</v>
      </c>
      <c r="G55" s="6">
        <f>'Rate Class Load Model'!G8</f>
        <v>885111.1370873785</v>
      </c>
      <c r="H55" s="6">
        <f>'Rate Class Load Model'!G9</f>
        <v>877076.461747573</v>
      </c>
      <c r="I55" s="6">
        <f>'Rate Class Load Model'!G10</f>
        <v>916260.8395145627</v>
      </c>
      <c r="J55" s="6">
        <f>'Rate Class Load Model'!G11</f>
        <v>943985.3526213594</v>
      </c>
      <c r="K55" s="6">
        <f>'Rate Class Load Model'!G12</f>
        <v>925044.8966019418</v>
      </c>
      <c r="L55" s="24">
        <v>919576.3947804257</v>
      </c>
      <c r="M55" s="24">
        <f>+'Rate Class Load Model'!G13</f>
        <v>937531.1416666667</v>
      </c>
      <c r="N55" s="6">
        <v>949126.199910043</v>
      </c>
      <c r="O55" s="6">
        <f>+'Rate Class Load Model'!G14</f>
        <v>957921.1166666667</v>
      </c>
      <c r="P55" s="6">
        <f>+'Rate Class Load Model'!G15</f>
        <v>1007362.0116666667</v>
      </c>
      <c r="Q55" s="6">
        <f>+'Rate Class Load Model'!G16</f>
        <v>1041359.1837222221</v>
      </c>
      <c r="R55" s="6">
        <f>+'Rate Class Load Model'!G17</f>
        <v>1053712.8527777777</v>
      </c>
      <c r="S55" s="6">
        <f>+'Rate Class Load Model'!G18</f>
        <v>1064767.8964888747</v>
      </c>
      <c r="T55" s="6">
        <f>+'Rate Class Load Model'!G19</f>
        <v>1085316.3068311873</v>
      </c>
    </row>
    <row r="56" spans="14:20" ht="4.5" customHeight="1">
      <c r="N56" s="1"/>
      <c r="O56" s="1"/>
      <c r="P56" s="1"/>
      <c r="Q56" s="1"/>
      <c r="R56" s="6"/>
      <c r="S56" s="6"/>
      <c r="T56" s="6"/>
    </row>
    <row r="57" spans="14:20" ht="12.75" customHeight="1">
      <c r="N57" s="1"/>
      <c r="O57" s="1"/>
      <c r="P57" s="1"/>
      <c r="Q57" s="1"/>
      <c r="R57" s="6"/>
      <c r="S57" s="6"/>
      <c r="T57" s="6"/>
    </row>
    <row r="58" spans="1:20" ht="12.75" customHeight="1">
      <c r="A58" t="s">
        <v>121</v>
      </c>
      <c r="C58" s="6"/>
      <c r="D58" s="6">
        <f>+((C11+C15+C19+C24+C29)+(D11+D15+D19+D24+D29))/2</f>
        <v>12926.5</v>
      </c>
      <c r="E58" s="6">
        <f aca="true" t="shared" si="8" ref="E58:J58">+((D11+D15+D19+D24+D29)+(E11+E15+E19+E24+E29))/2</f>
        <v>15031</v>
      </c>
      <c r="F58" s="6">
        <f t="shared" si="8"/>
        <v>16804.5</v>
      </c>
      <c r="G58" s="6">
        <f t="shared" si="8"/>
        <v>18831</v>
      </c>
      <c r="H58" s="6">
        <f t="shared" si="8"/>
        <v>20418</v>
      </c>
      <c r="I58" s="6">
        <f t="shared" si="8"/>
        <v>21810.216288384512</v>
      </c>
      <c r="J58" s="6">
        <f t="shared" si="8"/>
        <v>23911.499800448855</v>
      </c>
      <c r="K58" s="6">
        <f>+((J11+J15+J19+J24+J29)+(K11+K15+K19+K24+K29))/2</f>
        <v>26252.450512064344</v>
      </c>
      <c r="L58" s="6">
        <f>+((K11+K15+K19+K24+K29)+(L11+L15+L19+L24+L29))/2</f>
        <v>28107.642060999155</v>
      </c>
      <c r="M58" s="6">
        <f>+((K11+K15+K19+K24+K29)+(M11+M15+M19+M24+M29))/2</f>
        <v>28233.167</v>
      </c>
      <c r="N58" s="6">
        <f>+((L11+L15+L19+L24+L29)+(N11+N15+N19+N24+N29))/2</f>
        <v>29675.867712774063</v>
      </c>
      <c r="O58" s="6">
        <f>+((M11+M15+M19+M24+M29)+(O11+O15+O19+O24+O29))/2</f>
        <v>29813.5</v>
      </c>
      <c r="P58" s="6">
        <f>+((O11+O15+O19+O24+O29)+(P11+P15+P19+P24+P29))/2</f>
        <v>31404.5</v>
      </c>
      <c r="Q58" s="6">
        <f>+((P11+P15+P19+P24+P29)+(Q11+Q15+Q19+Q24+Q29))/2</f>
        <v>33198.5</v>
      </c>
      <c r="R58" s="6">
        <f>+((Q11+Q15+Q19+Q24+Q29)+(R11+R15+R19+R24+R29))/2</f>
        <v>34592</v>
      </c>
      <c r="S58" s="6">
        <f>+((R11+R15+R19+R24+R29)+(S11+S15+S19+S24+S29))/2</f>
        <v>35497.5</v>
      </c>
      <c r="T58" s="6">
        <f>+((S11+S15+S19+S24+S29)+(T11+T15+T19+T24+T29))/2</f>
        <v>36672.491658596526</v>
      </c>
    </row>
    <row r="59" spans="1:20" ht="12.75" customHeight="1">
      <c r="A59" t="s">
        <v>98</v>
      </c>
      <c r="C59" s="6"/>
      <c r="D59" s="6">
        <f aca="true" t="shared" si="9" ref="D59:J59">+(C53+D53)/2</f>
        <v>15669</v>
      </c>
      <c r="E59" s="6">
        <f t="shared" si="9"/>
        <v>17833</v>
      </c>
      <c r="F59" s="6">
        <f t="shared" si="9"/>
        <v>19681</v>
      </c>
      <c r="G59" s="6">
        <f t="shared" si="9"/>
        <v>21770</v>
      </c>
      <c r="H59" s="6">
        <f t="shared" si="9"/>
        <v>23409</v>
      </c>
      <c r="I59" s="6">
        <f t="shared" si="9"/>
        <v>24864.5</v>
      </c>
      <c r="J59" s="6">
        <f t="shared" si="9"/>
        <v>27044.5</v>
      </c>
      <c r="K59" s="6">
        <f>+(J53+K53)/2</f>
        <v>29457.167</v>
      </c>
      <c r="L59" s="6">
        <f>+(K53+L53)/2</f>
        <v>31377.389421026037</v>
      </c>
      <c r="M59" s="6">
        <f>+(K53+M53)/2</f>
        <v>31473.667</v>
      </c>
      <c r="N59" s="6">
        <f>+(L53+N53)/2</f>
        <v>33014.188426503984</v>
      </c>
      <c r="O59" s="6">
        <f>+(M53+O53)/2</f>
        <v>33112</v>
      </c>
      <c r="P59" s="6">
        <f>+(O53+P53)/2</f>
        <v>34804.5</v>
      </c>
      <c r="Q59" s="6">
        <f>+(P53+Q53)/2</f>
        <v>36669.5</v>
      </c>
      <c r="R59" s="6">
        <f>+(Q53+R53)/2</f>
        <v>38107.5</v>
      </c>
      <c r="S59" s="6">
        <f>+(R53+S53)/2</f>
        <v>39060.588278491836</v>
      </c>
      <c r="T59" s="6">
        <f>+(S53+T53)/2</f>
        <v>40294.03379839165</v>
      </c>
    </row>
    <row r="60" spans="1:20" ht="12.75">
      <c r="A60" s="33" t="s">
        <v>77</v>
      </c>
      <c r="B60" s="33"/>
      <c r="E60" s="6"/>
      <c r="F60" s="6"/>
      <c r="G60" s="6"/>
      <c r="H60" s="6"/>
      <c r="I60" s="6"/>
      <c r="J60" s="6"/>
      <c r="K60" s="6"/>
      <c r="L60" s="6"/>
      <c r="M60" s="6"/>
      <c r="N60" s="6"/>
      <c r="O60" s="1"/>
      <c r="P60" s="1"/>
      <c r="Q60" s="1"/>
      <c r="R60" s="6"/>
      <c r="S60" s="6"/>
      <c r="T60" s="6"/>
    </row>
    <row r="61" spans="1:20" ht="12.75">
      <c r="A61" t="s">
        <v>61</v>
      </c>
      <c r="C61" s="6">
        <f>C48-C53</f>
        <v>0</v>
      </c>
      <c r="D61" s="6">
        <f>D48-D53</f>
        <v>0</v>
      </c>
      <c r="E61" s="6">
        <f>E48-E53</f>
        <v>0</v>
      </c>
      <c r="F61" s="6">
        <f aca="true" t="shared" si="10" ref="F61:K61">F48-F53</f>
        <v>0</v>
      </c>
      <c r="G61" s="6">
        <f t="shared" si="10"/>
        <v>0</v>
      </c>
      <c r="H61" s="6">
        <f t="shared" si="10"/>
        <v>0</v>
      </c>
      <c r="I61" s="6">
        <f t="shared" si="10"/>
        <v>0</v>
      </c>
      <c r="J61" s="6">
        <f t="shared" si="10"/>
        <v>0</v>
      </c>
      <c r="K61" s="6">
        <f t="shared" si="10"/>
        <v>0</v>
      </c>
      <c r="L61" s="6">
        <f aca="true" t="shared" si="11" ref="L61:T61">L48-L53</f>
        <v>0</v>
      </c>
      <c r="M61" s="6">
        <f t="shared" si="11"/>
        <v>0</v>
      </c>
      <c r="N61" s="6">
        <f t="shared" si="11"/>
        <v>0</v>
      </c>
      <c r="O61" s="6">
        <f t="shared" si="11"/>
        <v>0</v>
      </c>
      <c r="P61" s="6">
        <f t="shared" si="11"/>
        <v>0</v>
      </c>
      <c r="Q61" s="6">
        <f t="shared" si="11"/>
        <v>0</v>
      </c>
      <c r="R61" s="6">
        <f t="shared" si="11"/>
        <v>0</v>
      </c>
      <c r="S61" s="6">
        <f t="shared" si="11"/>
        <v>0</v>
      </c>
      <c r="T61" s="6">
        <f t="shared" si="11"/>
        <v>0</v>
      </c>
    </row>
    <row r="62" spans="1:20" ht="12.75">
      <c r="A62" t="s">
        <v>51</v>
      </c>
      <c r="C62" s="6">
        <f>C49-C54</f>
        <v>0</v>
      </c>
      <c r="D62" s="6">
        <f>D49-D54</f>
        <v>0</v>
      </c>
      <c r="E62" s="6">
        <f aca="true" t="shared" si="12" ref="E62:K63">E49-E54</f>
        <v>0</v>
      </c>
      <c r="F62" s="6">
        <f t="shared" si="12"/>
        <v>0</v>
      </c>
      <c r="G62" s="6">
        <f t="shared" si="12"/>
        <v>0</v>
      </c>
      <c r="H62" s="6">
        <f t="shared" si="12"/>
        <v>0</v>
      </c>
      <c r="I62" s="6">
        <f t="shared" si="12"/>
        <v>0</v>
      </c>
      <c r="J62" s="6">
        <f t="shared" si="12"/>
        <v>0</v>
      </c>
      <c r="K62" s="6">
        <f t="shared" si="12"/>
        <v>0</v>
      </c>
      <c r="L62" s="6">
        <f aca="true" t="shared" si="13" ref="L62:T62">L49-L54</f>
        <v>0</v>
      </c>
      <c r="M62" s="6">
        <f t="shared" si="13"/>
        <v>0</v>
      </c>
      <c r="N62" s="6">
        <f t="shared" si="13"/>
        <v>0</v>
      </c>
      <c r="O62" s="6">
        <f t="shared" si="13"/>
        <v>0</v>
      </c>
      <c r="P62" s="6">
        <f t="shared" si="13"/>
        <v>0</v>
      </c>
      <c r="Q62" s="6">
        <f t="shared" si="13"/>
        <v>0</v>
      </c>
      <c r="R62" s="6">
        <f t="shared" si="13"/>
        <v>0</v>
      </c>
      <c r="S62" s="6">
        <f t="shared" si="13"/>
        <v>0</v>
      </c>
      <c r="T62" s="6">
        <f t="shared" si="13"/>
        <v>0</v>
      </c>
    </row>
    <row r="63" spans="1:20" ht="12.75">
      <c r="A63" t="s">
        <v>60</v>
      </c>
      <c r="C63" s="6">
        <f>C50-C55</f>
        <v>0</v>
      </c>
      <c r="D63" s="6">
        <f>D50-D55</f>
        <v>0</v>
      </c>
      <c r="E63" s="6">
        <f t="shared" si="12"/>
        <v>0</v>
      </c>
      <c r="F63" s="6">
        <f t="shared" si="12"/>
        <v>0</v>
      </c>
      <c r="G63" s="6">
        <f t="shared" si="12"/>
        <v>0</v>
      </c>
      <c r="H63" s="6">
        <f t="shared" si="12"/>
        <v>0</v>
      </c>
      <c r="I63" s="6">
        <f t="shared" si="12"/>
        <v>0</v>
      </c>
      <c r="J63" s="6">
        <f t="shared" si="12"/>
        <v>0</v>
      </c>
      <c r="K63" s="6">
        <f t="shared" si="12"/>
        <v>0</v>
      </c>
      <c r="L63" s="6">
        <f aca="true" t="shared" si="14" ref="L63:T63">L50-L55</f>
        <v>0</v>
      </c>
      <c r="M63" s="6">
        <f t="shared" si="14"/>
        <v>0</v>
      </c>
      <c r="N63" s="6">
        <f t="shared" si="14"/>
        <v>0</v>
      </c>
      <c r="O63" s="6">
        <f t="shared" si="14"/>
        <v>0</v>
      </c>
      <c r="P63" s="6">
        <f t="shared" si="14"/>
        <v>0</v>
      </c>
      <c r="Q63" s="6">
        <f t="shared" si="14"/>
        <v>0</v>
      </c>
      <c r="R63" s="6">
        <f t="shared" si="14"/>
        <v>0</v>
      </c>
      <c r="S63" s="6">
        <f t="shared" si="14"/>
        <v>0</v>
      </c>
      <c r="T63" s="6">
        <f t="shared" si="14"/>
        <v>0</v>
      </c>
    </row>
    <row r="64" spans="14:20" ht="12.75">
      <c r="N64" s="1"/>
      <c r="O64" s="1"/>
      <c r="P64" s="1"/>
      <c r="Q64" s="1"/>
      <c r="R64" s="6"/>
      <c r="S64" s="6"/>
      <c r="T64" s="6"/>
    </row>
    <row r="65" spans="14:20" ht="12.75">
      <c r="N65" s="1"/>
      <c r="O65" s="1"/>
      <c r="P65" s="1"/>
      <c r="Q65" s="1"/>
      <c r="R65" s="6"/>
      <c r="S65" s="6"/>
      <c r="T65" s="6"/>
    </row>
    <row r="66" spans="18:20" ht="12.75">
      <c r="R66" s="40"/>
      <c r="S66" s="40"/>
      <c r="T66" s="40"/>
    </row>
    <row r="67" spans="18:20" ht="12.75">
      <c r="R67" s="40"/>
      <c r="S67" s="40"/>
      <c r="T67" s="40"/>
    </row>
    <row r="68" spans="18:20" ht="12.75">
      <c r="R68" s="40"/>
      <c r="S68" s="40"/>
      <c r="T68" s="40"/>
    </row>
    <row r="69" spans="18:20" ht="12.75">
      <c r="R69" s="40"/>
      <c r="S69" s="40"/>
      <c r="T69" s="40"/>
    </row>
    <row r="70" spans="18:20" ht="12.75">
      <c r="R70" s="40"/>
      <c r="S70" s="40"/>
      <c r="T70" s="40"/>
    </row>
    <row r="71" spans="18:20" ht="12.75">
      <c r="R71" s="40"/>
      <c r="S71" s="40"/>
      <c r="T71" s="40"/>
    </row>
    <row r="72" spans="18:19" ht="12.75">
      <c r="R72" s="40"/>
      <c r="S72" s="40"/>
    </row>
    <row r="73" spans="18:19" ht="12.75">
      <c r="R73" s="40"/>
      <c r="S73" s="40"/>
    </row>
  </sheetData>
  <sheetProtection/>
  <mergeCells count="1">
    <mergeCell ref="AA36:AB3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55" r:id="rId1"/>
  <headerFooter alignWithMargins="0">
    <oddHeader>&amp;L&amp;D&amp;F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23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1.8515625" style="0" customWidth="1"/>
    <col min="2" max="2" width="13.00390625" style="6" bestFit="1" customWidth="1"/>
    <col min="3" max="3" width="7.57421875" style="1" customWidth="1"/>
    <col min="4" max="4" width="9.57421875" style="1" customWidth="1"/>
    <col min="5" max="5" width="10.140625" style="1" customWidth="1"/>
    <col min="6" max="6" width="8.00390625" style="1" customWidth="1"/>
    <col min="7" max="7" width="14.7109375" style="1" customWidth="1"/>
    <col min="8" max="8" width="13.57421875" style="119" bestFit="1" customWidth="1"/>
    <col min="9" max="9" width="16.00390625" style="1" bestFit="1" customWidth="1"/>
    <col min="10" max="10" width="15.140625" style="1" bestFit="1" customWidth="1"/>
    <col min="11" max="11" width="12.421875" style="1" customWidth="1"/>
    <col min="12" max="12" width="22.421875" style="0" bestFit="1" customWidth="1"/>
    <col min="13" max="13" width="12.7109375" style="0" bestFit="1" customWidth="1"/>
    <col min="14" max="17" width="14.421875" style="0" bestFit="1" customWidth="1"/>
    <col min="18" max="18" width="12.7109375" style="0" bestFit="1" customWidth="1"/>
    <col min="19" max="20" width="12.57421875" style="0" bestFit="1" customWidth="1"/>
    <col min="21" max="21" width="14.140625" style="0" bestFit="1" customWidth="1"/>
    <col min="22" max="22" width="11.7109375" style="0" bestFit="1" customWidth="1"/>
    <col min="23" max="23" width="11.8515625" style="0" bestFit="1" customWidth="1"/>
    <col min="24" max="32" width="12.7109375" style="6" customWidth="1"/>
    <col min="33" max="42" width="12.7109375" style="0" customWidth="1"/>
  </cols>
  <sheetData>
    <row r="1" spans="1:2" ht="20.25" customHeight="1">
      <c r="A1" s="211" t="s">
        <v>101</v>
      </c>
      <c r="B1" s="211"/>
    </row>
    <row r="2" spans="2:26" ht="42" customHeight="1">
      <c r="B2" s="7" t="s">
        <v>19</v>
      </c>
      <c r="C2" s="11" t="s">
        <v>1</v>
      </c>
      <c r="D2" s="11" t="s">
        <v>2</v>
      </c>
      <c r="E2" s="11" t="s">
        <v>3</v>
      </c>
      <c r="F2" s="11" t="s">
        <v>20</v>
      </c>
      <c r="G2" s="11" t="s">
        <v>147</v>
      </c>
      <c r="H2" s="120" t="s">
        <v>70</v>
      </c>
      <c r="I2" s="11" t="s">
        <v>91</v>
      </c>
      <c r="J2" s="11" t="s">
        <v>7</v>
      </c>
      <c r="K2" s="11" t="s">
        <v>8</v>
      </c>
      <c r="X2" s="8"/>
      <c r="Y2" s="8"/>
      <c r="Z2" s="8"/>
    </row>
    <row r="3" spans="1:37" ht="12.75" customHeight="1">
      <c r="A3" s="3">
        <v>36892</v>
      </c>
      <c r="B3" s="107">
        <v>13559985.268144703</v>
      </c>
      <c r="C3" s="108">
        <v>684.9000000000001</v>
      </c>
      <c r="D3" s="108">
        <v>0</v>
      </c>
      <c r="E3" s="50">
        <v>31</v>
      </c>
      <c r="F3" s="50">
        <v>0</v>
      </c>
      <c r="G3" s="181">
        <v>0</v>
      </c>
      <c r="H3" s="81">
        <v>9432.345433644346</v>
      </c>
      <c r="I3" s="9">
        <f>$M$19+C3*$M$20+D3*$M$21+E3*$M$22+F3*$M$23+G3*$M$24+H3*$M$25</f>
        <v>13412438.874657769</v>
      </c>
      <c r="J3" s="50">
        <f aca="true" t="shared" si="0" ref="J3:J34">+I3-B3</f>
        <v>-147546.39348693378</v>
      </c>
      <c r="K3" s="98">
        <f aca="true" t="shared" si="1" ref="K3:K34">+J3/B3</f>
        <v>-0.010881014290889513</v>
      </c>
      <c r="L3" t="s">
        <v>21</v>
      </c>
      <c r="X3"/>
      <c r="Y3" s="78"/>
      <c r="Z3" s="146" t="s">
        <v>122</v>
      </c>
      <c r="AA3" s="99"/>
      <c r="AB3" s="214" t="s">
        <v>123</v>
      </c>
      <c r="AC3" s="214" t="s">
        <v>124</v>
      </c>
      <c r="AD3" s="209" t="s">
        <v>125</v>
      </c>
      <c r="AE3" s="219" t="s">
        <v>126</v>
      </c>
      <c r="AF3" s="219" t="s">
        <v>127</v>
      </c>
      <c r="AG3" s="210" t="s">
        <v>128</v>
      </c>
      <c r="AH3" s="209" t="s">
        <v>175</v>
      </c>
      <c r="AI3" s="148"/>
      <c r="AJ3" s="148"/>
      <c r="AK3" s="6"/>
    </row>
    <row r="4" spans="1:37" ht="13.5" thickBot="1">
      <c r="A4" s="3">
        <v>36923</v>
      </c>
      <c r="B4" s="107">
        <v>11570340.890467139</v>
      </c>
      <c r="C4" s="108">
        <v>587.6</v>
      </c>
      <c r="D4" s="108">
        <v>0</v>
      </c>
      <c r="E4" s="50">
        <v>28</v>
      </c>
      <c r="F4" s="50">
        <v>0</v>
      </c>
      <c r="G4" s="181">
        <v>0</v>
      </c>
      <c r="H4" s="81">
        <v>9455.748791539096</v>
      </c>
      <c r="I4" s="9">
        <f aca="true" t="shared" si="2" ref="I4:I67">$M$19+C4*$M$20+D4*$M$21+E4*$M$22+F4*$M$23+G4*$M$24+H4*$M$25</f>
        <v>11330494.426765783</v>
      </c>
      <c r="J4" s="50">
        <f t="shared" si="0"/>
        <v>-239846.4637013562</v>
      </c>
      <c r="K4" s="98">
        <f t="shared" si="1"/>
        <v>-0.020729420677567667</v>
      </c>
      <c r="X4"/>
      <c r="Y4" s="149"/>
      <c r="Z4" s="150" t="s">
        <v>129</v>
      </c>
      <c r="AA4" s="213"/>
      <c r="AB4" s="214"/>
      <c r="AC4" s="214"/>
      <c r="AD4" s="210"/>
      <c r="AE4" s="220"/>
      <c r="AF4" s="219"/>
      <c r="AG4" s="210"/>
      <c r="AH4" s="210"/>
      <c r="AI4" s="148"/>
      <c r="AJ4" s="148"/>
      <c r="AK4" s="6"/>
    </row>
    <row r="5" spans="1:37" ht="12.75">
      <c r="A5" s="3">
        <v>36951</v>
      </c>
      <c r="B5" s="107">
        <v>11767072.646135926</v>
      </c>
      <c r="C5" s="108">
        <v>566.6000000000001</v>
      </c>
      <c r="D5" s="108">
        <v>0</v>
      </c>
      <c r="E5" s="50">
        <v>31</v>
      </c>
      <c r="F5" s="50">
        <v>1</v>
      </c>
      <c r="G5" s="181">
        <v>0</v>
      </c>
      <c r="H5" s="81">
        <v>9479.210217404807</v>
      </c>
      <c r="I5" s="9">
        <f t="shared" si="2"/>
        <v>10624908.307545422</v>
      </c>
      <c r="J5" s="50">
        <f t="shared" si="0"/>
        <v>-1142164.3385905046</v>
      </c>
      <c r="K5" s="98">
        <f t="shared" si="1"/>
        <v>-0.09706444184871832</v>
      </c>
      <c r="L5" s="44" t="s">
        <v>22</v>
      </c>
      <c r="M5" s="44"/>
      <c r="X5"/>
      <c r="Y5" s="150"/>
      <c r="Z5" s="150"/>
      <c r="AA5" s="213"/>
      <c r="AB5" s="214"/>
      <c r="AC5" s="214"/>
      <c r="AD5" s="210"/>
      <c r="AE5" s="220"/>
      <c r="AF5" s="219"/>
      <c r="AG5" s="210"/>
      <c r="AH5" s="210"/>
      <c r="AI5" s="147" t="s">
        <v>16</v>
      </c>
      <c r="AJ5" s="148"/>
      <c r="AK5" s="6"/>
    </row>
    <row r="6" spans="1:39" ht="12.75" customHeight="1">
      <c r="A6" s="3">
        <v>36982</v>
      </c>
      <c r="B6" s="107">
        <v>9467932.00604686</v>
      </c>
      <c r="C6" s="108">
        <v>293.79999999999995</v>
      </c>
      <c r="D6" s="108">
        <v>1.4</v>
      </c>
      <c r="E6" s="50">
        <v>30</v>
      </c>
      <c r="F6" s="50">
        <v>1</v>
      </c>
      <c r="G6" s="181">
        <v>0</v>
      </c>
      <c r="H6" s="81">
        <v>9502.729855318637</v>
      </c>
      <c r="I6" s="9">
        <f t="shared" si="2"/>
        <v>8484964.845580969</v>
      </c>
      <c r="J6" s="50">
        <f t="shared" si="0"/>
        <v>-982967.1604658905</v>
      </c>
      <c r="K6" s="98">
        <f t="shared" si="1"/>
        <v>-0.10382068226071982</v>
      </c>
      <c r="L6" s="29" t="s">
        <v>23</v>
      </c>
      <c r="M6" s="29">
        <v>0.9682729179471521</v>
      </c>
      <c r="X6"/>
      <c r="Z6" s="214" t="s">
        <v>130</v>
      </c>
      <c r="AA6" s="151">
        <v>2005</v>
      </c>
      <c r="AB6" s="6">
        <v>0</v>
      </c>
      <c r="AC6" s="149">
        <v>0</v>
      </c>
      <c r="AD6" s="6">
        <f>+AC6*0.5</f>
        <v>0</v>
      </c>
      <c r="AE6" s="119">
        <f aca="true" t="shared" si="3" ref="AE6:AE17">+AB6+AD6</f>
        <v>0</v>
      </c>
      <c r="AF6" s="119">
        <f>+AE6</f>
        <v>0</v>
      </c>
      <c r="AG6" s="6">
        <f aca="true" t="shared" si="4" ref="AG6:AG17">+AF6/$AM$18</f>
        <v>0</v>
      </c>
      <c r="AH6" s="6"/>
      <c r="AI6" s="6">
        <f>+Z36</f>
        <v>0</v>
      </c>
      <c r="AJ6" s="6">
        <f>+AE6-AI6</f>
        <v>0</v>
      </c>
      <c r="AK6" s="6"/>
      <c r="AL6" s="152" t="s">
        <v>131</v>
      </c>
      <c r="AM6" s="153">
        <v>1</v>
      </c>
    </row>
    <row r="7" spans="1:39" ht="12.75">
      <c r="A7" s="3">
        <v>37012</v>
      </c>
      <c r="B7" s="107">
        <v>9054899.09106217</v>
      </c>
      <c r="C7" s="108">
        <v>111.5</v>
      </c>
      <c r="D7" s="108">
        <v>12.200000000000001</v>
      </c>
      <c r="E7" s="50">
        <v>31</v>
      </c>
      <c r="F7" s="50">
        <v>1</v>
      </c>
      <c r="G7" s="181">
        <v>0</v>
      </c>
      <c r="H7" s="81">
        <v>9526.307849715224</v>
      </c>
      <c r="I7" s="9">
        <f t="shared" si="2"/>
        <v>8329121.436703936</v>
      </c>
      <c r="J7" s="50">
        <f t="shared" si="0"/>
        <v>-725777.6543582333</v>
      </c>
      <c r="K7" s="98">
        <f t="shared" si="1"/>
        <v>-0.0801530361696275</v>
      </c>
      <c r="L7" s="29" t="s">
        <v>24</v>
      </c>
      <c r="M7" s="29">
        <v>0.9375524436298923</v>
      </c>
      <c r="X7"/>
      <c r="Z7" s="214"/>
      <c r="AA7" s="151">
        <v>2006</v>
      </c>
      <c r="AB7" s="149">
        <v>0</v>
      </c>
      <c r="AC7" s="149">
        <v>0</v>
      </c>
      <c r="AD7" s="6">
        <f>+AC7*0.5</f>
        <v>0</v>
      </c>
      <c r="AE7" s="119">
        <f t="shared" si="3"/>
        <v>0</v>
      </c>
      <c r="AF7" s="119">
        <f>+AE7-AA36</f>
        <v>0</v>
      </c>
      <c r="AG7" s="6">
        <f t="shared" si="4"/>
        <v>0</v>
      </c>
      <c r="AH7" s="6"/>
      <c r="AI7" s="6">
        <f>+Z48</f>
        <v>0</v>
      </c>
      <c r="AJ7" s="6">
        <f aca="true" t="shared" si="5" ref="AJ7:AJ18">+AE7-AI7</f>
        <v>0</v>
      </c>
      <c r="AK7" s="6"/>
      <c r="AL7" s="152" t="s">
        <v>132</v>
      </c>
      <c r="AM7" s="153">
        <v>2</v>
      </c>
    </row>
    <row r="8" spans="1:39" ht="12.75">
      <c r="A8" s="3">
        <v>37043</v>
      </c>
      <c r="B8" s="107">
        <v>10533345.279495623</v>
      </c>
      <c r="C8" s="108">
        <v>29.8</v>
      </c>
      <c r="D8" s="108">
        <v>79.69999999999997</v>
      </c>
      <c r="E8" s="50">
        <v>30</v>
      </c>
      <c r="F8" s="50">
        <v>0</v>
      </c>
      <c r="G8" s="181">
        <v>0</v>
      </c>
      <c r="H8" s="81">
        <v>9549.944345387574</v>
      </c>
      <c r="I8" s="9">
        <f t="shared" si="2"/>
        <v>12451114.472254612</v>
      </c>
      <c r="J8" s="50">
        <f t="shared" si="0"/>
        <v>1917769.1927589886</v>
      </c>
      <c r="K8" s="98">
        <f t="shared" si="1"/>
        <v>0.1820664890281484</v>
      </c>
      <c r="L8" s="29" t="s">
        <v>25</v>
      </c>
      <c r="M8" s="29">
        <v>0.9353613013011166</v>
      </c>
      <c r="X8"/>
      <c r="Z8" s="214"/>
      <c r="AA8" s="151">
        <v>2007</v>
      </c>
      <c r="AB8" s="149">
        <v>0</v>
      </c>
      <c r="AC8" s="149">
        <v>0</v>
      </c>
      <c r="AD8" s="6">
        <f aca="true" t="shared" si="6" ref="AD8:AD17">+AC8*0.5</f>
        <v>0</v>
      </c>
      <c r="AE8" s="119">
        <f t="shared" si="3"/>
        <v>0</v>
      </c>
      <c r="AF8" s="119">
        <f>+AE8-AA48</f>
        <v>0</v>
      </c>
      <c r="AG8" s="6">
        <f t="shared" si="4"/>
        <v>0</v>
      </c>
      <c r="AH8" s="6"/>
      <c r="AI8" s="6">
        <f>+Z60</f>
        <v>0</v>
      </c>
      <c r="AJ8" s="6">
        <f t="shared" si="5"/>
        <v>0</v>
      </c>
      <c r="AK8" s="6"/>
      <c r="AL8" s="152" t="s">
        <v>133</v>
      </c>
      <c r="AM8" s="153">
        <v>3</v>
      </c>
    </row>
    <row r="9" spans="1:39" ht="12.75">
      <c r="A9" s="3">
        <v>37073</v>
      </c>
      <c r="B9" s="107">
        <v>12294008.29420784</v>
      </c>
      <c r="C9" s="108">
        <v>9.3</v>
      </c>
      <c r="D9" s="108">
        <v>100.9</v>
      </c>
      <c r="E9" s="50">
        <v>31</v>
      </c>
      <c r="F9" s="50">
        <v>0</v>
      </c>
      <c r="G9" s="181">
        <v>0</v>
      </c>
      <c r="H9" s="81">
        <v>9573.63948748795</v>
      </c>
      <c r="I9" s="9">
        <f t="shared" si="2"/>
        <v>13787470.510152198</v>
      </c>
      <c r="J9" s="50">
        <f t="shared" si="0"/>
        <v>1493462.215944359</v>
      </c>
      <c r="K9" s="98">
        <f t="shared" si="1"/>
        <v>0.1214788684214557</v>
      </c>
      <c r="L9" s="29" t="s">
        <v>26</v>
      </c>
      <c r="M9" s="29">
        <v>1342795.799825937</v>
      </c>
      <c r="X9"/>
      <c r="Z9" s="214"/>
      <c r="AA9" s="151">
        <v>2008</v>
      </c>
      <c r="AB9" s="149">
        <v>0</v>
      </c>
      <c r="AC9" s="149">
        <v>0</v>
      </c>
      <c r="AD9" s="6">
        <f t="shared" si="6"/>
        <v>0</v>
      </c>
      <c r="AE9" s="119">
        <f t="shared" si="3"/>
        <v>0</v>
      </c>
      <c r="AF9" s="119">
        <f>+AE9-AA60</f>
        <v>0</v>
      </c>
      <c r="AG9" s="6">
        <f t="shared" si="4"/>
        <v>0</v>
      </c>
      <c r="AH9" s="6"/>
      <c r="AI9" s="6">
        <f>+AD36</f>
        <v>0</v>
      </c>
      <c r="AJ9" s="6">
        <f t="shared" si="5"/>
        <v>0</v>
      </c>
      <c r="AK9" s="6"/>
      <c r="AL9" s="152" t="s">
        <v>134</v>
      </c>
      <c r="AM9" s="153">
        <v>4</v>
      </c>
    </row>
    <row r="10" spans="1:39" ht="13.5" thickBot="1">
      <c r="A10" s="3">
        <v>37104</v>
      </c>
      <c r="B10" s="107">
        <v>12291089.663266823</v>
      </c>
      <c r="C10" s="108">
        <v>0</v>
      </c>
      <c r="D10" s="108">
        <v>160.00000000000003</v>
      </c>
      <c r="E10" s="50">
        <v>31</v>
      </c>
      <c r="F10" s="50">
        <v>0</v>
      </c>
      <c r="G10" s="181">
        <v>0</v>
      </c>
      <c r="H10" s="81">
        <v>9597.393421528766</v>
      </c>
      <c r="I10" s="9">
        <f t="shared" si="2"/>
        <v>16412718.29041131</v>
      </c>
      <c r="J10" s="50">
        <f t="shared" si="0"/>
        <v>4121628.6271444876</v>
      </c>
      <c r="K10" s="98">
        <f t="shared" si="1"/>
        <v>0.3353346806558898</v>
      </c>
      <c r="L10" s="42" t="s">
        <v>27</v>
      </c>
      <c r="M10" s="42">
        <v>178</v>
      </c>
      <c r="X10"/>
      <c r="Z10" s="214"/>
      <c r="AA10" s="151">
        <v>2009</v>
      </c>
      <c r="AB10" s="149">
        <v>0</v>
      </c>
      <c r="AC10" s="149">
        <v>0</v>
      </c>
      <c r="AD10" s="6">
        <f t="shared" si="6"/>
        <v>0</v>
      </c>
      <c r="AE10" s="119">
        <f t="shared" si="3"/>
        <v>0</v>
      </c>
      <c r="AF10" s="119">
        <f>+AE10-AE36</f>
        <v>0</v>
      </c>
      <c r="AG10" s="6">
        <f t="shared" si="4"/>
        <v>0</v>
      </c>
      <c r="AH10" s="6"/>
      <c r="AI10" s="6">
        <f>+AD48</f>
        <v>0</v>
      </c>
      <c r="AJ10" s="6">
        <f t="shared" si="5"/>
        <v>0</v>
      </c>
      <c r="AK10" s="6"/>
      <c r="AL10" s="152" t="s">
        <v>135</v>
      </c>
      <c r="AM10" s="153">
        <v>5</v>
      </c>
    </row>
    <row r="11" spans="1:39" ht="12.75">
      <c r="A11" s="3">
        <v>37135</v>
      </c>
      <c r="B11" s="107">
        <v>9841248.467709618</v>
      </c>
      <c r="C11" s="108">
        <v>73.60000000000001</v>
      </c>
      <c r="D11" s="108">
        <v>35.7</v>
      </c>
      <c r="E11" s="50">
        <v>30</v>
      </c>
      <c r="F11" s="50">
        <v>1</v>
      </c>
      <c r="G11" s="181">
        <v>0</v>
      </c>
      <c r="H11" s="81">
        <v>9621.206293383479</v>
      </c>
      <c r="I11" s="9">
        <f t="shared" si="2"/>
        <v>8715341.857231228</v>
      </c>
      <c r="J11" s="50">
        <f t="shared" si="0"/>
        <v>-1125906.61047839</v>
      </c>
      <c r="K11" s="98">
        <f t="shared" si="1"/>
        <v>-0.11440688792409136</v>
      </c>
      <c r="X11"/>
      <c r="Z11" s="214"/>
      <c r="AA11" s="151">
        <v>2010</v>
      </c>
      <c r="AB11" s="149">
        <v>0</v>
      </c>
      <c r="AC11" s="149">
        <v>0</v>
      </c>
      <c r="AD11" s="6">
        <f t="shared" si="6"/>
        <v>0</v>
      </c>
      <c r="AE11" s="119">
        <f t="shared" si="3"/>
        <v>0</v>
      </c>
      <c r="AF11" s="119">
        <f>+AE11-AE48</f>
        <v>0</v>
      </c>
      <c r="AG11" s="6">
        <f t="shared" si="4"/>
        <v>0</v>
      </c>
      <c r="AH11" s="6"/>
      <c r="AI11" s="6">
        <f>+AD60</f>
        <v>0</v>
      </c>
      <c r="AJ11" s="6">
        <f t="shared" si="5"/>
        <v>0</v>
      </c>
      <c r="AK11" s="6"/>
      <c r="AL11" s="152" t="s">
        <v>136</v>
      </c>
      <c r="AM11" s="153">
        <v>6</v>
      </c>
    </row>
    <row r="12" spans="1:39" ht="13.5" customHeight="1" thickBot="1">
      <c r="A12" s="3">
        <v>37165</v>
      </c>
      <c r="B12" s="107">
        <v>9870092.190691572</v>
      </c>
      <c r="C12" s="108">
        <v>232.49999999999997</v>
      </c>
      <c r="D12" s="108">
        <v>2</v>
      </c>
      <c r="E12" s="50">
        <v>31</v>
      </c>
      <c r="F12" s="50">
        <v>1</v>
      </c>
      <c r="G12" s="181">
        <v>0</v>
      </c>
      <c r="H12" s="81">
        <v>9645.07824928748</v>
      </c>
      <c r="I12" s="9">
        <f t="shared" si="2"/>
        <v>8705613.948351253</v>
      </c>
      <c r="J12" s="50">
        <f t="shared" si="0"/>
        <v>-1164478.2423403189</v>
      </c>
      <c r="K12" s="98">
        <f t="shared" si="1"/>
        <v>-0.11798048284073089</v>
      </c>
      <c r="L12" t="s">
        <v>28</v>
      </c>
      <c r="X12"/>
      <c r="Z12" s="214"/>
      <c r="AA12" s="151">
        <v>2011</v>
      </c>
      <c r="AB12" s="149">
        <v>0</v>
      </c>
      <c r="AC12" s="149">
        <v>0</v>
      </c>
      <c r="AD12" s="6">
        <f t="shared" si="6"/>
        <v>0</v>
      </c>
      <c r="AE12" s="119">
        <f t="shared" si="3"/>
        <v>0</v>
      </c>
      <c r="AF12" s="119">
        <f>+AE12-AE60</f>
        <v>0</v>
      </c>
      <c r="AG12" s="6">
        <f t="shared" si="4"/>
        <v>0</v>
      </c>
      <c r="AH12" s="6"/>
      <c r="AI12" s="6">
        <f>+AH36</f>
        <v>0</v>
      </c>
      <c r="AJ12" s="6">
        <f t="shared" si="5"/>
        <v>0</v>
      </c>
      <c r="AK12" s="6"/>
      <c r="AL12" s="152" t="s">
        <v>137</v>
      </c>
      <c r="AM12" s="153">
        <v>7</v>
      </c>
    </row>
    <row r="13" spans="1:39" ht="12.75">
      <c r="A13" s="3">
        <v>37196</v>
      </c>
      <c r="B13" s="107">
        <v>10513335.804172583</v>
      </c>
      <c r="C13" s="108">
        <v>325.80000000000007</v>
      </c>
      <c r="D13" s="108">
        <v>0</v>
      </c>
      <c r="E13" s="50">
        <v>30</v>
      </c>
      <c r="F13" s="50">
        <v>1</v>
      </c>
      <c r="G13" s="181">
        <v>0</v>
      </c>
      <c r="H13" s="81">
        <v>9669.009435839002</v>
      </c>
      <c r="I13" s="9">
        <f t="shared" si="2"/>
        <v>8725636.453424217</v>
      </c>
      <c r="J13" s="50">
        <f t="shared" si="0"/>
        <v>-1787699.3507483657</v>
      </c>
      <c r="K13" s="98">
        <f t="shared" si="1"/>
        <v>-0.17004111578352277</v>
      </c>
      <c r="L13" s="43"/>
      <c r="M13" s="43" t="s">
        <v>32</v>
      </c>
      <c r="N13" s="43" t="s">
        <v>33</v>
      </c>
      <c r="O13" s="43" t="s">
        <v>34</v>
      </c>
      <c r="P13" s="43" t="s">
        <v>35</v>
      </c>
      <c r="Q13" s="43" t="s">
        <v>36</v>
      </c>
      <c r="X13"/>
      <c r="Z13" s="214"/>
      <c r="AA13" s="151">
        <v>2012</v>
      </c>
      <c r="AB13" s="149">
        <v>0</v>
      </c>
      <c r="AC13" s="149">
        <v>0</v>
      </c>
      <c r="AD13" s="6">
        <f t="shared" si="6"/>
        <v>0</v>
      </c>
      <c r="AE13" s="119">
        <f t="shared" si="3"/>
        <v>0</v>
      </c>
      <c r="AF13" s="119">
        <f>+AE13-AI36</f>
        <v>0</v>
      </c>
      <c r="AG13" s="6">
        <f t="shared" si="4"/>
        <v>0</v>
      </c>
      <c r="AH13" s="6"/>
      <c r="AI13" s="6">
        <f>+AH48</f>
        <v>0</v>
      </c>
      <c r="AJ13" s="6">
        <f t="shared" si="5"/>
        <v>0</v>
      </c>
      <c r="AK13" s="6"/>
      <c r="AL13" s="152" t="s">
        <v>138</v>
      </c>
      <c r="AM13" s="153">
        <v>8</v>
      </c>
    </row>
    <row r="14" spans="1:39" ht="13.5" customHeight="1" thickBot="1">
      <c r="A14" s="3">
        <v>37226</v>
      </c>
      <c r="B14" s="107">
        <v>13284360.895007668</v>
      </c>
      <c r="C14" s="108">
        <v>504.99999999999994</v>
      </c>
      <c r="D14" s="108">
        <v>0</v>
      </c>
      <c r="E14" s="50">
        <v>31</v>
      </c>
      <c r="F14" s="50">
        <v>0</v>
      </c>
      <c r="G14" s="181">
        <v>0</v>
      </c>
      <c r="H14" s="81">
        <v>9693</v>
      </c>
      <c r="I14" s="9">
        <f t="shared" si="2"/>
        <v>12435133.768440597</v>
      </c>
      <c r="J14" s="50">
        <f t="shared" si="0"/>
        <v>-849227.1265670713</v>
      </c>
      <c r="K14" s="98">
        <f t="shared" si="1"/>
        <v>-0.06392683346070606</v>
      </c>
      <c r="L14" s="29" t="s">
        <v>29</v>
      </c>
      <c r="M14" s="29">
        <v>6</v>
      </c>
      <c r="N14" s="29">
        <v>4629095921243818</v>
      </c>
      <c r="O14" s="29">
        <v>771515986873969.6</v>
      </c>
      <c r="P14" s="29">
        <v>427.8829500563501</v>
      </c>
      <c r="Q14" s="29">
        <v>3.461186463811671E-100</v>
      </c>
      <c r="X14"/>
      <c r="Z14" s="214"/>
      <c r="AA14" s="182">
        <v>2013</v>
      </c>
      <c r="AB14" s="183">
        <v>0</v>
      </c>
      <c r="AC14" s="183">
        <v>0</v>
      </c>
      <c r="AD14" s="136">
        <f t="shared" si="6"/>
        <v>0</v>
      </c>
      <c r="AE14" s="184">
        <f t="shared" si="3"/>
        <v>0</v>
      </c>
      <c r="AF14" s="184">
        <f>+AE14-AI48</f>
        <v>0</v>
      </c>
      <c r="AG14" s="136">
        <f t="shared" si="4"/>
        <v>0</v>
      </c>
      <c r="AH14" s="136"/>
      <c r="AI14" s="136">
        <f>+AH60</f>
        <v>0</v>
      </c>
      <c r="AJ14" s="136">
        <f t="shared" si="5"/>
        <v>0</v>
      </c>
      <c r="AK14" s="6"/>
      <c r="AL14" s="152" t="s">
        <v>139</v>
      </c>
      <c r="AM14" s="153">
        <v>9</v>
      </c>
    </row>
    <row r="15" spans="1:39" ht="12.75">
      <c r="A15" s="3">
        <v>37257</v>
      </c>
      <c r="B15" s="107">
        <v>13570721.980435282</v>
      </c>
      <c r="C15" s="108">
        <v>572.1999999999999</v>
      </c>
      <c r="D15" s="108">
        <v>0</v>
      </c>
      <c r="E15" s="9">
        <v>31</v>
      </c>
      <c r="F15" s="50">
        <v>0</v>
      </c>
      <c r="G15" s="181">
        <v>0</v>
      </c>
      <c r="H15" s="81">
        <v>10566</v>
      </c>
      <c r="I15" s="9">
        <f t="shared" si="2"/>
        <v>13393742.484060783</v>
      </c>
      <c r="J15" s="50">
        <f t="shared" si="0"/>
        <v>-176979.49637449905</v>
      </c>
      <c r="K15" s="98">
        <f t="shared" si="1"/>
        <v>-0.013041273458379583</v>
      </c>
      <c r="L15" s="29" t="s">
        <v>30</v>
      </c>
      <c r="M15" s="29">
        <v>171</v>
      </c>
      <c r="N15" s="29">
        <v>308330195765160.44</v>
      </c>
      <c r="O15" s="29">
        <v>1803100560030.178</v>
      </c>
      <c r="P15" s="29"/>
      <c r="Q15" s="29"/>
      <c r="X15"/>
      <c r="Z15" s="214"/>
      <c r="AA15" s="151">
        <v>2014</v>
      </c>
      <c r="AB15" s="149">
        <v>0</v>
      </c>
      <c r="AC15" s="149">
        <v>0</v>
      </c>
      <c r="AD15" s="6">
        <f t="shared" si="6"/>
        <v>0</v>
      </c>
      <c r="AE15" s="119">
        <f t="shared" si="3"/>
        <v>0</v>
      </c>
      <c r="AF15" s="119">
        <f>+AE15-AI60</f>
        <v>0</v>
      </c>
      <c r="AG15" s="6">
        <f t="shared" si="4"/>
        <v>0</v>
      </c>
      <c r="AH15" s="6"/>
      <c r="AI15" s="6">
        <f>+AL36</f>
        <v>0</v>
      </c>
      <c r="AJ15" s="6">
        <f t="shared" si="5"/>
        <v>0</v>
      </c>
      <c r="AK15" s="6">
        <f>4967*55</f>
        <v>273185</v>
      </c>
      <c r="AL15" s="152" t="s">
        <v>140</v>
      </c>
      <c r="AM15" s="153">
        <v>10</v>
      </c>
    </row>
    <row r="16" spans="1:39" ht="13.5" thickBot="1">
      <c r="A16" s="3">
        <v>37288</v>
      </c>
      <c r="B16" s="107">
        <v>11777054.467077132</v>
      </c>
      <c r="C16" s="108">
        <v>540.2000000000002</v>
      </c>
      <c r="D16" s="108">
        <v>0</v>
      </c>
      <c r="E16" s="9">
        <v>28</v>
      </c>
      <c r="F16" s="50">
        <v>0</v>
      </c>
      <c r="G16" s="181">
        <v>0</v>
      </c>
      <c r="H16" s="81">
        <v>10709</v>
      </c>
      <c r="I16" s="9">
        <f t="shared" si="2"/>
        <v>11797565.302047363</v>
      </c>
      <c r="J16" s="50">
        <f t="shared" si="0"/>
        <v>20510.834970230237</v>
      </c>
      <c r="K16" s="98">
        <f t="shared" si="1"/>
        <v>0.0017415929447867013</v>
      </c>
      <c r="L16" s="42" t="s">
        <v>6</v>
      </c>
      <c r="M16" s="42">
        <v>177</v>
      </c>
      <c r="N16" s="42">
        <v>4937426117008978</v>
      </c>
      <c r="O16" s="42"/>
      <c r="P16" s="42"/>
      <c r="Q16" s="42"/>
      <c r="X16"/>
      <c r="Z16" s="214"/>
      <c r="AA16" s="151">
        <v>2015</v>
      </c>
      <c r="AB16" s="149">
        <f>+AB15+AC15</f>
        <v>0</v>
      </c>
      <c r="AC16" s="149">
        <v>774900</v>
      </c>
      <c r="AD16" s="6">
        <f t="shared" si="6"/>
        <v>387450</v>
      </c>
      <c r="AE16" s="119">
        <f>+AB16+AD16-AK15</f>
        <v>114265</v>
      </c>
      <c r="AF16" s="119">
        <f>+AE16-AM36</f>
        <v>114265</v>
      </c>
      <c r="AG16" s="6">
        <f>+AF16/(AM16+AM17)</f>
        <v>4968.04347826087</v>
      </c>
      <c r="AH16" s="6">
        <f>+AP46</f>
        <v>273242.3913043479</v>
      </c>
      <c r="AI16" s="6">
        <f>+AL48</f>
        <v>114265</v>
      </c>
      <c r="AJ16" s="6">
        <f>+AE16-AI16</f>
        <v>0</v>
      </c>
      <c r="AK16" s="57"/>
      <c r="AL16" s="152" t="s">
        <v>141</v>
      </c>
      <c r="AM16" s="153">
        <v>11</v>
      </c>
    </row>
    <row r="17" spans="1:39" ht="13.5" thickBot="1">
      <c r="A17" s="3">
        <v>37316</v>
      </c>
      <c r="B17" s="107">
        <v>12387377.67925694</v>
      </c>
      <c r="C17" s="108">
        <v>545.6</v>
      </c>
      <c r="D17" s="108">
        <v>0</v>
      </c>
      <c r="E17" s="9">
        <v>31</v>
      </c>
      <c r="F17" s="50">
        <v>1</v>
      </c>
      <c r="G17" s="181">
        <v>0</v>
      </c>
      <c r="H17" s="81">
        <v>10833</v>
      </c>
      <c r="I17" s="9">
        <f t="shared" si="2"/>
        <v>11320290.40665109</v>
      </c>
      <c r="J17" s="50">
        <f t="shared" si="0"/>
        <v>-1067087.2726058494</v>
      </c>
      <c r="K17" s="98">
        <f t="shared" si="1"/>
        <v>-0.08614311279074999</v>
      </c>
      <c r="X17"/>
      <c r="Z17" s="214"/>
      <c r="AA17" s="151">
        <v>2016</v>
      </c>
      <c r="AB17" s="149">
        <f>+AC16-(AK15*2)</f>
        <v>228530</v>
      </c>
      <c r="AC17" s="149">
        <v>858100</v>
      </c>
      <c r="AD17" s="6">
        <f t="shared" si="6"/>
        <v>429050</v>
      </c>
      <c r="AE17" s="119">
        <f t="shared" si="3"/>
        <v>657580</v>
      </c>
      <c r="AF17" s="119">
        <f>+AE17-AM48</f>
        <v>-57818.2608695653</v>
      </c>
      <c r="AG17" s="6">
        <f t="shared" si="4"/>
        <v>-741.2597547380167</v>
      </c>
      <c r="AH17" s="6"/>
      <c r="AI17" s="6">
        <f>+AL60</f>
        <v>657580.0000000002</v>
      </c>
      <c r="AJ17" s="6">
        <f t="shared" si="5"/>
        <v>0</v>
      </c>
      <c r="AK17" s="6"/>
      <c r="AL17" s="152" t="s">
        <v>142</v>
      </c>
      <c r="AM17" s="154">
        <v>12</v>
      </c>
    </row>
    <row r="18" spans="1:39" ht="13.5" thickBot="1">
      <c r="A18" s="3">
        <v>37347</v>
      </c>
      <c r="B18" s="107">
        <v>10652334.714433122</v>
      </c>
      <c r="C18" s="108">
        <v>329.49999999999994</v>
      </c>
      <c r="D18" s="108">
        <v>8.3</v>
      </c>
      <c r="E18" s="9">
        <v>30</v>
      </c>
      <c r="F18" s="50">
        <v>1</v>
      </c>
      <c r="G18" s="181">
        <v>0</v>
      </c>
      <c r="H18" s="81">
        <v>10939</v>
      </c>
      <c r="I18" s="9">
        <f t="shared" si="2"/>
        <v>9900735.559492033</v>
      </c>
      <c r="J18" s="50">
        <f t="shared" si="0"/>
        <v>-751599.1549410895</v>
      </c>
      <c r="K18" s="98">
        <f t="shared" si="1"/>
        <v>-0.07055722290839476</v>
      </c>
      <c r="L18" s="43"/>
      <c r="M18" s="43" t="s">
        <v>37</v>
      </c>
      <c r="N18" s="43" t="s">
        <v>26</v>
      </c>
      <c r="O18" s="43" t="s">
        <v>38</v>
      </c>
      <c r="P18" s="43" t="s">
        <v>39</v>
      </c>
      <c r="Q18" s="43" t="s">
        <v>40</v>
      </c>
      <c r="R18" s="43" t="s">
        <v>41</v>
      </c>
      <c r="S18" s="43" t="s">
        <v>42</v>
      </c>
      <c r="T18" s="43" t="s">
        <v>43</v>
      </c>
      <c r="X18"/>
      <c r="Y18" s="150"/>
      <c r="Z18" s="151"/>
      <c r="AA18" s="155"/>
      <c r="AB18" s="149">
        <f>SUM(AB6:AB17)</f>
        <v>228530</v>
      </c>
      <c r="AC18" s="6">
        <f>SUM(AC6:AC17)</f>
        <v>1633000</v>
      </c>
      <c r="AE18" s="156">
        <f>SUM(AE6:AE17)</f>
        <v>771845</v>
      </c>
      <c r="AF18" s="157"/>
      <c r="AG18" s="157"/>
      <c r="AH18" s="157"/>
      <c r="AI18" s="6">
        <f>SUM(AI6:AI17)</f>
        <v>771845.0000000002</v>
      </c>
      <c r="AJ18" s="6">
        <f t="shared" si="5"/>
        <v>0</v>
      </c>
      <c r="AL18" s="152" t="s">
        <v>6</v>
      </c>
      <c r="AM18" s="158">
        <f>SUM(AM6:AM17)</f>
        <v>78</v>
      </c>
    </row>
    <row r="19" spans="1:36" ht="12.75">
      <c r="A19" s="3">
        <v>37377</v>
      </c>
      <c r="B19" s="107">
        <v>10201800.2877242</v>
      </c>
      <c r="C19" s="108">
        <v>227.5</v>
      </c>
      <c r="D19" s="108">
        <v>7.800000000000001</v>
      </c>
      <c r="E19" s="9">
        <v>31</v>
      </c>
      <c r="F19" s="50">
        <v>1</v>
      </c>
      <c r="G19" s="181">
        <v>0</v>
      </c>
      <c r="H19" s="81">
        <v>11076</v>
      </c>
      <c r="I19" s="9">
        <f t="shared" si="2"/>
        <v>9811254.927465724</v>
      </c>
      <c r="J19" s="50">
        <f t="shared" si="0"/>
        <v>-390545.3602584768</v>
      </c>
      <c r="K19" s="98">
        <f t="shared" si="1"/>
        <v>-0.03828200408200688</v>
      </c>
      <c r="L19" s="29" t="s">
        <v>31</v>
      </c>
      <c r="M19" s="29">
        <v>-11993048.820231276</v>
      </c>
      <c r="N19" s="29">
        <v>3844807.839572373</v>
      </c>
      <c r="O19" s="29">
        <v>-3.119284323339594</v>
      </c>
      <c r="P19" s="29">
        <v>0.002128033465376638</v>
      </c>
      <c r="Q19" s="29">
        <v>-19582445.561764985</v>
      </c>
      <c r="R19" s="29">
        <v>-4403652.078697566</v>
      </c>
      <c r="S19" s="29">
        <v>-19582445.561764985</v>
      </c>
      <c r="T19" s="29">
        <v>-4403652.078697566</v>
      </c>
      <c r="X19"/>
      <c r="Y19" s="214"/>
      <c r="Z19" s="151"/>
      <c r="AA19" s="150"/>
      <c r="AB19" s="215">
        <f>+AB18+AC18</f>
        <v>1861530</v>
      </c>
      <c r="AC19" s="215"/>
      <c r="AD19" s="159"/>
      <c r="AG19" s="6"/>
      <c r="AH19" s="6"/>
      <c r="AI19" s="6"/>
      <c r="AJ19" s="6"/>
    </row>
    <row r="20" spans="1:36" ht="16.5" customHeight="1">
      <c r="A20" s="3">
        <v>37408</v>
      </c>
      <c r="B20" s="107">
        <v>12086655.389600042</v>
      </c>
      <c r="C20" s="108">
        <v>36.2</v>
      </c>
      <c r="D20" s="108">
        <v>70</v>
      </c>
      <c r="E20" s="9">
        <v>30</v>
      </c>
      <c r="F20" s="50">
        <v>0</v>
      </c>
      <c r="G20" s="181">
        <v>0</v>
      </c>
      <c r="H20" s="81">
        <v>11216</v>
      </c>
      <c r="I20" s="9">
        <f t="shared" si="2"/>
        <v>13072495.826582886</v>
      </c>
      <c r="J20" s="50">
        <f t="shared" si="0"/>
        <v>985840.436982844</v>
      </c>
      <c r="K20" s="98">
        <f t="shared" si="1"/>
        <v>0.08156437039076253</v>
      </c>
      <c r="L20" s="29" t="s">
        <v>1</v>
      </c>
      <c r="M20" s="29">
        <v>6318.73399891373</v>
      </c>
      <c r="N20" s="29">
        <v>653.1755173426401</v>
      </c>
      <c r="O20" s="29">
        <v>9.673868403121844</v>
      </c>
      <c r="P20" s="29">
        <v>6.2810847054069354E-18</v>
      </c>
      <c r="Q20" s="29">
        <v>5029.408667242231</v>
      </c>
      <c r="R20" s="29">
        <v>7608.059330585229</v>
      </c>
      <c r="S20" s="29">
        <v>5029.408667242231</v>
      </c>
      <c r="T20" s="29">
        <v>7608.059330585229</v>
      </c>
      <c r="X20"/>
      <c r="Y20" s="214"/>
      <c r="Z20" s="212" t="s">
        <v>166</v>
      </c>
      <c r="AA20" s="212"/>
      <c r="AB20" s="149"/>
      <c r="AD20" s="159"/>
      <c r="AG20" s="6"/>
      <c r="AH20" s="6"/>
      <c r="AI20" s="6"/>
      <c r="AJ20" s="6"/>
    </row>
    <row r="21" spans="1:36" ht="12.75">
      <c r="A21" s="3">
        <v>37438</v>
      </c>
      <c r="B21" s="107">
        <v>15095631.85882378</v>
      </c>
      <c r="C21" s="108">
        <v>0</v>
      </c>
      <c r="D21" s="108">
        <v>192.39999999999998</v>
      </c>
      <c r="E21" s="9">
        <v>31</v>
      </c>
      <c r="F21" s="50">
        <v>0</v>
      </c>
      <c r="G21" s="181">
        <v>0</v>
      </c>
      <c r="H21" s="81">
        <v>11358</v>
      </c>
      <c r="I21" s="9">
        <f t="shared" si="2"/>
        <v>18953104.886856772</v>
      </c>
      <c r="J21" s="50">
        <f t="shared" si="0"/>
        <v>3857473.028032992</v>
      </c>
      <c r="K21" s="98">
        <f t="shared" si="1"/>
        <v>0.2555357115295708</v>
      </c>
      <c r="L21" s="29" t="s">
        <v>2</v>
      </c>
      <c r="M21" s="29">
        <v>45168.90670788515</v>
      </c>
      <c r="N21" s="29">
        <v>3885.3916013471357</v>
      </c>
      <c r="O21" s="29">
        <v>11.62531640111238</v>
      </c>
      <c r="P21" s="29">
        <v>2.154168876631266E-23</v>
      </c>
      <c r="Q21" s="29">
        <v>37499.400300999005</v>
      </c>
      <c r="R21" s="29">
        <v>52838.4131147713</v>
      </c>
      <c r="S21" s="29">
        <v>37499.400300999005</v>
      </c>
      <c r="T21" s="29">
        <v>52838.4131147713</v>
      </c>
      <c r="X21"/>
      <c r="Y21" s="150"/>
      <c r="Z21" s="151"/>
      <c r="AA21" s="150"/>
      <c r="AB21" s="149"/>
      <c r="AD21" s="159"/>
      <c r="AG21" s="6"/>
      <c r="AH21" s="6"/>
      <c r="AI21" s="6"/>
      <c r="AJ21" s="6"/>
    </row>
    <row r="22" spans="1:36" ht="12.75">
      <c r="A22" s="3">
        <v>37469</v>
      </c>
      <c r="B22" s="107">
        <v>14227258.753946908</v>
      </c>
      <c r="C22" s="108">
        <v>0.2</v>
      </c>
      <c r="D22" s="108">
        <v>142.70000000000002</v>
      </c>
      <c r="E22" s="9">
        <v>31</v>
      </c>
      <c r="F22" s="50">
        <v>0</v>
      </c>
      <c r="G22" s="181">
        <v>0</v>
      </c>
      <c r="H22" s="81">
        <v>11557</v>
      </c>
      <c r="I22" s="9">
        <f t="shared" si="2"/>
        <v>16831196.72902351</v>
      </c>
      <c r="J22" s="50">
        <f t="shared" si="0"/>
        <v>2603937.975076601</v>
      </c>
      <c r="K22" s="98">
        <f t="shared" si="1"/>
        <v>0.1830245741720428</v>
      </c>
      <c r="L22" s="29" t="s">
        <v>3</v>
      </c>
      <c r="M22" s="29">
        <v>493815.60404802946</v>
      </c>
      <c r="N22" s="29">
        <v>127220.9718438323</v>
      </c>
      <c r="O22" s="29">
        <v>3.8815581809436535</v>
      </c>
      <c r="P22" s="29">
        <v>0.00014800084012932951</v>
      </c>
      <c r="Q22" s="29">
        <v>242689.80805149378</v>
      </c>
      <c r="R22" s="29">
        <v>744941.4000445651</v>
      </c>
      <c r="S22" s="29">
        <v>242689.80805149378</v>
      </c>
      <c r="T22" s="29">
        <v>744941.4000445651</v>
      </c>
      <c r="X22"/>
      <c r="Y22" s="150"/>
      <c r="Z22" s="151"/>
      <c r="AA22" s="150"/>
      <c r="AB22" s="149"/>
      <c r="AD22" s="160"/>
      <c r="AE22" s="160"/>
      <c r="AF22" s="160"/>
      <c r="AG22" s="160"/>
      <c r="AH22" s="160"/>
      <c r="AI22" s="160"/>
      <c r="AJ22" s="6"/>
    </row>
    <row r="23" spans="1:36" ht="12.75">
      <c r="A23" s="3">
        <v>37500</v>
      </c>
      <c r="B23" s="107">
        <v>11663149.246152297</v>
      </c>
      <c r="C23" s="108">
        <v>21.8</v>
      </c>
      <c r="D23" s="108">
        <v>87.60000000000001</v>
      </c>
      <c r="E23" s="9">
        <v>30</v>
      </c>
      <c r="F23" s="50">
        <v>1</v>
      </c>
      <c r="G23" s="181">
        <v>0</v>
      </c>
      <c r="H23" s="81">
        <v>11737</v>
      </c>
      <c r="I23" s="9">
        <f t="shared" si="2"/>
        <v>12026469.78926599</v>
      </c>
      <c r="J23" s="50">
        <f t="shared" si="0"/>
        <v>363320.5431136936</v>
      </c>
      <c r="K23" s="98">
        <f t="shared" si="1"/>
        <v>0.031151152698620743</v>
      </c>
      <c r="L23" s="29" t="s">
        <v>20</v>
      </c>
      <c r="M23" s="29">
        <v>-2068690.2182945793</v>
      </c>
      <c r="N23" s="29">
        <v>278247.80952974927</v>
      </c>
      <c r="O23" s="29">
        <v>-7.43470441614888</v>
      </c>
      <c r="P23" s="29">
        <v>4.821473509356067E-12</v>
      </c>
      <c r="Q23" s="29">
        <v>-2617933.017180165</v>
      </c>
      <c r="R23" s="29">
        <v>-1519447.4194089938</v>
      </c>
      <c r="S23" s="29">
        <v>-2617933.017180165</v>
      </c>
      <c r="T23" s="29">
        <v>-1519447.4194089938</v>
      </c>
      <c r="X23"/>
      <c r="Y23" s="150"/>
      <c r="Z23" s="151"/>
      <c r="AA23" s="150"/>
      <c r="AB23" s="149"/>
      <c r="AD23" s="161"/>
      <c r="AE23" s="161"/>
      <c r="AF23" s="161"/>
      <c r="AG23" s="161"/>
      <c r="AH23" s="161"/>
      <c r="AI23" s="161"/>
      <c r="AJ23" s="6"/>
    </row>
    <row r="24" spans="1:36" ht="12.75">
      <c r="A24" s="3">
        <v>37530</v>
      </c>
      <c r="B24" s="107">
        <v>11188550.088257773</v>
      </c>
      <c r="C24" s="108">
        <v>292.2</v>
      </c>
      <c r="D24" s="108">
        <v>10</v>
      </c>
      <c r="E24" s="9">
        <v>31</v>
      </c>
      <c r="F24" s="50">
        <v>1</v>
      </c>
      <c r="G24" s="181">
        <v>0</v>
      </c>
      <c r="H24" s="81">
        <v>11912</v>
      </c>
      <c r="I24" s="9">
        <f t="shared" si="2"/>
        <v>10830806.53312885</v>
      </c>
      <c r="J24" s="50">
        <f t="shared" si="0"/>
        <v>-357743.5551289227</v>
      </c>
      <c r="K24" s="98">
        <f t="shared" si="1"/>
        <v>-0.03197407638228027</v>
      </c>
      <c r="L24" s="29" t="s">
        <v>147</v>
      </c>
      <c r="M24" s="29">
        <v>-3490529.397209187</v>
      </c>
      <c r="N24" s="29">
        <v>1366659.317058882</v>
      </c>
      <c r="O24" s="29">
        <v>-2.554059635521293</v>
      </c>
      <c r="P24" s="29">
        <v>0.011520282780348072</v>
      </c>
      <c r="Q24" s="29">
        <v>-6188224.626843074</v>
      </c>
      <c r="R24" s="29">
        <v>-792834.1675752993</v>
      </c>
      <c r="S24" s="29">
        <v>-6188224.626843074</v>
      </c>
      <c r="T24" s="29">
        <v>-792834.1675752993</v>
      </c>
      <c r="X24"/>
      <c r="Y24" s="150"/>
      <c r="Z24" s="151"/>
      <c r="AA24" s="150"/>
      <c r="AB24" s="149"/>
      <c r="AD24" s="221"/>
      <c r="AE24" s="221"/>
      <c r="AF24" s="221"/>
      <c r="AG24" s="162"/>
      <c r="AH24" s="162"/>
      <c r="AI24" s="162"/>
      <c r="AJ24" s="6"/>
    </row>
    <row r="25" spans="1:39" ht="13.5" thickBot="1">
      <c r="A25" s="3">
        <v>37561</v>
      </c>
      <c r="B25" s="107">
        <v>12346858.624560045</v>
      </c>
      <c r="C25" s="108">
        <v>445</v>
      </c>
      <c r="D25" s="108">
        <v>0</v>
      </c>
      <c r="E25" s="9">
        <v>30</v>
      </c>
      <c r="F25" s="50">
        <v>1</v>
      </c>
      <c r="G25" s="181">
        <v>0</v>
      </c>
      <c r="H25" s="81">
        <v>12101</v>
      </c>
      <c r="I25" s="9">
        <f t="shared" si="2"/>
        <v>10966410.454239666</v>
      </c>
      <c r="J25" s="50">
        <f t="shared" si="0"/>
        <v>-1380448.1703203786</v>
      </c>
      <c r="K25" s="98">
        <f t="shared" si="1"/>
        <v>-0.11180561892677929</v>
      </c>
      <c r="L25" s="42" t="s">
        <v>70</v>
      </c>
      <c r="M25" s="42">
        <v>611.672154516819</v>
      </c>
      <c r="N25" s="42">
        <v>13.718013488519613</v>
      </c>
      <c r="O25" s="42">
        <v>44.58897456462757</v>
      </c>
      <c r="P25" s="42">
        <v>4.3856751607717864E-96</v>
      </c>
      <c r="Q25" s="42">
        <v>584.5937019089857</v>
      </c>
      <c r="R25" s="42">
        <v>638.7506071246522</v>
      </c>
      <c r="S25" s="42">
        <v>584.5937019089857</v>
      </c>
      <c r="T25" s="42">
        <v>638.7506071246522</v>
      </c>
      <c r="X25" s="3">
        <v>38353</v>
      </c>
      <c r="Y25" s="150">
        <f>+AG6</f>
        <v>0</v>
      </c>
      <c r="Z25" s="151"/>
      <c r="AA25" s="163"/>
      <c r="AB25" s="3">
        <v>39448</v>
      </c>
      <c r="AC25" s="149">
        <f>+Y60+$AG$9</f>
        <v>0</v>
      </c>
      <c r="AF25" s="3">
        <v>40544</v>
      </c>
      <c r="AG25" s="164">
        <f>+AC60+$AG$12</f>
        <v>0</v>
      </c>
      <c r="AH25" s="164"/>
      <c r="AI25" s="164"/>
      <c r="AJ25" s="3">
        <v>41640</v>
      </c>
      <c r="AK25" s="164">
        <f>+AG60+$AG$15</f>
        <v>0</v>
      </c>
      <c r="AL25" s="164"/>
      <c r="AM25" s="6"/>
    </row>
    <row r="26" spans="1:39" ht="12.75">
      <c r="A26" s="3">
        <v>37591</v>
      </c>
      <c r="B26" s="107">
        <v>15015229.643929267</v>
      </c>
      <c r="C26" s="108">
        <v>619.4000000000001</v>
      </c>
      <c r="D26" s="108">
        <v>0</v>
      </c>
      <c r="E26" s="9">
        <v>31</v>
      </c>
      <c r="F26" s="51">
        <v>0</v>
      </c>
      <c r="G26" s="181">
        <v>0</v>
      </c>
      <c r="H26" s="81">
        <v>12314</v>
      </c>
      <c r="I26" s="9">
        <f t="shared" si="2"/>
        <v>14761189.654904913</v>
      </c>
      <c r="J26" s="50">
        <f t="shared" si="0"/>
        <v>-254039.98902435414</v>
      </c>
      <c r="K26" s="98">
        <f t="shared" si="1"/>
        <v>-0.01691882142655499</v>
      </c>
      <c r="X26" s="3">
        <v>38384</v>
      </c>
      <c r="Y26" s="150">
        <f>+Y25+$AG$6</f>
        <v>0</v>
      </c>
      <c r="Z26" s="151"/>
      <c r="AA26" s="163"/>
      <c r="AB26" s="3">
        <v>39479</v>
      </c>
      <c r="AC26" s="149">
        <f>+AC25+$AG$9</f>
        <v>0</v>
      </c>
      <c r="AF26" s="3">
        <v>40575</v>
      </c>
      <c r="AG26" s="164">
        <f>+AG25+$AG$12</f>
        <v>0</v>
      </c>
      <c r="AH26" s="164"/>
      <c r="AI26" s="164"/>
      <c r="AJ26" s="3">
        <v>41671</v>
      </c>
      <c r="AK26" s="164">
        <f>+AK25+$AG$15</f>
        <v>0</v>
      </c>
      <c r="AL26" s="164"/>
      <c r="AM26" s="6"/>
    </row>
    <row r="27" spans="1:39" ht="12.75">
      <c r="A27" s="3">
        <v>37622</v>
      </c>
      <c r="B27" s="107">
        <v>15689033.92169589</v>
      </c>
      <c r="C27" s="108">
        <v>814.4999999999999</v>
      </c>
      <c r="D27" s="108">
        <v>0</v>
      </c>
      <c r="E27" s="9">
        <v>31</v>
      </c>
      <c r="F27" s="50">
        <v>0</v>
      </c>
      <c r="G27" s="181">
        <v>0</v>
      </c>
      <c r="H27" s="81">
        <v>12373</v>
      </c>
      <c r="I27" s="9">
        <f t="shared" si="2"/>
        <v>16030063.315209473</v>
      </c>
      <c r="J27" s="50">
        <f t="shared" si="0"/>
        <v>341029.39351358265</v>
      </c>
      <c r="K27" s="98">
        <f t="shared" si="1"/>
        <v>0.02173680006147373</v>
      </c>
      <c r="X27" s="3">
        <v>38412</v>
      </c>
      <c r="Y27" s="150">
        <f aca="true" t="shared" si="7" ref="Y27:Y36">+Y26+$AG$6</f>
        <v>0</v>
      </c>
      <c r="Z27" s="165"/>
      <c r="AA27" s="163"/>
      <c r="AB27" s="3">
        <v>39508</v>
      </c>
      <c r="AC27" s="149">
        <f aca="true" t="shared" si="8" ref="AC27:AC36">+AC26+$AG$9</f>
        <v>0</v>
      </c>
      <c r="AF27" s="3">
        <v>40603</v>
      </c>
      <c r="AG27" s="164">
        <f aca="true" t="shared" si="9" ref="AG27:AG36">+AG26+$AG$12</f>
        <v>0</v>
      </c>
      <c r="AH27" s="166"/>
      <c r="AI27" s="166"/>
      <c r="AJ27" s="3">
        <v>41699</v>
      </c>
      <c r="AK27" s="164">
        <f aca="true" t="shared" si="10" ref="AK27:AK36">+AK26+$AG$15</f>
        <v>0</v>
      </c>
      <c r="AL27" s="166"/>
      <c r="AM27" s="6"/>
    </row>
    <row r="28" spans="1:39" ht="12.75">
      <c r="A28" s="3">
        <v>37653</v>
      </c>
      <c r="B28" s="107">
        <v>14159370.062451217</v>
      </c>
      <c r="C28" s="108">
        <v>699.0000000000001</v>
      </c>
      <c r="D28" s="108">
        <v>0</v>
      </c>
      <c r="E28" s="9">
        <v>28</v>
      </c>
      <c r="F28" s="50">
        <v>0</v>
      </c>
      <c r="G28" s="181">
        <v>0</v>
      </c>
      <c r="H28" s="81">
        <v>12490</v>
      </c>
      <c r="I28" s="9">
        <f t="shared" si="2"/>
        <v>13890368.368269317</v>
      </c>
      <c r="J28" s="50">
        <f t="shared" si="0"/>
        <v>-269001.6941819005</v>
      </c>
      <c r="K28" s="98">
        <f t="shared" si="1"/>
        <v>-0.018998139959295047</v>
      </c>
      <c r="X28" s="3">
        <v>38443</v>
      </c>
      <c r="Y28" s="150">
        <f t="shared" si="7"/>
        <v>0</v>
      </c>
      <c r="Z28" s="151"/>
      <c r="AA28" s="163"/>
      <c r="AB28" s="3">
        <v>39539</v>
      </c>
      <c r="AC28" s="149">
        <f t="shared" si="8"/>
        <v>0</v>
      </c>
      <c r="AF28" s="3">
        <v>40634</v>
      </c>
      <c r="AG28" s="164">
        <f t="shared" si="9"/>
        <v>0</v>
      </c>
      <c r="AH28" s="166"/>
      <c r="AI28" s="166"/>
      <c r="AJ28" s="3">
        <v>41730</v>
      </c>
      <c r="AK28" s="164">
        <f t="shared" si="10"/>
        <v>0</v>
      </c>
      <c r="AL28" s="166"/>
      <c r="AM28" s="6"/>
    </row>
    <row r="29" spans="1:39" ht="12.75">
      <c r="A29" s="3">
        <v>37681</v>
      </c>
      <c r="B29" s="107">
        <v>13797746.837768259</v>
      </c>
      <c r="C29" s="108">
        <v>581.0999999999999</v>
      </c>
      <c r="D29" s="108">
        <v>0</v>
      </c>
      <c r="E29" s="9">
        <v>31</v>
      </c>
      <c r="F29" s="50">
        <v>1</v>
      </c>
      <c r="G29" s="181">
        <v>0</v>
      </c>
      <c r="H29" s="81">
        <v>12596</v>
      </c>
      <c r="I29" s="9">
        <f t="shared" si="2"/>
        <v>12622983.472025678</v>
      </c>
      <c r="J29" s="50">
        <f t="shared" si="0"/>
        <v>-1174763.365742581</v>
      </c>
      <c r="K29" s="98">
        <f t="shared" si="1"/>
        <v>-0.08514168143213992</v>
      </c>
      <c r="X29" s="3">
        <v>38473</v>
      </c>
      <c r="Y29" s="150">
        <f t="shared" si="7"/>
        <v>0</v>
      </c>
      <c r="Z29" s="151"/>
      <c r="AA29" s="163"/>
      <c r="AB29" s="3">
        <v>39569</v>
      </c>
      <c r="AC29" s="149">
        <f t="shared" si="8"/>
        <v>0</v>
      </c>
      <c r="AF29" s="3">
        <v>40664</v>
      </c>
      <c r="AG29" s="164">
        <f t="shared" si="9"/>
        <v>0</v>
      </c>
      <c r="AH29" s="6"/>
      <c r="AI29" s="6"/>
      <c r="AJ29" s="3">
        <v>41760</v>
      </c>
      <c r="AK29" s="164">
        <f t="shared" si="10"/>
        <v>0</v>
      </c>
      <c r="AL29" s="6"/>
      <c r="AM29" s="6"/>
    </row>
    <row r="30" spans="1:39" ht="12.75">
      <c r="A30" s="3">
        <v>37712</v>
      </c>
      <c r="B30" s="107">
        <v>11326229.399708813</v>
      </c>
      <c r="C30" s="108">
        <v>372.5000000000001</v>
      </c>
      <c r="D30" s="108">
        <v>2.4</v>
      </c>
      <c r="E30" s="9">
        <v>30</v>
      </c>
      <c r="F30" s="50">
        <v>1</v>
      </c>
      <c r="G30" s="181">
        <v>0</v>
      </c>
      <c r="H30" s="81">
        <v>12698</v>
      </c>
      <c r="I30" s="9">
        <f t="shared" si="2"/>
        <v>10981875.891663887</v>
      </c>
      <c r="J30" s="50">
        <f t="shared" si="0"/>
        <v>-344353.50804492645</v>
      </c>
      <c r="K30" s="98">
        <f t="shared" si="1"/>
        <v>-0.030403190319788106</v>
      </c>
      <c r="X30" s="3">
        <v>38504</v>
      </c>
      <c r="Y30" s="150">
        <f t="shared" si="7"/>
        <v>0</v>
      </c>
      <c r="Z30" s="165"/>
      <c r="AA30" s="163"/>
      <c r="AB30" s="3">
        <v>39600</v>
      </c>
      <c r="AC30" s="149">
        <f t="shared" si="8"/>
        <v>0</v>
      </c>
      <c r="AF30" s="3">
        <v>40695</v>
      </c>
      <c r="AG30" s="164">
        <f t="shared" si="9"/>
        <v>0</v>
      </c>
      <c r="AH30" s="6"/>
      <c r="AI30" s="6"/>
      <c r="AJ30" s="3">
        <v>41791</v>
      </c>
      <c r="AK30" s="164">
        <f t="shared" si="10"/>
        <v>0</v>
      </c>
      <c r="AL30" s="6"/>
      <c r="AM30" s="6"/>
    </row>
    <row r="31" spans="1:39" ht="12.75">
      <c r="A31" s="3">
        <v>37742</v>
      </c>
      <c r="B31" s="107">
        <v>10631873.298749916</v>
      </c>
      <c r="C31" s="108">
        <v>177.90000000000003</v>
      </c>
      <c r="D31" s="108">
        <v>0</v>
      </c>
      <c r="E31" s="9">
        <v>31</v>
      </c>
      <c r="F31" s="50">
        <v>1</v>
      </c>
      <c r="G31" s="181">
        <v>0</v>
      </c>
      <c r="H31" s="81">
        <v>12803</v>
      </c>
      <c r="I31" s="9">
        <f t="shared" si="2"/>
        <v>10201886.059648644</v>
      </c>
      <c r="J31" s="50">
        <f t="shared" si="0"/>
        <v>-429987.2391012721</v>
      </c>
      <c r="K31" s="98">
        <f t="shared" si="1"/>
        <v>-0.04044322453991523</v>
      </c>
      <c r="L31" s="28"/>
      <c r="M31" s="28"/>
      <c r="N31" s="28"/>
      <c r="O31" s="28"/>
      <c r="P31" s="28"/>
      <c r="Q31" s="28"/>
      <c r="R31" s="28"/>
      <c r="S31" s="28"/>
      <c r="T31" s="28"/>
      <c r="X31" s="3">
        <v>38534</v>
      </c>
      <c r="Y31" s="150">
        <f t="shared" si="7"/>
        <v>0</v>
      </c>
      <c r="Z31" s="151"/>
      <c r="AA31" s="163"/>
      <c r="AB31" s="3">
        <v>39630</v>
      </c>
      <c r="AC31" s="149">
        <f t="shared" si="8"/>
        <v>0</v>
      </c>
      <c r="AF31" s="3">
        <v>40725</v>
      </c>
      <c r="AG31" s="164">
        <f t="shared" si="9"/>
        <v>0</v>
      </c>
      <c r="AH31" s="6"/>
      <c r="AI31" s="6"/>
      <c r="AJ31" s="3">
        <v>41821</v>
      </c>
      <c r="AK31" s="164">
        <f t="shared" si="10"/>
        <v>0</v>
      </c>
      <c r="AL31" s="6"/>
      <c r="AM31" s="6"/>
    </row>
    <row r="32" spans="1:39" ht="12.75">
      <c r="A32" s="3">
        <v>37773</v>
      </c>
      <c r="B32" s="107">
        <v>12256743.76985238</v>
      </c>
      <c r="C32" s="108">
        <v>43.39999999999999</v>
      </c>
      <c r="D32" s="108">
        <v>52.9</v>
      </c>
      <c r="E32" s="9">
        <v>30</v>
      </c>
      <c r="F32" s="50">
        <v>0</v>
      </c>
      <c r="G32" s="181">
        <v>0</v>
      </c>
      <c r="H32" s="81">
        <v>12906</v>
      </c>
      <c r="I32" s="9">
        <f t="shared" si="2"/>
        <v>13379328.347803652</v>
      </c>
      <c r="J32" s="50">
        <f t="shared" si="0"/>
        <v>1122584.577951273</v>
      </c>
      <c r="K32" s="98">
        <f t="shared" si="1"/>
        <v>0.09158913648113193</v>
      </c>
      <c r="L32" s="28"/>
      <c r="M32" s="28"/>
      <c r="N32" s="28"/>
      <c r="O32" s="28"/>
      <c r="P32" s="28"/>
      <c r="Q32" s="28"/>
      <c r="R32" s="28"/>
      <c r="S32" s="28"/>
      <c r="T32" s="28"/>
      <c r="X32" s="3">
        <v>38565</v>
      </c>
      <c r="Y32" s="150">
        <f t="shared" si="7"/>
        <v>0</v>
      </c>
      <c r="Z32" s="151"/>
      <c r="AA32" s="163"/>
      <c r="AB32" s="3">
        <v>39661</v>
      </c>
      <c r="AC32" s="149">
        <f t="shared" si="8"/>
        <v>0</v>
      </c>
      <c r="AF32" s="3">
        <v>40756</v>
      </c>
      <c r="AG32" s="164">
        <f t="shared" si="9"/>
        <v>0</v>
      </c>
      <c r="AH32" s="6"/>
      <c r="AI32" s="6"/>
      <c r="AJ32" s="3">
        <v>41852</v>
      </c>
      <c r="AK32" s="164">
        <f t="shared" si="10"/>
        <v>0</v>
      </c>
      <c r="AL32" s="6"/>
      <c r="AM32" s="6"/>
    </row>
    <row r="33" spans="1:39" ht="12.75">
      <c r="A33" s="3">
        <v>37803</v>
      </c>
      <c r="B33" s="107">
        <v>14385857.39681871</v>
      </c>
      <c r="C33" s="108">
        <v>0.2</v>
      </c>
      <c r="D33" s="108">
        <v>118.30000000000004</v>
      </c>
      <c r="E33" s="9">
        <v>31</v>
      </c>
      <c r="F33" s="50">
        <v>0</v>
      </c>
      <c r="G33" s="138">
        <v>0</v>
      </c>
      <c r="H33" s="81">
        <v>13037</v>
      </c>
      <c r="I33" s="9">
        <f t="shared" si="2"/>
        <v>16634350.194036003</v>
      </c>
      <c r="J33" s="50">
        <f t="shared" si="0"/>
        <v>2248492.7972172927</v>
      </c>
      <c r="K33" s="98">
        <f t="shared" si="1"/>
        <v>0.15629883817105852</v>
      </c>
      <c r="L33" s="28"/>
      <c r="M33" s="28"/>
      <c r="N33" s="28"/>
      <c r="O33" s="28"/>
      <c r="P33" s="28"/>
      <c r="Q33" s="28"/>
      <c r="R33" s="28"/>
      <c r="S33" s="28"/>
      <c r="T33" s="28"/>
      <c r="X33" s="3">
        <v>38596</v>
      </c>
      <c r="Y33" s="150">
        <f t="shared" si="7"/>
        <v>0</v>
      </c>
      <c r="Z33" s="165"/>
      <c r="AA33" s="163"/>
      <c r="AB33" s="3">
        <v>39692</v>
      </c>
      <c r="AC33" s="149">
        <f t="shared" si="8"/>
        <v>0</v>
      </c>
      <c r="AF33" s="3">
        <v>40787</v>
      </c>
      <c r="AG33" s="164">
        <f t="shared" si="9"/>
        <v>0</v>
      </c>
      <c r="AH33" s="6"/>
      <c r="AI33" s="6"/>
      <c r="AJ33" s="3">
        <v>41883</v>
      </c>
      <c r="AK33" s="164">
        <f t="shared" si="10"/>
        <v>0</v>
      </c>
      <c r="AL33" s="6"/>
      <c r="AM33" s="6"/>
    </row>
    <row r="34" spans="1:39" ht="12.75">
      <c r="A34" s="3">
        <v>37834</v>
      </c>
      <c r="B34" s="107">
        <v>13709550.622449541</v>
      </c>
      <c r="C34" s="108">
        <v>2</v>
      </c>
      <c r="D34" s="108">
        <v>128</v>
      </c>
      <c r="E34" s="9">
        <v>31</v>
      </c>
      <c r="F34" s="50">
        <v>0</v>
      </c>
      <c r="G34" s="138">
        <v>1</v>
      </c>
      <c r="H34" s="81">
        <v>13227</v>
      </c>
      <c r="I34" s="9">
        <f t="shared" si="2"/>
        <v>13709550.622449543</v>
      </c>
      <c r="J34" s="50">
        <f t="shared" si="0"/>
        <v>0</v>
      </c>
      <c r="K34" s="98">
        <f t="shared" si="1"/>
        <v>0</v>
      </c>
      <c r="L34" s="28"/>
      <c r="M34" s="28"/>
      <c r="N34" s="28"/>
      <c r="O34" s="28"/>
      <c r="P34" s="28"/>
      <c r="Q34" s="28"/>
      <c r="R34" s="28"/>
      <c r="S34" s="28"/>
      <c r="T34" s="28"/>
      <c r="X34" s="3">
        <v>38626</v>
      </c>
      <c r="Y34" s="150">
        <f t="shared" si="7"/>
        <v>0</v>
      </c>
      <c r="Z34" s="151"/>
      <c r="AA34" s="163"/>
      <c r="AB34" s="3">
        <v>39722</v>
      </c>
      <c r="AC34" s="149">
        <f t="shared" si="8"/>
        <v>0</v>
      </c>
      <c r="AF34" s="3">
        <v>40817</v>
      </c>
      <c r="AG34" s="164">
        <f t="shared" si="9"/>
        <v>0</v>
      </c>
      <c r="AH34" s="6"/>
      <c r="AI34" s="6"/>
      <c r="AJ34" s="3">
        <v>41913</v>
      </c>
      <c r="AK34" s="164">
        <f t="shared" si="10"/>
        <v>0</v>
      </c>
      <c r="AL34" s="6"/>
      <c r="AM34" s="6"/>
    </row>
    <row r="35" spans="1:39" ht="12.75">
      <c r="A35" s="3">
        <v>37865</v>
      </c>
      <c r="B35" s="107">
        <v>11457418.308239128</v>
      </c>
      <c r="C35" s="108">
        <v>54.9</v>
      </c>
      <c r="D35" s="108">
        <v>24</v>
      </c>
      <c r="E35" s="9">
        <v>30</v>
      </c>
      <c r="F35" s="50">
        <v>1</v>
      </c>
      <c r="G35" s="138">
        <v>0</v>
      </c>
      <c r="H35" s="81">
        <v>13430</v>
      </c>
      <c r="I35" s="9">
        <f t="shared" si="2"/>
        <v>10398438.375605514</v>
      </c>
      <c r="J35" s="50">
        <f aca="true" t="shared" si="11" ref="J35:J66">+I35-B35</f>
        <v>-1058979.9326336142</v>
      </c>
      <c r="K35" s="98">
        <f aca="true" t="shared" si="12" ref="K35:K66">+J35/B35</f>
        <v>-0.09242744780227606</v>
      </c>
      <c r="L35" s="28"/>
      <c r="M35" s="28"/>
      <c r="N35" s="28"/>
      <c r="O35" s="28"/>
      <c r="P35" s="28"/>
      <c r="Q35" s="28"/>
      <c r="R35" s="28"/>
      <c r="S35" s="28"/>
      <c r="T35" s="28"/>
      <c r="X35" s="3">
        <v>38657</v>
      </c>
      <c r="Y35" s="150">
        <f t="shared" si="7"/>
        <v>0</v>
      </c>
      <c r="Z35" s="151"/>
      <c r="AA35" s="163"/>
      <c r="AB35" s="3">
        <v>39753</v>
      </c>
      <c r="AC35" s="149">
        <f t="shared" si="8"/>
        <v>0</v>
      </c>
      <c r="AF35" s="3">
        <v>40848</v>
      </c>
      <c r="AG35" s="164">
        <f t="shared" si="9"/>
        <v>0</v>
      </c>
      <c r="AH35" s="6"/>
      <c r="AI35" s="6"/>
      <c r="AJ35" s="3">
        <v>41944</v>
      </c>
      <c r="AK35" s="164">
        <f t="shared" si="10"/>
        <v>0</v>
      </c>
      <c r="AL35" s="78"/>
      <c r="AM35" s="6"/>
    </row>
    <row r="36" spans="1:39" ht="12.75">
      <c r="A36" s="3">
        <v>37895</v>
      </c>
      <c r="B36" s="107">
        <v>11830330.48145108</v>
      </c>
      <c r="C36" s="108">
        <v>276</v>
      </c>
      <c r="D36" s="108">
        <v>0</v>
      </c>
      <c r="E36" s="9">
        <v>31</v>
      </c>
      <c r="F36" s="50">
        <v>1</v>
      </c>
      <c r="G36" s="138">
        <v>0</v>
      </c>
      <c r="H36" s="81">
        <v>13593</v>
      </c>
      <c r="I36" s="9">
        <f t="shared" si="2"/>
        <v>11304974.86701037</v>
      </c>
      <c r="J36" s="50">
        <f t="shared" si="11"/>
        <v>-525355.6144407094</v>
      </c>
      <c r="K36" s="98">
        <f t="shared" si="12"/>
        <v>-0.044407518054074724</v>
      </c>
      <c r="L36" s="28"/>
      <c r="M36" s="28"/>
      <c r="N36" s="28"/>
      <c r="O36" s="28"/>
      <c r="P36" s="28"/>
      <c r="Q36" s="28"/>
      <c r="R36" s="28"/>
      <c r="S36" s="28"/>
      <c r="T36" s="28"/>
      <c r="X36" s="3">
        <v>38687</v>
      </c>
      <c r="Y36" s="150">
        <f t="shared" si="7"/>
        <v>0</v>
      </c>
      <c r="Z36" s="6">
        <f>SUM(Y25:Y36)</f>
        <v>0</v>
      </c>
      <c r="AA36" s="163">
        <f>+Y36*12</f>
        <v>0</v>
      </c>
      <c r="AB36" s="3">
        <v>39783</v>
      </c>
      <c r="AC36" s="149">
        <f t="shared" si="8"/>
        <v>0</v>
      </c>
      <c r="AD36" s="6">
        <f>SUM(AC25:AC36)</f>
        <v>0</v>
      </c>
      <c r="AE36" s="6">
        <f>+AC36*12</f>
        <v>0</v>
      </c>
      <c r="AF36" s="3">
        <v>40878</v>
      </c>
      <c r="AG36" s="164">
        <f t="shared" si="9"/>
        <v>0</v>
      </c>
      <c r="AH36" s="6">
        <f>SUM(AG25:AG36)</f>
        <v>0</v>
      </c>
      <c r="AI36" s="6">
        <f>+AG36*12</f>
        <v>0</v>
      </c>
      <c r="AJ36" s="3">
        <v>41974</v>
      </c>
      <c r="AK36" s="164">
        <f t="shared" si="10"/>
        <v>0</v>
      </c>
      <c r="AL36" s="6">
        <f>SUM(AK25:AK36)</f>
        <v>0</v>
      </c>
      <c r="AM36" s="6">
        <f>+AK36*12</f>
        <v>0</v>
      </c>
    </row>
    <row r="37" spans="1:41" ht="12.75">
      <c r="A37" s="3">
        <v>37926</v>
      </c>
      <c r="B37" s="107">
        <v>13103900.595252367</v>
      </c>
      <c r="C37" s="108">
        <v>398.5</v>
      </c>
      <c r="D37" s="108">
        <v>0</v>
      </c>
      <c r="E37" s="9">
        <v>30</v>
      </c>
      <c r="F37" s="50">
        <v>1</v>
      </c>
      <c r="G37" s="138">
        <v>0</v>
      </c>
      <c r="H37" s="81">
        <v>13744</v>
      </c>
      <c r="I37" s="9">
        <f t="shared" si="2"/>
        <v>11677566.67316131</v>
      </c>
      <c r="J37" s="50">
        <f t="shared" si="11"/>
        <v>-1426333.9220910575</v>
      </c>
      <c r="K37" s="98">
        <f t="shared" si="12"/>
        <v>-0.1088480419797925</v>
      </c>
      <c r="L37" s="28"/>
      <c r="M37" s="28"/>
      <c r="N37" s="28"/>
      <c r="O37" s="28"/>
      <c r="P37" s="28"/>
      <c r="Q37" s="28"/>
      <c r="R37" s="28"/>
      <c r="S37" s="28"/>
      <c r="T37" s="28"/>
      <c r="X37" s="3">
        <v>38718</v>
      </c>
      <c r="Y37" s="6">
        <f>+Y36+$AG$7</f>
        <v>0</v>
      </c>
      <c r="AB37" s="3">
        <v>39814</v>
      </c>
      <c r="AC37" s="6">
        <f>+AC36+$AG$10</f>
        <v>0</v>
      </c>
      <c r="AF37" s="3">
        <v>40909</v>
      </c>
      <c r="AG37" s="167">
        <f>+AG36+$AG$13</f>
        <v>0</v>
      </c>
      <c r="AH37" s="6"/>
      <c r="AI37" s="6"/>
      <c r="AJ37" s="168">
        <v>42005</v>
      </c>
      <c r="AK37" s="169"/>
      <c r="AL37" s="157"/>
      <c r="AM37" s="6"/>
      <c r="AN37" s="40">
        <f>+$AG$16</f>
        <v>4968.04347826087</v>
      </c>
      <c r="AO37" s="40">
        <f>+AN37</f>
        <v>4968.04347826087</v>
      </c>
    </row>
    <row r="38" spans="1:41" ht="12.75">
      <c r="A38" s="3">
        <v>37956</v>
      </c>
      <c r="B38" s="107">
        <v>15827271.986645717</v>
      </c>
      <c r="C38" s="108">
        <v>561.5000000000001</v>
      </c>
      <c r="D38" s="108">
        <v>0</v>
      </c>
      <c r="E38" s="9">
        <v>31</v>
      </c>
      <c r="F38" s="50">
        <v>0</v>
      </c>
      <c r="G38" s="138">
        <v>0</v>
      </c>
      <c r="H38" s="81">
        <v>13821</v>
      </c>
      <c r="I38" s="9">
        <f t="shared" si="2"/>
        <v>15317124.893224653</v>
      </c>
      <c r="J38" s="50">
        <f t="shared" si="11"/>
        <v>-510147.0934210643</v>
      </c>
      <c r="K38" s="98">
        <f t="shared" si="12"/>
        <v>-0.03223215560151501</v>
      </c>
      <c r="L38" s="28"/>
      <c r="M38" s="28"/>
      <c r="N38" s="28"/>
      <c r="O38" s="28"/>
      <c r="P38" s="28"/>
      <c r="Q38" s="28"/>
      <c r="R38" s="28"/>
      <c r="S38" s="28"/>
      <c r="T38" s="28"/>
      <c r="X38" s="3">
        <v>38749</v>
      </c>
      <c r="Y38" s="6">
        <f aca="true" t="shared" si="13" ref="Y38:Y48">+Y37+$AG$7</f>
        <v>0</v>
      </c>
      <c r="AB38" s="3">
        <v>39845</v>
      </c>
      <c r="AC38" s="6">
        <f aca="true" t="shared" si="14" ref="AC38:AC48">+AC37+$AG$10</f>
        <v>0</v>
      </c>
      <c r="AF38" s="3">
        <v>40940</v>
      </c>
      <c r="AG38" s="167">
        <f aca="true" t="shared" si="15" ref="AG38:AG48">+AG37+$AG$13</f>
        <v>0</v>
      </c>
      <c r="AH38" s="6"/>
      <c r="AI38" s="6"/>
      <c r="AJ38" s="170">
        <v>42036</v>
      </c>
      <c r="AK38" s="171"/>
      <c r="AL38" s="6"/>
      <c r="AM38" s="6"/>
      <c r="AN38" s="40">
        <f aca="true" t="shared" si="16" ref="AN38:AN48">+$AG$16</f>
        <v>4968.04347826087</v>
      </c>
      <c r="AO38" s="40">
        <f>+AN37+AN38</f>
        <v>9936.08695652174</v>
      </c>
    </row>
    <row r="39" spans="1:41" ht="12.75">
      <c r="A39" s="3">
        <v>37987</v>
      </c>
      <c r="B39" s="107">
        <v>17352661.15561316</v>
      </c>
      <c r="C39" s="108">
        <v>849.0999999999999</v>
      </c>
      <c r="D39" s="108">
        <v>0</v>
      </c>
      <c r="E39" s="9">
        <v>31</v>
      </c>
      <c r="F39" s="50">
        <v>0</v>
      </c>
      <c r="G39" s="138">
        <v>0</v>
      </c>
      <c r="H39" s="81">
        <v>14184</v>
      </c>
      <c r="I39" s="9">
        <f t="shared" si="2"/>
        <v>17356429.783401847</v>
      </c>
      <c r="J39" s="50">
        <f t="shared" si="11"/>
        <v>3768.627788685262</v>
      </c>
      <c r="K39" s="98">
        <f t="shared" si="12"/>
        <v>0.00021717866527153407</v>
      </c>
      <c r="L39" s="28"/>
      <c r="M39" s="28"/>
      <c r="N39" s="28"/>
      <c r="O39" s="28"/>
      <c r="P39" s="28"/>
      <c r="Q39" s="28"/>
      <c r="R39" s="28"/>
      <c r="S39" s="28"/>
      <c r="T39" s="28"/>
      <c r="X39" s="3">
        <v>38777</v>
      </c>
      <c r="Y39" s="6">
        <f t="shared" si="13"/>
        <v>0</v>
      </c>
      <c r="AB39" s="3">
        <v>39873</v>
      </c>
      <c r="AC39" s="6">
        <f t="shared" si="14"/>
        <v>0</v>
      </c>
      <c r="AF39" s="3">
        <v>40969</v>
      </c>
      <c r="AG39" s="167">
        <f t="shared" si="15"/>
        <v>0</v>
      </c>
      <c r="AH39" s="6"/>
      <c r="AI39" s="6"/>
      <c r="AJ39" s="170">
        <v>42064</v>
      </c>
      <c r="AK39" s="171"/>
      <c r="AL39" s="6"/>
      <c r="AM39" s="6"/>
      <c r="AN39" s="40">
        <f t="shared" si="16"/>
        <v>4968.04347826087</v>
      </c>
      <c r="AO39" s="40">
        <f>+AO38+AN39</f>
        <v>14904.13043478261</v>
      </c>
    </row>
    <row r="40" spans="1:41" ht="12.75">
      <c r="A40" s="3">
        <v>38018</v>
      </c>
      <c r="B40" s="107">
        <v>14963757.560641592</v>
      </c>
      <c r="C40" s="108">
        <v>631.7</v>
      </c>
      <c r="D40" s="108">
        <v>0</v>
      </c>
      <c r="E40" s="9">
        <v>29</v>
      </c>
      <c r="F40" s="50">
        <v>0</v>
      </c>
      <c r="G40" s="138">
        <v>0</v>
      </c>
      <c r="H40" s="81">
        <v>14379</v>
      </c>
      <c r="I40" s="9">
        <f t="shared" si="2"/>
        <v>15114381.874072723</v>
      </c>
      <c r="J40" s="50">
        <f t="shared" si="11"/>
        <v>150624.31343113072</v>
      </c>
      <c r="K40" s="98">
        <f t="shared" si="12"/>
        <v>0.01006594184787584</v>
      </c>
      <c r="L40" s="28"/>
      <c r="M40" s="28"/>
      <c r="N40" s="28"/>
      <c r="O40" s="28"/>
      <c r="P40" s="28"/>
      <c r="Q40" s="28"/>
      <c r="R40" s="28"/>
      <c r="S40" s="28"/>
      <c r="T40" s="28"/>
      <c r="X40" s="3">
        <v>38808</v>
      </c>
      <c r="Y40" s="6">
        <f t="shared" si="13"/>
        <v>0</v>
      </c>
      <c r="AB40" s="3">
        <v>39904</v>
      </c>
      <c r="AC40" s="6">
        <f t="shared" si="14"/>
        <v>0</v>
      </c>
      <c r="AF40" s="3">
        <v>41000</v>
      </c>
      <c r="AG40" s="167">
        <f t="shared" si="15"/>
        <v>0</v>
      </c>
      <c r="AH40" s="6"/>
      <c r="AI40" s="6"/>
      <c r="AJ40" s="170">
        <v>42095</v>
      </c>
      <c r="AK40" s="171"/>
      <c r="AL40" s="6"/>
      <c r="AM40" s="6"/>
      <c r="AN40" s="40">
        <f t="shared" si="16"/>
        <v>4968.04347826087</v>
      </c>
      <c r="AO40" s="40">
        <f aca="true" t="shared" si="17" ref="AO40:AO48">+AO39+AN40</f>
        <v>19872.17391304348</v>
      </c>
    </row>
    <row r="41" spans="1:41" ht="12.75">
      <c r="A41" s="3">
        <v>38047</v>
      </c>
      <c r="B41" s="107">
        <v>14244179.376682695</v>
      </c>
      <c r="C41" s="108">
        <v>487.29999999999995</v>
      </c>
      <c r="D41" s="108">
        <v>0</v>
      </c>
      <c r="E41" s="9">
        <v>31</v>
      </c>
      <c r="F41" s="50">
        <v>1</v>
      </c>
      <c r="G41" s="138">
        <v>0</v>
      </c>
      <c r="H41" s="81">
        <v>14549</v>
      </c>
      <c r="I41" s="9">
        <f t="shared" si="2"/>
        <v>13224881.940698918</v>
      </c>
      <c r="J41" s="50">
        <f t="shared" si="11"/>
        <v>-1019297.435983777</v>
      </c>
      <c r="K41" s="98">
        <f t="shared" si="12"/>
        <v>-0.07155887391114557</v>
      </c>
      <c r="L41" s="28"/>
      <c r="M41" s="28"/>
      <c r="N41" s="28"/>
      <c r="O41" s="28"/>
      <c r="P41" s="28"/>
      <c r="Q41" s="28"/>
      <c r="R41" s="28"/>
      <c r="S41" s="28"/>
      <c r="T41" s="28"/>
      <c r="X41" s="3">
        <v>38838</v>
      </c>
      <c r="Y41" s="6">
        <f t="shared" si="13"/>
        <v>0</v>
      </c>
      <c r="AB41" s="3">
        <v>39934</v>
      </c>
      <c r="AC41" s="6">
        <f t="shared" si="14"/>
        <v>0</v>
      </c>
      <c r="AF41" s="3">
        <v>41030</v>
      </c>
      <c r="AG41" s="167">
        <f t="shared" si="15"/>
        <v>0</v>
      </c>
      <c r="AH41" s="6"/>
      <c r="AI41" s="6"/>
      <c r="AJ41" s="170">
        <v>42125</v>
      </c>
      <c r="AK41" s="171"/>
      <c r="AL41" s="6"/>
      <c r="AM41" s="6"/>
      <c r="AN41" s="40">
        <f t="shared" si="16"/>
        <v>4968.04347826087</v>
      </c>
      <c r="AO41" s="40">
        <f t="shared" si="17"/>
        <v>24840.21739130435</v>
      </c>
    </row>
    <row r="42" spans="1:41" ht="12.75">
      <c r="A42" s="3">
        <v>38078</v>
      </c>
      <c r="B42" s="107">
        <v>12062987.800357478</v>
      </c>
      <c r="C42" s="108">
        <v>331.49999999999994</v>
      </c>
      <c r="D42" s="108">
        <v>0</v>
      </c>
      <c r="E42" s="9">
        <v>30</v>
      </c>
      <c r="F42" s="50">
        <v>1</v>
      </c>
      <c r="G42" s="138">
        <v>0</v>
      </c>
      <c r="H42" s="81">
        <v>14661</v>
      </c>
      <c r="I42" s="9">
        <f t="shared" si="2"/>
        <v>11815114.860926012</v>
      </c>
      <c r="J42" s="50">
        <f t="shared" si="11"/>
        <v>-247872.93943146616</v>
      </c>
      <c r="K42" s="98">
        <f t="shared" si="12"/>
        <v>-0.020548221015702316</v>
      </c>
      <c r="L42" s="28"/>
      <c r="M42" s="28"/>
      <c r="N42" s="28"/>
      <c r="O42" s="28"/>
      <c r="P42" s="28"/>
      <c r="Q42" s="28"/>
      <c r="R42" s="28"/>
      <c r="S42" s="28"/>
      <c r="T42" s="28"/>
      <c r="X42" s="3">
        <v>38869</v>
      </c>
      <c r="Y42" s="6">
        <f t="shared" si="13"/>
        <v>0</v>
      </c>
      <c r="AB42" s="3">
        <v>39965</v>
      </c>
      <c r="AC42" s="6">
        <f t="shared" si="14"/>
        <v>0</v>
      </c>
      <c r="AF42" s="3">
        <v>41061</v>
      </c>
      <c r="AG42" s="167">
        <f t="shared" si="15"/>
        <v>0</v>
      </c>
      <c r="AH42" s="6"/>
      <c r="AI42" s="6"/>
      <c r="AJ42" s="170">
        <v>42156</v>
      </c>
      <c r="AK42" s="171"/>
      <c r="AL42" s="6"/>
      <c r="AM42" s="6"/>
      <c r="AN42" s="40">
        <f t="shared" si="16"/>
        <v>4968.04347826087</v>
      </c>
      <c r="AO42" s="40">
        <f t="shared" si="17"/>
        <v>29808.260869565223</v>
      </c>
    </row>
    <row r="43" spans="1:41" ht="12.75">
      <c r="A43" s="3">
        <v>38108</v>
      </c>
      <c r="B43" s="107">
        <v>11794685.813787844</v>
      </c>
      <c r="C43" s="108">
        <v>158.9</v>
      </c>
      <c r="D43" s="108">
        <v>8.6</v>
      </c>
      <c r="E43" s="9">
        <v>31</v>
      </c>
      <c r="F43" s="50">
        <v>1</v>
      </c>
      <c r="G43" s="138">
        <v>0</v>
      </c>
      <c r="H43" s="81">
        <v>14764</v>
      </c>
      <c r="I43" s="9">
        <f t="shared" si="2"/>
        <v>11669771.80636458</v>
      </c>
      <c r="J43" s="50">
        <f t="shared" si="11"/>
        <v>-124914.0074232649</v>
      </c>
      <c r="K43" s="98">
        <f t="shared" si="12"/>
        <v>-0.010590702405759884</v>
      </c>
      <c r="L43" s="28"/>
      <c r="M43" s="28"/>
      <c r="N43" s="28"/>
      <c r="O43" s="28"/>
      <c r="P43" s="28"/>
      <c r="Q43" s="28"/>
      <c r="R43" s="28"/>
      <c r="S43" s="28"/>
      <c r="T43" s="28"/>
      <c r="X43" s="3">
        <v>38899</v>
      </c>
      <c r="Y43" s="6">
        <f t="shared" si="13"/>
        <v>0</v>
      </c>
      <c r="AB43" s="3">
        <v>39995</v>
      </c>
      <c r="AC43" s="6">
        <f t="shared" si="14"/>
        <v>0</v>
      </c>
      <c r="AF43" s="3">
        <v>41091</v>
      </c>
      <c r="AG43" s="167">
        <f t="shared" si="15"/>
        <v>0</v>
      </c>
      <c r="AH43" s="6"/>
      <c r="AI43" s="6"/>
      <c r="AJ43" s="170">
        <v>42186</v>
      </c>
      <c r="AK43" s="171"/>
      <c r="AL43" s="6"/>
      <c r="AM43" s="6"/>
      <c r="AN43" s="40">
        <f t="shared" si="16"/>
        <v>4968.04347826087</v>
      </c>
      <c r="AO43" s="40">
        <f t="shared" si="17"/>
        <v>34776.304347826095</v>
      </c>
    </row>
    <row r="44" spans="1:41" ht="12.75">
      <c r="A44" s="3">
        <v>38139</v>
      </c>
      <c r="B44" s="107">
        <v>12506804.954826906</v>
      </c>
      <c r="C44" s="108">
        <v>44.199999999999996</v>
      </c>
      <c r="D44" s="108">
        <v>31.600000000000005</v>
      </c>
      <c r="E44" s="9">
        <v>30</v>
      </c>
      <c r="F44" s="50">
        <v>0</v>
      </c>
      <c r="G44" s="138">
        <v>0</v>
      </c>
      <c r="H44" s="81">
        <v>14902</v>
      </c>
      <c r="I44" s="9">
        <f t="shared" si="2"/>
        <v>13643183.242540402</v>
      </c>
      <c r="J44" s="50">
        <f t="shared" si="11"/>
        <v>1136378.287713496</v>
      </c>
      <c r="K44" s="98">
        <f t="shared" si="12"/>
        <v>0.09086079872660999</v>
      </c>
      <c r="L44" s="28"/>
      <c r="M44" s="28"/>
      <c r="N44" s="28"/>
      <c r="O44" s="28"/>
      <c r="P44" s="28"/>
      <c r="Q44" s="28"/>
      <c r="R44" s="28"/>
      <c r="S44" s="28"/>
      <c r="T44" s="28"/>
      <c r="X44" s="3">
        <v>38930</v>
      </c>
      <c r="Y44" s="6">
        <f t="shared" si="13"/>
        <v>0</v>
      </c>
      <c r="AB44" s="3">
        <v>40026</v>
      </c>
      <c r="AC44" s="6">
        <f t="shared" si="14"/>
        <v>0</v>
      </c>
      <c r="AF44" s="3">
        <v>41122</v>
      </c>
      <c r="AG44" s="167">
        <f t="shared" si="15"/>
        <v>0</v>
      </c>
      <c r="AH44" s="6"/>
      <c r="AI44" s="6"/>
      <c r="AJ44" s="170">
        <v>42217</v>
      </c>
      <c r="AK44" s="171"/>
      <c r="AL44" s="6"/>
      <c r="AM44" s="6"/>
      <c r="AN44" s="40">
        <f t="shared" si="16"/>
        <v>4968.04347826087</v>
      </c>
      <c r="AO44" s="40">
        <f t="shared" si="17"/>
        <v>39744.34782608697</v>
      </c>
    </row>
    <row r="45" spans="1:41" ht="12.75">
      <c r="A45" s="3">
        <v>38169</v>
      </c>
      <c r="B45" s="107">
        <v>14457017.096152212</v>
      </c>
      <c r="C45" s="108">
        <v>3.6000000000000005</v>
      </c>
      <c r="D45" s="108">
        <v>86.4</v>
      </c>
      <c r="E45" s="9">
        <v>31</v>
      </c>
      <c r="F45" s="50">
        <v>0</v>
      </c>
      <c r="G45" s="138">
        <v>0</v>
      </c>
      <c r="H45" s="81">
        <v>15063</v>
      </c>
      <c r="I45" s="9">
        <f t="shared" si="2"/>
        <v>16454193.55070185</v>
      </c>
      <c r="J45" s="50">
        <f t="shared" si="11"/>
        <v>1997176.4545496367</v>
      </c>
      <c r="K45" s="98">
        <f t="shared" si="12"/>
        <v>0.1381458181356922</v>
      </c>
      <c r="L45" s="28"/>
      <c r="M45" s="28"/>
      <c r="N45" s="28"/>
      <c r="O45" s="28"/>
      <c r="P45" s="28"/>
      <c r="Q45" s="28"/>
      <c r="R45" s="28"/>
      <c r="S45" s="28"/>
      <c r="T45" s="28"/>
      <c r="X45" s="3">
        <v>38961</v>
      </c>
      <c r="Y45" s="6">
        <f t="shared" si="13"/>
        <v>0</v>
      </c>
      <c r="AB45" s="3">
        <v>40057</v>
      </c>
      <c r="AC45" s="6">
        <f t="shared" si="14"/>
        <v>0</v>
      </c>
      <c r="AF45" s="3">
        <v>41153</v>
      </c>
      <c r="AG45" s="167">
        <f t="shared" si="15"/>
        <v>0</v>
      </c>
      <c r="AH45" s="6"/>
      <c r="AI45" s="6"/>
      <c r="AJ45" s="170">
        <v>42248</v>
      </c>
      <c r="AK45" s="171"/>
      <c r="AL45" s="6"/>
      <c r="AM45" s="6"/>
      <c r="AN45" s="40">
        <f t="shared" si="16"/>
        <v>4968.04347826087</v>
      </c>
      <c r="AO45" s="40">
        <f t="shared" si="17"/>
        <v>44712.39130434784</v>
      </c>
    </row>
    <row r="46" spans="1:42" ht="12.75">
      <c r="A46" s="3">
        <v>38200</v>
      </c>
      <c r="B46" s="107">
        <v>14307417.69935764</v>
      </c>
      <c r="C46" s="108">
        <v>12.799999999999999</v>
      </c>
      <c r="D46" s="108">
        <v>59.6</v>
      </c>
      <c r="E46" s="9">
        <v>31</v>
      </c>
      <c r="F46" s="50">
        <v>0</v>
      </c>
      <c r="G46" s="138">
        <v>0</v>
      </c>
      <c r="H46" s="81">
        <v>15238</v>
      </c>
      <c r="I46" s="9">
        <f t="shared" si="2"/>
        <v>15408841.830760976</v>
      </c>
      <c r="J46" s="50">
        <f t="shared" si="11"/>
        <v>1101424.1314033363</v>
      </c>
      <c r="K46" s="98">
        <f t="shared" si="12"/>
        <v>0.07698273402983034</v>
      </c>
      <c r="L46" s="28"/>
      <c r="M46" s="28"/>
      <c r="N46" s="28"/>
      <c r="O46" s="28"/>
      <c r="P46" s="28"/>
      <c r="Q46" s="28"/>
      <c r="R46" s="28"/>
      <c r="S46" s="28"/>
      <c r="T46" s="28"/>
      <c r="X46" s="3">
        <v>38991</v>
      </c>
      <c r="Y46" s="6">
        <f t="shared" si="13"/>
        <v>0</v>
      </c>
      <c r="AB46" s="3">
        <v>40087</v>
      </c>
      <c r="AC46" s="6">
        <f t="shared" si="14"/>
        <v>0</v>
      </c>
      <c r="AF46" s="3">
        <v>41183</v>
      </c>
      <c r="AG46" s="167">
        <f t="shared" si="15"/>
        <v>0</v>
      </c>
      <c r="AH46" s="6"/>
      <c r="AI46" s="6"/>
      <c r="AJ46" s="170">
        <v>42278</v>
      </c>
      <c r="AK46" s="171"/>
      <c r="AL46" s="6"/>
      <c r="AM46" s="6"/>
      <c r="AN46" s="40">
        <f t="shared" si="16"/>
        <v>4968.04347826087</v>
      </c>
      <c r="AO46" s="40">
        <f t="shared" si="17"/>
        <v>49680.43478260871</v>
      </c>
      <c r="AP46" s="40">
        <f>SUM(AO37:AO46)</f>
        <v>273242.3913043479</v>
      </c>
    </row>
    <row r="47" spans="1:41" ht="12.75">
      <c r="A47" s="3">
        <v>38231</v>
      </c>
      <c r="B47" s="107">
        <v>13074323.217710473</v>
      </c>
      <c r="C47" s="108">
        <v>30.000000000000004</v>
      </c>
      <c r="D47" s="108">
        <v>41.2</v>
      </c>
      <c r="E47" s="9">
        <v>30</v>
      </c>
      <c r="F47" s="50">
        <v>1</v>
      </c>
      <c r="G47" s="138">
        <v>0</v>
      </c>
      <c r="H47" s="81">
        <v>15414</v>
      </c>
      <c r="I47" s="9">
        <f t="shared" si="2"/>
        <v>12231564.648969557</v>
      </c>
      <c r="J47" s="50">
        <f t="shared" si="11"/>
        <v>-842758.5687409155</v>
      </c>
      <c r="K47" s="98">
        <f t="shared" si="12"/>
        <v>-0.06445905877554833</v>
      </c>
      <c r="L47" s="28"/>
      <c r="M47" s="28"/>
      <c r="N47" s="28"/>
      <c r="O47" s="28"/>
      <c r="P47" s="28"/>
      <c r="Q47" s="28"/>
      <c r="R47" s="28"/>
      <c r="S47" s="28"/>
      <c r="T47" s="28"/>
      <c r="X47" s="3">
        <v>39022</v>
      </c>
      <c r="Y47" s="6">
        <f t="shared" si="13"/>
        <v>0</v>
      </c>
      <c r="AB47" s="3">
        <v>40118</v>
      </c>
      <c r="AC47" s="6">
        <f t="shared" si="14"/>
        <v>0</v>
      </c>
      <c r="AF47" s="3">
        <v>41214</v>
      </c>
      <c r="AG47" s="167">
        <f t="shared" si="15"/>
        <v>0</v>
      </c>
      <c r="AH47" s="6"/>
      <c r="AI47" s="6"/>
      <c r="AJ47" s="170">
        <v>42309</v>
      </c>
      <c r="AK47" s="171">
        <f>+AG16*11</f>
        <v>54648.47826086957</v>
      </c>
      <c r="AL47" s="6"/>
      <c r="AM47" s="6"/>
      <c r="AN47" s="40">
        <f t="shared" si="16"/>
        <v>4968.04347826087</v>
      </c>
      <c r="AO47" s="40">
        <f t="shared" si="17"/>
        <v>54648.47826086958</v>
      </c>
    </row>
    <row r="48" spans="1:41" ht="12.75">
      <c r="A48" s="3">
        <v>38261</v>
      </c>
      <c r="B48" s="107">
        <v>12823427.311441323</v>
      </c>
      <c r="C48" s="108">
        <v>226.3</v>
      </c>
      <c r="D48" s="108">
        <v>1.5</v>
      </c>
      <c r="E48" s="9">
        <v>31</v>
      </c>
      <c r="F48" s="50">
        <v>1</v>
      </c>
      <c r="G48" s="138">
        <v>0</v>
      </c>
      <c r="H48" s="81">
        <v>15557</v>
      </c>
      <c r="I48" s="9">
        <f t="shared" si="2"/>
        <v>12260011.258797217</v>
      </c>
      <c r="J48" s="50">
        <f t="shared" si="11"/>
        <v>-563416.0526441056</v>
      </c>
      <c r="K48" s="98">
        <f t="shared" si="12"/>
        <v>-0.04393646401702721</v>
      </c>
      <c r="L48" s="28"/>
      <c r="M48" s="28"/>
      <c r="N48" s="28"/>
      <c r="O48" s="28"/>
      <c r="P48" s="28"/>
      <c r="Q48" s="28"/>
      <c r="R48" s="28"/>
      <c r="S48" s="28"/>
      <c r="T48" s="28"/>
      <c r="X48" s="3">
        <v>39052</v>
      </c>
      <c r="Y48" s="6">
        <f t="shared" si="13"/>
        <v>0</v>
      </c>
      <c r="Z48" s="6">
        <f>SUM(Y37:Y48)</f>
        <v>0</v>
      </c>
      <c r="AA48" s="6">
        <f>+Y48*12</f>
        <v>0</v>
      </c>
      <c r="AB48" s="3">
        <v>40148</v>
      </c>
      <c r="AC48" s="6">
        <f t="shared" si="14"/>
        <v>0</v>
      </c>
      <c r="AD48" s="6">
        <f>SUM(AC37:AC48)</f>
        <v>0</v>
      </c>
      <c r="AE48" s="6">
        <f>+AC48*12</f>
        <v>0</v>
      </c>
      <c r="AF48" s="3">
        <v>41244</v>
      </c>
      <c r="AG48" s="167">
        <f t="shared" si="15"/>
        <v>0</v>
      </c>
      <c r="AH48" s="6">
        <f>SUM(AG37:AG48)</f>
        <v>0</v>
      </c>
      <c r="AI48" s="6">
        <f>+AG48*12</f>
        <v>0</v>
      </c>
      <c r="AJ48" s="170">
        <v>42339</v>
      </c>
      <c r="AK48" s="171">
        <f>+AK47+$AG$16</f>
        <v>59616.52173913044</v>
      </c>
      <c r="AL48" s="6">
        <f>SUM(AK37:AK48)</f>
        <v>114265</v>
      </c>
      <c r="AM48" s="6">
        <f>+AK48*12</f>
        <v>715398.2608695653</v>
      </c>
      <c r="AN48" s="40">
        <f t="shared" si="16"/>
        <v>4968.04347826087</v>
      </c>
      <c r="AO48" s="40">
        <f t="shared" si="17"/>
        <v>59616.521739130454</v>
      </c>
    </row>
    <row r="49" spans="1:41" ht="12.75">
      <c r="A49" s="3">
        <v>38292</v>
      </c>
      <c r="B49" s="107">
        <v>13928336.140067045</v>
      </c>
      <c r="C49" s="108">
        <v>379.1</v>
      </c>
      <c r="D49" s="108">
        <v>0</v>
      </c>
      <c r="E49" s="9">
        <v>30</v>
      </c>
      <c r="F49" s="50">
        <v>1</v>
      </c>
      <c r="G49" s="138">
        <v>0</v>
      </c>
      <c r="H49" s="81">
        <v>15671</v>
      </c>
      <c r="I49" s="9">
        <f t="shared" si="2"/>
        <v>12733675.475336293</v>
      </c>
      <c r="J49" s="50">
        <f t="shared" si="11"/>
        <v>-1194660.664730752</v>
      </c>
      <c r="K49" s="98">
        <f t="shared" si="12"/>
        <v>-0.08577195816621075</v>
      </c>
      <c r="L49" s="28"/>
      <c r="M49" s="28"/>
      <c r="N49" s="28"/>
      <c r="O49" s="28"/>
      <c r="P49" s="28"/>
      <c r="Q49" s="28"/>
      <c r="R49" s="28"/>
      <c r="S49" s="28"/>
      <c r="T49" s="28"/>
      <c r="X49" s="3">
        <v>39083</v>
      </c>
      <c r="Y49" s="6">
        <f>+Y48+$AG$8</f>
        <v>0</v>
      </c>
      <c r="AB49" s="3">
        <v>40179</v>
      </c>
      <c r="AC49" s="6">
        <f>+AC48+$AG$11</f>
        <v>0</v>
      </c>
      <c r="AF49" s="3">
        <v>41275</v>
      </c>
      <c r="AG49" s="167">
        <f>+AG48+$AG$14</f>
        <v>0</v>
      </c>
      <c r="AH49" s="6"/>
      <c r="AI49" s="6"/>
      <c r="AJ49" s="170">
        <v>42370</v>
      </c>
      <c r="AK49" s="171">
        <f>+AK48+$AG$17</f>
        <v>58875.261984392426</v>
      </c>
      <c r="AL49" s="6"/>
      <c r="AM49" s="6"/>
      <c r="AN49" s="40">
        <f>+AN50</f>
        <v>-741.2597547380137</v>
      </c>
      <c r="AO49" s="40">
        <f>+AN49</f>
        <v>-741.2597547380137</v>
      </c>
    </row>
    <row r="50" spans="1:41" ht="12.75">
      <c r="A50" s="3">
        <v>38322</v>
      </c>
      <c r="B50" s="107">
        <v>17571809.805146903</v>
      </c>
      <c r="C50" s="108">
        <v>643.4000000000001</v>
      </c>
      <c r="D50" s="108">
        <v>0</v>
      </c>
      <c r="E50" s="9">
        <v>31</v>
      </c>
      <c r="F50" s="50">
        <v>0</v>
      </c>
      <c r="G50" s="138">
        <v>0</v>
      </c>
      <c r="H50" s="81">
        <v>15760</v>
      </c>
      <c r="I50" s="9">
        <f t="shared" si="2"/>
        <v>17020661.5153438</v>
      </c>
      <c r="J50" s="50">
        <f t="shared" si="11"/>
        <v>-551148.2898031026</v>
      </c>
      <c r="K50" s="98">
        <f t="shared" si="12"/>
        <v>-0.03136548232167113</v>
      </c>
      <c r="L50" s="28"/>
      <c r="M50" s="28"/>
      <c r="N50" s="28"/>
      <c r="O50" s="28"/>
      <c r="P50" s="28"/>
      <c r="Q50" s="28"/>
      <c r="R50" s="28"/>
      <c r="S50" s="28"/>
      <c r="T50" s="28"/>
      <c r="X50" s="3">
        <v>39114</v>
      </c>
      <c r="Y50" s="6">
        <f aca="true" t="shared" si="18" ref="Y50:Y60">+Y49+$AG$8</f>
        <v>0</v>
      </c>
      <c r="AB50" s="3">
        <v>40210</v>
      </c>
      <c r="AC50" s="6">
        <f aca="true" t="shared" si="19" ref="AC50:AC60">+AC49+$AG$11</f>
        <v>0</v>
      </c>
      <c r="AF50" s="3">
        <v>41306</v>
      </c>
      <c r="AG50" s="167">
        <f aca="true" t="shared" si="20" ref="AG50:AG60">+AG49+$AG$14</f>
        <v>0</v>
      </c>
      <c r="AH50" s="6"/>
      <c r="AI50" s="6"/>
      <c r="AJ50" s="170">
        <v>42401</v>
      </c>
      <c r="AK50" s="171">
        <f>+AK49+$AG$17</f>
        <v>58134.00222965441</v>
      </c>
      <c r="AL50" s="6"/>
      <c r="AM50" s="6"/>
      <c r="AN50" s="40">
        <f aca="true" t="shared" si="21" ref="AN50:AN60">+AK50-AK49</f>
        <v>-741.2597547380137</v>
      </c>
      <c r="AO50" s="40">
        <f>+AN49+AN50</f>
        <v>-1482.5195094760275</v>
      </c>
    </row>
    <row r="51" spans="1:41" ht="12.75">
      <c r="A51" s="3">
        <v>38353</v>
      </c>
      <c r="B51" s="107">
        <v>18287531.014211945</v>
      </c>
      <c r="C51" s="108">
        <v>770</v>
      </c>
      <c r="D51" s="108">
        <v>0</v>
      </c>
      <c r="E51" s="9">
        <v>31</v>
      </c>
      <c r="F51" s="50">
        <v>0</v>
      </c>
      <c r="G51" s="138">
        <v>0</v>
      </c>
      <c r="H51" s="81">
        <v>15812</v>
      </c>
      <c r="I51" s="9">
        <f t="shared" si="2"/>
        <v>17852420.191641152</v>
      </c>
      <c r="J51" s="50">
        <f t="shared" si="11"/>
        <v>-435110.82257079333</v>
      </c>
      <c r="K51" s="98">
        <f t="shared" si="12"/>
        <v>-0.02379275924304117</v>
      </c>
      <c r="L51" s="28"/>
      <c r="M51" s="28"/>
      <c r="N51" s="28"/>
      <c r="O51" s="28"/>
      <c r="P51" s="28"/>
      <c r="Q51" s="28"/>
      <c r="R51" s="28"/>
      <c r="S51" s="28"/>
      <c r="T51" s="28"/>
      <c r="X51" s="3">
        <v>39142</v>
      </c>
      <c r="Y51" s="6">
        <f t="shared" si="18"/>
        <v>0</v>
      </c>
      <c r="AB51" s="3">
        <v>40238</v>
      </c>
      <c r="AC51" s="6">
        <f t="shared" si="19"/>
        <v>0</v>
      </c>
      <c r="AF51" s="3">
        <v>41334</v>
      </c>
      <c r="AG51" s="167">
        <f t="shared" si="20"/>
        <v>0</v>
      </c>
      <c r="AH51" s="6"/>
      <c r="AI51" s="6"/>
      <c r="AJ51" s="170">
        <v>42430</v>
      </c>
      <c r="AK51" s="171">
        <f aca="true" t="shared" si="22" ref="AK51:AK60">+AK50+$AG$17</f>
        <v>57392.7424749164</v>
      </c>
      <c r="AL51" s="6"/>
      <c r="AM51" s="6"/>
      <c r="AN51" s="40">
        <f t="shared" si="21"/>
        <v>-741.2597547380137</v>
      </c>
      <c r="AO51" s="40">
        <f>+AO50+AN51</f>
        <v>-2223.779264214041</v>
      </c>
    </row>
    <row r="52" spans="1:41" ht="12.75">
      <c r="A52" s="3">
        <v>38384</v>
      </c>
      <c r="B52" s="107">
        <v>15452137.177027868</v>
      </c>
      <c r="C52" s="108">
        <v>616.3999999999999</v>
      </c>
      <c r="D52" s="108">
        <v>0</v>
      </c>
      <c r="E52" s="9">
        <v>28</v>
      </c>
      <c r="F52" s="50">
        <v>0</v>
      </c>
      <c r="G52" s="138">
        <v>0</v>
      </c>
      <c r="H52" s="81">
        <v>15870</v>
      </c>
      <c r="I52" s="9">
        <f t="shared" si="2"/>
        <v>15435892.82222589</v>
      </c>
      <c r="J52" s="50">
        <f t="shared" si="11"/>
        <v>-16244.354801978916</v>
      </c>
      <c r="K52" s="98">
        <f t="shared" si="12"/>
        <v>-0.001051269129692222</v>
      </c>
      <c r="L52" s="28"/>
      <c r="M52" s="28"/>
      <c r="N52" s="28"/>
      <c r="O52" s="28"/>
      <c r="P52" s="28"/>
      <c r="Q52" s="28"/>
      <c r="R52" s="28"/>
      <c r="S52" s="28"/>
      <c r="T52" s="28"/>
      <c r="X52" s="3">
        <v>39173</v>
      </c>
      <c r="Y52" s="6">
        <f t="shared" si="18"/>
        <v>0</v>
      </c>
      <c r="AB52" s="3">
        <v>40269</v>
      </c>
      <c r="AC52" s="6">
        <f t="shared" si="19"/>
        <v>0</v>
      </c>
      <c r="AF52" s="3">
        <v>41365</v>
      </c>
      <c r="AG52" s="167">
        <f t="shared" si="20"/>
        <v>0</v>
      </c>
      <c r="AH52" s="6"/>
      <c r="AI52" s="6"/>
      <c r="AJ52" s="170">
        <v>42461</v>
      </c>
      <c r="AK52" s="171">
        <f t="shared" si="22"/>
        <v>56651.482720178385</v>
      </c>
      <c r="AL52" s="6"/>
      <c r="AM52" s="6"/>
      <c r="AN52" s="40">
        <f t="shared" si="21"/>
        <v>-741.2597547380137</v>
      </c>
      <c r="AO52" s="40">
        <f aca="true" t="shared" si="23" ref="AO52:AO60">+AO51+AN52</f>
        <v>-2965.039018952055</v>
      </c>
    </row>
    <row r="53" spans="1:41" ht="12.75">
      <c r="A53" s="3">
        <v>38412</v>
      </c>
      <c r="B53" s="107">
        <v>15431772.783441763</v>
      </c>
      <c r="C53" s="108">
        <v>608.6</v>
      </c>
      <c r="D53" s="108">
        <v>0</v>
      </c>
      <c r="E53" s="9">
        <v>31</v>
      </c>
      <c r="F53" s="50">
        <v>1</v>
      </c>
      <c r="G53" s="138">
        <v>0</v>
      </c>
      <c r="H53" s="81">
        <v>15932</v>
      </c>
      <c r="I53" s="9">
        <f t="shared" si="2"/>
        <v>14837286.964463916</v>
      </c>
      <c r="J53" s="50">
        <f t="shared" si="11"/>
        <v>-594485.8189778477</v>
      </c>
      <c r="K53" s="98">
        <f t="shared" si="12"/>
        <v>-0.0385234948259301</v>
      </c>
      <c r="L53" s="28"/>
      <c r="M53" s="28"/>
      <c r="N53" s="28"/>
      <c r="O53" s="28"/>
      <c r="P53" s="28"/>
      <c r="Q53" s="28"/>
      <c r="R53" s="28"/>
      <c r="S53" s="28"/>
      <c r="T53" s="28"/>
      <c r="X53" s="3">
        <v>39203</v>
      </c>
      <c r="Y53" s="6">
        <f t="shared" si="18"/>
        <v>0</v>
      </c>
      <c r="AB53" s="3">
        <v>40299</v>
      </c>
      <c r="AC53" s="6">
        <f t="shared" si="19"/>
        <v>0</v>
      </c>
      <c r="AF53" s="3">
        <v>41395</v>
      </c>
      <c r="AG53" s="167">
        <f t="shared" si="20"/>
        <v>0</v>
      </c>
      <c r="AH53" s="6"/>
      <c r="AI53" s="6"/>
      <c r="AJ53" s="170">
        <v>42491</v>
      </c>
      <c r="AK53" s="171">
        <f t="shared" si="22"/>
        <v>55910.22296544037</v>
      </c>
      <c r="AL53" s="6"/>
      <c r="AM53" s="6"/>
      <c r="AN53" s="40">
        <f t="shared" si="21"/>
        <v>-741.2597547380137</v>
      </c>
      <c r="AO53" s="40">
        <f t="shared" si="23"/>
        <v>-3706.2987736900686</v>
      </c>
    </row>
    <row r="54" spans="1:41" ht="12.75">
      <c r="A54" s="3">
        <v>38443</v>
      </c>
      <c r="B54" s="107">
        <v>12663392.648372231</v>
      </c>
      <c r="C54" s="108">
        <v>306.8</v>
      </c>
      <c r="D54" s="108">
        <v>0</v>
      </c>
      <c r="E54" s="9">
        <v>30</v>
      </c>
      <c r="F54" s="50">
        <v>1</v>
      </c>
      <c r="G54" s="138">
        <v>0</v>
      </c>
      <c r="H54" s="81">
        <v>15991</v>
      </c>
      <c r="I54" s="9">
        <f t="shared" si="2"/>
        <v>12472566.096660212</v>
      </c>
      <c r="J54" s="50">
        <f t="shared" si="11"/>
        <v>-190826.55171201937</v>
      </c>
      <c r="K54" s="98">
        <f t="shared" si="12"/>
        <v>-0.015069149082773523</v>
      </c>
      <c r="L54" s="28"/>
      <c r="M54" s="28"/>
      <c r="N54" s="28"/>
      <c r="O54" s="28"/>
      <c r="P54" s="28"/>
      <c r="Q54" s="28"/>
      <c r="R54" s="28"/>
      <c r="S54" s="28"/>
      <c r="T54" s="28"/>
      <c r="X54" s="3">
        <v>39234</v>
      </c>
      <c r="Y54" s="6">
        <f t="shared" si="18"/>
        <v>0</v>
      </c>
      <c r="AB54" s="3">
        <v>40330</v>
      </c>
      <c r="AC54" s="6">
        <f t="shared" si="19"/>
        <v>0</v>
      </c>
      <c r="AF54" s="3">
        <v>41426</v>
      </c>
      <c r="AG54" s="167">
        <f t="shared" si="20"/>
        <v>0</v>
      </c>
      <c r="AH54" s="6"/>
      <c r="AI54" s="6"/>
      <c r="AJ54" s="170">
        <v>42522</v>
      </c>
      <c r="AK54" s="171">
        <f t="shared" si="22"/>
        <v>55168.96321070236</v>
      </c>
      <c r="AL54" s="6"/>
      <c r="AM54" s="6"/>
      <c r="AN54" s="40">
        <f t="shared" si="21"/>
        <v>-741.2597547380137</v>
      </c>
      <c r="AO54" s="40">
        <f t="shared" si="23"/>
        <v>-4447.558528428082</v>
      </c>
    </row>
    <row r="55" spans="1:41" ht="12.75">
      <c r="A55" s="3">
        <v>38473</v>
      </c>
      <c r="B55" s="107">
        <v>13044362.466841443</v>
      </c>
      <c r="C55" s="108">
        <v>189.40000000000003</v>
      </c>
      <c r="D55" s="108">
        <v>0.8</v>
      </c>
      <c r="E55" s="9">
        <v>31</v>
      </c>
      <c r="F55" s="50">
        <v>1</v>
      </c>
      <c r="G55" s="138">
        <v>0</v>
      </c>
      <c r="H55" s="81">
        <v>16068</v>
      </c>
      <c r="I55" s="9">
        <f t="shared" si="2"/>
        <v>12307796.210499875</v>
      </c>
      <c r="J55" s="50">
        <f t="shared" si="11"/>
        <v>-736566.2563415673</v>
      </c>
      <c r="K55" s="98">
        <f t="shared" si="12"/>
        <v>-0.05646625185507584</v>
      </c>
      <c r="L55" s="28"/>
      <c r="M55" s="28"/>
      <c r="N55" s="28"/>
      <c r="O55" s="28"/>
      <c r="P55" s="28"/>
      <c r="Q55" s="28"/>
      <c r="R55" s="28"/>
      <c r="S55" s="28"/>
      <c r="T55" s="28"/>
      <c r="X55" s="3">
        <v>39264</v>
      </c>
      <c r="Y55" s="6">
        <f t="shared" si="18"/>
        <v>0</v>
      </c>
      <c r="AB55" s="3">
        <v>40360</v>
      </c>
      <c r="AC55" s="6">
        <f t="shared" si="19"/>
        <v>0</v>
      </c>
      <c r="AF55" s="3">
        <v>41456</v>
      </c>
      <c r="AG55" s="167">
        <f t="shared" si="20"/>
        <v>0</v>
      </c>
      <c r="AH55" s="6"/>
      <c r="AI55" s="6"/>
      <c r="AJ55" s="170">
        <v>42552</v>
      </c>
      <c r="AK55" s="171">
        <f t="shared" si="22"/>
        <v>54427.70345596434</v>
      </c>
      <c r="AL55" s="6"/>
      <c r="AM55" s="6"/>
      <c r="AN55" s="40">
        <f t="shared" si="21"/>
        <v>-741.2597547380137</v>
      </c>
      <c r="AO55" s="40">
        <f t="shared" si="23"/>
        <v>-5188.818283166096</v>
      </c>
    </row>
    <row r="56" spans="1:41" ht="12.75">
      <c r="A56" s="3">
        <v>38504</v>
      </c>
      <c r="B56" s="107">
        <v>17268265.237898253</v>
      </c>
      <c r="C56" s="108">
        <v>8.9</v>
      </c>
      <c r="D56" s="108">
        <v>146.3</v>
      </c>
      <c r="E56" s="9">
        <v>30</v>
      </c>
      <c r="F56" s="50">
        <v>0</v>
      </c>
      <c r="G56" s="138">
        <v>0</v>
      </c>
      <c r="H56" s="81">
        <v>16180</v>
      </c>
      <c r="I56" s="9">
        <f t="shared" si="2"/>
        <v>19382722.54524567</v>
      </c>
      <c r="J56" s="50">
        <f t="shared" si="11"/>
        <v>2114457.307347417</v>
      </c>
      <c r="K56" s="98">
        <f t="shared" si="12"/>
        <v>0.1224475810521411</v>
      </c>
      <c r="L56" s="28"/>
      <c r="M56" s="28"/>
      <c r="N56" s="28"/>
      <c r="O56" s="28"/>
      <c r="P56" s="28"/>
      <c r="Q56" s="28"/>
      <c r="R56" s="28"/>
      <c r="S56" s="28"/>
      <c r="T56" s="28"/>
      <c r="X56" s="3">
        <v>39295</v>
      </c>
      <c r="Y56" s="6">
        <f t="shared" si="18"/>
        <v>0</v>
      </c>
      <c r="AB56" s="3">
        <v>40391</v>
      </c>
      <c r="AC56" s="6">
        <f t="shared" si="19"/>
        <v>0</v>
      </c>
      <c r="AF56" s="3">
        <v>41487</v>
      </c>
      <c r="AG56" s="167">
        <f t="shared" si="20"/>
        <v>0</v>
      </c>
      <c r="AH56" s="6"/>
      <c r="AI56" s="6"/>
      <c r="AJ56" s="170">
        <v>42583</v>
      </c>
      <c r="AK56" s="171">
        <f t="shared" si="22"/>
        <v>53686.44370122633</v>
      </c>
      <c r="AL56" s="6"/>
      <c r="AM56" s="6"/>
      <c r="AN56" s="40">
        <f t="shared" si="21"/>
        <v>-741.2597547380137</v>
      </c>
      <c r="AO56" s="40">
        <f t="shared" si="23"/>
        <v>-5930.07803790411</v>
      </c>
    </row>
    <row r="57" spans="1:41" ht="12.75">
      <c r="A57" s="3">
        <v>38534</v>
      </c>
      <c r="B57" s="107">
        <v>20643026.185457394</v>
      </c>
      <c r="C57" s="108">
        <v>0</v>
      </c>
      <c r="D57" s="108">
        <v>188.7</v>
      </c>
      <c r="E57" s="9">
        <v>31</v>
      </c>
      <c r="F57" s="50">
        <v>0</v>
      </c>
      <c r="G57" s="138">
        <v>0</v>
      </c>
      <c r="H57" s="81">
        <v>16360</v>
      </c>
      <c r="I57" s="9">
        <f t="shared" si="2"/>
        <v>21845564.048930727</v>
      </c>
      <c r="J57" s="50">
        <f t="shared" si="11"/>
        <v>1202537.8634733334</v>
      </c>
      <c r="K57" s="98">
        <f t="shared" si="12"/>
        <v>0.058253952335752875</v>
      </c>
      <c r="L57" s="28"/>
      <c r="M57" s="28"/>
      <c r="N57" s="28"/>
      <c r="O57" s="28"/>
      <c r="P57" s="28"/>
      <c r="Q57" s="28"/>
      <c r="R57" s="28"/>
      <c r="S57" s="28"/>
      <c r="T57" s="28"/>
      <c r="X57" s="3">
        <v>39326</v>
      </c>
      <c r="Y57" s="6">
        <f t="shared" si="18"/>
        <v>0</v>
      </c>
      <c r="AB57" s="3">
        <v>40422</v>
      </c>
      <c r="AC57" s="6">
        <f t="shared" si="19"/>
        <v>0</v>
      </c>
      <c r="AF57" s="3">
        <v>41518</v>
      </c>
      <c r="AG57" s="167">
        <f t="shared" si="20"/>
        <v>0</v>
      </c>
      <c r="AH57" s="6"/>
      <c r="AI57" s="6"/>
      <c r="AJ57" s="170">
        <v>42614</v>
      </c>
      <c r="AK57" s="171">
        <f t="shared" si="22"/>
        <v>52945.183946488316</v>
      </c>
      <c r="AL57" s="6"/>
      <c r="AM57" s="6"/>
      <c r="AN57" s="40">
        <f t="shared" si="21"/>
        <v>-741.2597547380137</v>
      </c>
      <c r="AO57" s="40">
        <f t="shared" si="23"/>
        <v>-6671.3377926421235</v>
      </c>
    </row>
    <row r="58" spans="1:41" ht="12.75">
      <c r="A58" s="3">
        <v>38565</v>
      </c>
      <c r="B58" s="107">
        <v>18148306.722851098</v>
      </c>
      <c r="C58" s="108">
        <v>0.2</v>
      </c>
      <c r="D58" s="108">
        <v>140.70000000000002</v>
      </c>
      <c r="E58" s="9">
        <v>31</v>
      </c>
      <c r="F58" s="50">
        <v>0</v>
      </c>
      <c r="G58" s="138">
        <v>0</v>
      </c>
      <c r="H58" s="81">
        <v>16609</v>
      </c>
      <c r="I58" s="9">
        <f t="shared" si="2"/>
        <v>19831026.640226707</v>
      </c>
      <c r="J58" s="50">
        <f t="shared" si="11"/>
        <v>1682719.9173756093</v>
      </c>
      <c r="K58" s="98">
        <f t="shared" si="12"/>
        <v>0.09272049139751667</v>
      </c>
      <c r="L58" s="28"/>
      <c r="M58" s="28"/>
      <c r="N58" s="28"/>
      <c r="O58" s="28"/>
      <c r="P58" s="28"/>
      <c r="Q58" s="28"/>
      <c r="R58" s="28"/>
      <c r="S58" s="28"/>
      <c r="T58" s="28"/>
      <c r="X58" s="3">
        <v>39356</v>
      </c>
      <c r="Y58" s="6">
        <f t="shared" si="18"/>
        <v>0</v>
      </c>
      <c r="AB58" s="3">
        <v>40452</v>
      </c>
      <c r="AC58" s="6">
        <f t="shared" si="19"/>
        <v>0</v>
      </c>
      <c r="AF58" s="3">
        <v>41548</v>
      </c>
      <c r="AG58" s="167">
        <f t="shared" si="20"/>
        <v>0</v>
      </c>
      <c r="AH58" s="6"/>
      <c r="AI58" s="6"/>
      <c r="AJ58" s="170">
        <v>42644</v>
      </c>
      <c r="AK58" s="171">
        <f t="shared" si="22"/>
        <v>52203.9241917503</v>
      </c>
      <c r="AL58" s="6"/>
      <c r="AM58" s="6"/>
      <c r="AN58" s="40">
        <f t="shared" si="21"/>
        <v>-741.2597547380137</v>
      </c>
      <c r="AO58" s="40">
        <f t="shared" si="23"/>
        <v>-7412.597547380137</v>
      </c>
    </row>
    <row r="59" spans="1:41" ht="12.75">
      <c r="A59" s="3">
        <v>38596</v>
      </c>
      <c r="B59" s="107">
        <v>14342559.33444043</v>
      </c>
      <c r="C59" s="108">
        <v>22.6</v>
      </c>
      <c r="D59" s="108">
        <v>52.099999999999994</v>
      </c>
      <c r="E59" s="9">
        <v>30</v>
      </c>
      <c r="F59" s="50">
        <v>1</v>
      </c>
      <c r="G59" s="138">
        <v>0</v>
      </c>
      <c r="H59" s="81">
        <v>16896</v>
      </c>
      <c r="I59" s="9">
        <f t="shared" si="2"/>
        <v>13583645.233487468</v>
      </c>
      <c r="J59" s="50">
        <f t="shared" si="11"/>
        <v>-758914.1009529624</v>
      </c>
      <c r="K59" s="98">
        <f t="shared" si="12"/>
        <v>-0.052913436385833935</v>
      </c>
      <c r="L59" s="28"/>
      <c r="M59" s="28"/>
      <c r="N59" s="28"/>
      <c r="O59" s="28"/>
      <c r="P59" s="28"/>
      <c r="Q59" s="28"/>
      <c r="R59" s="28"/>
      <c r="S59" s="28"/>
      <c r="T59" s="28"/>
      <c r="X59" s="3">
        <v>39387</v>
      </c>
      <c r="Y59" s="6">
        <f t="shared" si="18"/>
        <v>0</v>
      </c>
      <c r="AB59" s="3">
        <v>40483</v>
      </c>
      <c r="AC59" s="6">
        <f t="shared" si="19"/>
        <v>0</v>
      </c>
      <c r="AF59" s="3">
        <v>41579</v>
      </c>
      <c r="AG59" s="167">
        <f t="shared" si="20"/>
        <v>0</v>
      </c>
      <c r="AH59" s="6"/>
      <c r="AI59" s="6"/>
      <c r="AJ59" s="170">
        <v>42675</v>
      </c>
      <c r="AK59" s="171">
        <f t="shared" si="22"/>
        <v>51462.66443701229</v>
      </c>
      <c r="AL59" s="6"/>
      <c r="AM59" s="6"/>
      <c r="AN59" s="40">
        <f t="shared" si="21"/>
        <v>-741.2597547380137</v>
      </c>
      <c r="AO59" s="40">
        <f t="shared" si="23"/>
        <v>-8153.857302118151</v>
      </c>
    </row>
    <row r="60" spans="1:41" ht="12.75">
      <c r="A60" s="3">
        <v>38626</v>
      </c>
      <c r="B60" s="107">
        <v>13743822.22899938</v>
      </c>
      <c r="C60" s="108">
        <v>220.2</v>
      </c>
      <c r="D60" s="108">
        <v>7.6000000000000005</v>
      </c>
      <c r="E60" s="9">
        <v>31</v>
      </c>
      <c r="F60" s="50">
        <v>1</v>
      </c>
      <c r="G60" s="138">
        <v>0</v>
      </c>
      <c r="H60" s="81">
        <v>17222</v>
      </c>
      <c r="I60" s="9">
        <f t="shared" si="2"/>
        <v>13515431.449592447</v>
      </c>
      <c r="J60" s="50">
        <f t="shared" si="11"/>
        <v>-228390.7794069331</v>
      </c>
      <c r="K60" s="98">
        <f t="shared" si="12"/>
        <v>-0.016617704711359697</v>
      </c>
      <c r="L60" s="28"/>
      <c r="M60" s="28"/>
      <c r="N60" s="28"/>
      <c r="O60" s="28"/>
      <c r="P60" s="28"/>
      <c r="Q60" s="28"/>
      <c r="R60" s="28"/>
      <c r="S60" s="28"/>
      <c r="T60" s="28"/>
      <c r="X60" s="3">
        <v>39417</v>
      </c>
      <c r="Y60" s="6">
        <f t="shared" si="18"/>
        <v>0</v>
      </c>
      <c r="Z60" s="6">
        <f>SUM(Y49:Y60)</f>
        <v>0</v>
      </c>
      <c r="AA60" s="6">
        <f>+Y60*12</f>
        <v>0</v>
      </c>
      <c r="AB60" s="3">
        <v>40513</v>
      </c>
      <c r="AC60" s="6">
        <f t="shared" si="19"/>
        <v>0</v>
      </c>
      <c r="AD60" s="6">
        <f>SUM(AC49:AC60)</f>
        <v>0</v>
      </c>
      <c r="AE60" s="6">
        <f>+AC60*12</f>
        <v>0</v>
      </c>
      <c r="AF60" s="3">
        <v>41609</v>
      </c>
      <c r="AG60" s="167">
        <f t="shared" si="20"/>
        <v>0</v>
      </c>
      <c r="AH60" s="6">
        <f>SUM(AG49:AG60)</f>
        <v>0</v>
      </c>
      <c r="AI60" s="6">
        <f>+AG60*12</f>
        <v>0</v>
      </c>
      <c r="AJ60" s="172">
        <v>42705</v>
      </c>
      <c r="AK60" s="173">
        <f t="shared" si="22"/>
        <v>50721.404682274275</v>
      </c>
      <c r="AL60" s="6">
        <f>SUM(AK49:AK60)</f>
        <v>657580.0000000002</v>
      </c>
      <c r="AM60" s="6">
        <f>+AK60*12</f>
        <v>608656.8561872913</v>
      </c>
      <c r="AN60" s="40">
        <f t="shared" si="21"/>
        <v>-741.2597547380137</v>
      </c>
      <c r="AO60" s="40">
        <f t="shared" si="23"/>
        <v>-8895.117056856165</v>
      </c>
    </row>
    <row r="61" spans="1:41" ht="12.75">
      <c r="A61" s="3">
        <v>38657</v>
      </c>
      <c r="B61" s="107">
        <v>15095859.239269003</v>
      </c>
      <c r="C61" s="108">
        <v>388.4</v>
      </c>
      <c r="D61" s="108">
        <v>0</v>
      </c>
      <c r="E61" s="9">
        <v>30</v>
      </c>
      <c r="F61" s="50">
        <v>1</v>
      </c>
      <c r="G61" s="138">
        <v>0</v>
      </c>
      <c r="H61" s="81">
        <v>17464</v>
      </c>
      <c r="I61" s="9">
        <f t="shared" si="2"/>
        <v>13889167.874574848</v>
      </c>
      <c r="J61" s="50">
        <f t="shared" si="11"/>
        <v>-1206691.3646941558</v>
      </c>
      <c r="K61" s="98">
        <f t="shared" si="12"/>
        <v>-0.07993525546099277</v>
      </c>
      <c r="L61" s="28"/>
      <c r="M61" s="28"/>
      <c r="N61" s="28"/>
      <c r="O61" s="28"/>
      <c r="P61" s="28"/>
      <c r="Q61" s="28"/>
      <c r="R61" s="28"/>
      <c r="S61" s="28"/>
      <c r="T61" s="28"/>
      <c r="X61" s="3"/>
      <c r="AG61" s="6"/>
      <c r="AH61" s="6"/>
      <c r="AI61" s="6"/>
      <c r="AJ61" s="6"/>
      <c r="AK61" s="174">
        <f>SUM(AK37:AK60)</f>
        <v>771845.0000000002</v>
      </c>
      <c r="AL61" s="6"/>
      <c r="AN61" s="40">
        <f>SUM(AN49:AN60)</f>
        <v>-8895.117056856165</v>
      </c>
      <c r="AO61" s="40">
        <f>SUM(AO49:AO60)</f>
        <v>-57818.26086956507</v>
      </c>
    </row>
    <row r="62" spans="1:37" ht="12.75">
      <c r="A62" s="3">
        <v>38687</v>
      </c>
      <c r="B62" s="107">
        <v>18562681.966945473</v>
      </c>
      <c r="C62" s="108">
        <v>665.2999999999998</v>
      </c>
      <c r="D62" s="108">
        <v>0</v>
      </c>
      <c r="E62" s="9">
        <v>31</v>
      </c>
      <c r="F62" s="50">
        <v>0</v>
      </c>
      <c r="G62" s="138">
        <v>0</v>
      </c>
      <c r="H62" s="81">
        <v>17611</v>
      </c>
      <c r="I62" s="9">
        <f t="shared" si="2"/>
        <v>18291246.94793064</v>
      </c>
      <c r="J62" s="50">
        <f t="shared" si="11"/>
        <v>-271435.01901483163</v>
      </c>
      <c r="K62" s="98">
        <f t="shared" si="12"/>
        <v>-0.014622618622577027</v>
      </c>
      <c r="L62" s="28"/>
      <c r="M62" s="28"/>
      <c r="N62" s="28"/>
      <c r="O62" s="28"/>
      <c r="P62" s="28"/>
      <c r="Q62" s="28"/>
      <c r="R62" s="28"/>
      <c r="S62" s="28"/>
      <c r="T62" s="28"/>
      <c r="X62" s="3"/>
      <c r="AG62" s="6"/>
      <c r="AH62" s="6"/>
      <c r="AI62" s="6"/>
      <c r="AJ62" s="6"/>
      <c r="AK62" s="6"/>
    </row>
    <row r="63" spans="1:11" ht="12.75">
      <c r="A63" s="3">
        <v>38718</v>
      </c>
      <c r="B63" s="107">
        <v>17845800.401036475</v>
      </c>
      <c r="C63" s="108">
        <v>551.8</v>
      </c>
      <c r="D63" s="108">
        <v>0</v>
      </c>
      <c r="E63" s="9">
        <v>31</v>
      </c>
      <c r="F63" s="50">
        <v>0</v>
      </c>
      <c r="G63" s="138">
        <v>0</v>
      </c>
      <c r="H63" s="81">
        <v>17672</v>
      </c>
      <c r="I63" s="9">
        <f t="shared" si="2"/>
        <v>17611382.64047946</v>
      </c>
      <c r="J63" s="50">
        <f t="shared" si="11"/>
        <v>-234417.7605570145</v>
      </c>
      <c r="K63" s="98">
        <f t="shared" si="12"/>
        <v>-0.01313573811704179</v>
      </c>
    </row>
    <row r="64" spans="1:11" ht="12.75">
      <c r="A64" s="3">
        <v>38749</v>
      </c>
      <c r="B64" s="107">
        <v>15977492.814484945</v>
      </c>
      <c r="C64" s="108">
        <v>604.3000000000001</v>
      </c>
      <c r="D64" s="108">
        <v>0</v>
      </c>
      <c r="E64" s="9">
        <v>28</v>
      </c>
      <c r="F64" s="50">
        <v>0</v>
      </c>
      <c r="G64" s="138">
        <v>0</v>
      </c>
      <c r="H64" s="81">
        <v>17753</v>
      </c>
      <c r="I64" s="9">
        <f t="shared" si="2"/>
        <v>16511214.807794202</v>
      </c>
      <c r="J64" s="50">
        <f t="shared" si="11"/>
        <v>533721.9933092576</v>
      </c>
      <c r="K64" s="98">
        <f t="shared" si="12"/>
        <v>0.033404614823258974</v>
      </c>
    </row>
    <row r="65" spans="1:11" ht="12.75">
      <c r="A65" s="3">
        <v>38777</v>
      </c>
      <c r="B65" s="107">
        <v>16038243.759027578</v>
      </c>
      <c r="C65" s="108">
        <v>516.6</v>
      </c>
      <c r="D65" s="108">
        <v>0</v>
      </c>
      <c r="E65" s="9">
        <v>31</v>
      </c>
      <c r="F65" s="50">
        <v>1</v>
      </c>
      <c r="G65" s="138">
        <v>0</v>
      </c>
      <c r="H65" s="81">
        <v>17810</v>
      </c>
      <c r="I65" s="9">
        <f t="shared" si="2"/>
        <v>15404683.742746437</v>
      </c>
      <c r="J65" s="50">
        <f t="shared" si="11"/>
        <v>-633560.016281141</v>
      </c>
      <c r="K65" s="98">
        <f t="shared" si="12"/>
        <v>-0.03950307937703739</v>
      </c>
    </row>
    <row r="66" spans="1:11" ht="12.75">
      <c r="A66" s="3">
        <v>38808</v>
      </c>
      <c r="B66" s="107">
        <v>13146424.752945662</v>
      </c>
      <c r="C66" s="108">
        <v>293.2999999999999</v>
      </c>
      <c r="D66" s="108">
        <v>0</v>
      </c>
      <c r="E66" s="9">
        <v>30</v>
      </c>
      <c r="F66" s="50">
        <v>1</v>
      </c>
      <c r="G66" s="138">
        <v>0</v>
      </c>
      <c r="H66" s="81">
        <v>17875</v>
      </c>
      <c r="I66" s="9">
        <f t="shared" si="2"/>
        <v>13539653.526784563</v>
      </c>
      <c r="J66" s="50">
        <f t="shared" si="11"/>
        <v>393228.7738389019</v>
      </c>
      <c r="K66" s="98">
        <f t="shared" si="12"/>
        <v>0.029911461194100916</v>
      </c>
    </row>
    <row r="67" spans="1:11" ht="12.75">
      <c r="A67" s="3">
        <v>38838</v>
      </c>
      <c r="B67" s="107">
        <v>14003693.099624366</v>
      </c>
      <c r="C67" s="108">
        <v>136.9</v>
      </c>
      <c r="D67" s="108">
        <v>26</v>
      </c>
      <c r="E67" s="9">
        <v>31</v>
      </c>
      <c r="F67" s="50">
        <v>1</v>
      </c>
      <c r="G67" s="138">
        <v>0</v>
      </c>
      <c r="H67" s="81">
        <v>17932</v>
      </c>
      <c r="I67" s="9">
        <f t="shared" si="2"/>
        <v>14254476.020614961</v>
      </c>
      <c r="J67" s="50">
        <f aca="true" t="shared" si="24" ref="J67:J98">+I67-B67</f>
        <v>250782.9209905956</v>
      </c>
      <c r="K67" s="98">
        <f aca="true" t="shared" si="25" ref="K67:K98">+J67/B67</f>
        <v>0.017908341692901182</v>
      </c>
    </row>
    <row r="68" spans="1:11" ht="12.75">
      <c r="A68" s="3">
        <v>38869</v>
      </c>
      <c r="B68" s="107">
        <v>16834933.259682816</v>
      </c>
      <c r="C68" s="108">
        <v>19.5</v>
      </c>
      <c r="D68" s="108">
        <v>73.60000000000001</v>
      </c>
      <c r="E68" s="9">
        <v>30</v>
      </c>
      <c r="F68" s="50">
        <v>0</v>
      </c>
      <c r="G68" s="138">
        <v>0</v>
      </c>
      <c r="H68" s="81">
        <v>17986</v>
      </c>
      <c r="I68" s="9">
        <f aca="true" t="shared" si="26" ref="I68:I131">$M$19+C68*$M$20+D68*$M$21+E68*$M$22+F68*$M$23+G68*$M$24+H68*$M$25</f>
        <v>17270601.519028276</v>
      </c>
      <c r="J68" s="50">
        <f t="shared" si="24"/>
        <v>435668.2593454607</v>
      </c>
      <c r="K68" s="98">
        <f t="shared" si="25"/>
        <v>0.02587882307729856</v>
      </c>
    </row>
    <row r="69" spans="1:11" ht="12.75">
      <c r="A69" s="3">
        <v>38899</v>
      </c>
      <c r="B69" s="107">
        <v>20824969.375417892</v>
      </c>
      <c r="C69" s="108">
        <v>0</v>
      </c>
      <c r="D69" s="108">
        <v>167.3</v>
      </c>
      <c r="E69" s="9">
        <v>31</v>
      </c>
      <c r="F69" s="50">
        <v>0</v>
      </c>
      <c r="G69" s="138">
        <v>0</v>
      </c>
      <c r="H69" s="81">
        <v>18045</v>
      </c>
      <c r="I69" s="9">
        <f t="shared" si="26"/>
        <v>21909617.025742825</v>
      </c>
      <c r="J69" s="50">
        <f t="shared" si="24"/>
        <v>1084647.6503249332</v>
      </c>
      <c r="K69" s="98">
        <f t="shared" si="25"/>
        <v>0.05208399737697899</v>
      </c>
    </row>
    <row r="70" spans="1:11" ht="12.75">
      <c r="A70" s="3">
        <v>38930</v>
      </c>
      <c r="B70" s="107">
        <v>18242562.694163203</v>
      </c>
      <c r="C70" s="108">
        <v>4.2</v>
      </c>
      <c r="D70" s="108">
        <v>101.60000000000001</v>
      </c>
      <c r="E70" s="9">
        <v>31</v>
      </c>
      <c r="F70" s="50">
        <v>0</v>
      </c>
      <c r="G70" s="138">
        <v>0</v>
      </c>
      <c r="H70" s="81">
        <v>18108</v>
      </c>
      <c r="I70" s="9">
        <f t="shared" si="26"/>
        <v>19007093.883564766</v>
      </c>
      <c r="J70" s="50">
        <f t="shared" si="24"/>
        <v>764531.1894015633</v>
      </c>
      <c r="K70" s="98">
        <f t="shared" si="25"/>
        <v>0.04190919895515441</v>
      </c>
    </row>
    <row r="71" spans="1:11" ht="12.75">
      <c r="A71" s="3">
        <v>38961</v>
      </c>
      <c r="B71" s="107">
        <v>13882201.468547218</v>
      </c>
      <c r="C71" s="108">
        <v>80.9</v>
      </c>
      <c r="D71" s="108">
        <v>12.9</v>
      </c>
      <c r="E71" s="9">
        <v>30</v>
      </c>
      <c r="F71" s="50">
        <v>1</v>
      </c>
      <c r="G71" s="138">
        <v>0</v>
      </c>
      <c r="H71" s="81">
        <v>18231</v>
      </c>
      <c r="I71" s="9">
        <f t="shared" si="26"/>
        <v>12997988.608954994</v>
      </c>
      <c r="J71" s="50">
        <f t="shared" si="24"/>
        <v>-884212.8595922235</v>
      </c>
      <c r="K71" s="98">
        <f t="shared" si="25"/>
        <v>-0.06369399418352895</v>
      </c>
    </row>
    <row r="72" spans="1:11" ht="12.75">
      <c r="A72" s="3">
        <v>38991</v>
      </c>
      <c r="B72" s="107">
        <v>14701041.03734429</v>
      </c>
      <c r="C72" s="108">
        <v>288.3</v>
      </c>
      <c r="D72" s="108">
        <v>1.1</v>
      </c>
      <c r="E72" s="9">
        <v>31</v>
      </c>
      <c r="F72" s="50">
        <v>1</v>
      </c>
      <c r="G72" s="138">
        <v>0</v>
      </c>
      <c r="H72" s="81">
        <v>18385</v>
      </c>
      <c r="I72" s="9">
        <f t="shared" si="26"/>
        <v>14363514.057020277</v>
      </c>
      <c r="J72" s="50">
        <f t="shared" si="24"/>
        <v>-337526.98032401316</v>
      </c>
      <c r="K72" s="98">
        <f t="shared" si="25"/>
        <v>-0.022959393111454552</v>
      </c>
    </row>
    <row r="73" spans="1:11" ht="12.75">
      <c r="A73" s="3">
        <v>39022</v>
      </c>
      <c r="B73" s="107">
        <v>15690212.62454046</v>
      </c>
      <c r="C73" s="108">
        <v>382.2000000000001</v>
      </c>
      <c r="D73" s="108">
        <v>0</v>
      </c>
      <c r="E73" s="9">
        <v>30</v>
      </c>
      <c r="F73" s="50">
        <v>1</v>
      </c>
      <c r="G73" s="138">
        <v>0</v>
      </c>
      <c r="H73" s="81">
        <v>18536</v>
      </c>
      <c r="I73" s="9">
        <f t="shared" si="26"/>
        <v>14505704.273423612</v>
      </c>
      <c r="J73" s="50">
        <f t="shared" si="24"/>
        <v>-1184508.3511168472</v>
      </c>
      <c r="K73" s="98">
        <f t="shared" si="25"/>
        <v>-0.07549345438851499</v>
      </c>
    </row>
    <row r="74" spans="1:11" ht="12.75">
      <c r="A74" s="3">
        <v>39052</v>
      </c>
      <c r="B74" s="107">
        <v>18104794.605452225</v>
      </c>
      <c r="C74" s="108">
        <v>500.4999999999999</v>
      </c>
      <c r="D74" s="108">
        <v>0</v>
      </c>
      <c r="E74" s="9">
        <v>31</v>
      </c>
      <c r="F74" s="50">
        <v>0</v>
      </c>
      <c r="G74" s="138">
        <v>0</v>
      </c>
      <c r="H74" s="81">
        <v>18720</v>
      </c>
      <c r="I74" s="9">
        <f t="shared" si="26"/>
        <v>17928264.00426881</v>
      </c>
      <c r="J74" s="50">
        <f t="shared" si="24"/>
        <v>-176530.60118341446</v>
      </c>
      <c r="K74" s="98">
        <f t="shared" si="25"/>
        <v>-0.009750489029588472</v>
      </c>
    </row>
    <row r="75" spans="1:11" ht="12.75">
      <c r="A75" s="3">
        <v>39083</v>
      </c>
      <c r="B75" s="107">
        <v>19243243.618654847</v>
      </c>
      <c r="C75" s="108">
        <v>647.1</v>
      </c>
      <c r="D75" s="108">
        <v>0</v>
      </c>
      <c r="E75" s="9">
        <v>31</v>
      </c>
      <c r="F75" s="50">
        <v>0</v>
      </c>
      <c r="G75" s="138">
        <v>0</v>
      </c>
      <c r="H75" s="81">
        <v>18763</v>
      </c>
      <c r="I75" s="9">
        <f t="shared" si="26"/>
        <v>18880892.311153788</v>
      </c>
      <c r="J75" s="50">
        <f t="shared" si="24"/>
        <v>-362351.307501059</v>
      </c>
      <c r="K75" s="98">
        <f t="shared" si="25"/>
        <v>-0.01883005353368739</v>
      </c>
    </row>
    <row r="76" spans="1:11" ht="12.75">
      <c r="A76" s="3">
        <v>39114</v>
      </c>
      <c r="B76" s="107">
        <v>17989063.177878134</v>
      </c>
      <c r="C76" s="108">
        <v>740.1</v>
      </c>
      <c r="D76" s="108">
        <v>0</v>
      </c>
      <c r="E76" s="9">
        <v>28</v>
      </c>
      <c r="F76" s="50">
        <v>0</v>
      </c>
      <c r="G76" s="138">
        <v>0</v>
      </c>
      <c r="H76" s="81">
        <v>18887</v>
      </c>
      <c r="I76" s="9">
        <f t="shared" si="26"/>
        <v>18062935.10806876</v>
      </c>
      <c r="J76" s="50">
        <f t="shared" si="24"/>
        <v>73871.93019062653</v>
      </c>
      <c r="K76" s="98">
        <f t="shared" si="25"/>
        <v>0.004106491230820167</v>
      </c>
    </row>
    <row r="77" spans="1:11" ht="12.75">
      <c r="A77" s="3">
        <v>39142</v>
      </c>
      <c r="B77" s="107">
        <v>17400438.209492892</v>
      </c>
      <c r="C77" s="108">
        <v>546.6999999999999</v>
      </c>
      <c r="D77" s="108">
        <v>0</v>
      </c>
      <c r="E77" s="9">
        <v>31</v>
      </c>
      <c r="F77" s="50">
        <v>1</v>
      </c>
      <c r="G77" s="138">
        <v>0</v>
      </c>
      <c r="H77" s="81">
        <v>19003</v>
      </c>
      <c r="I77" s="9">
        <f t="shared" si="26"/>
        <v>16324602.516452305</v>
      </c>
      <c r="J77" s="50">
        <f t="shared" si="24"/>
        <v>-1075835.693040587</v>
      </c>
      <c r="K77" s="98">
        <f t="shared" si="25"/>
        <v>-0.061828080424644695</v>
      </c>
    </row>
    <row r="78" spans="1:11" ht="12.75">
      <c r="A78" s="3">
        <v>39173</v>
      </c>
      <c r="B78" s="107">
        <v>14750766.440628413</v>
      </c>
      <c r="C78" s="108">
        <v>356.3999999999999</v>
      </c>
      <c r="D78" s="108">
        <v>0</v>
      </c>
      <c r="E78" s="9">
        <v>30</v>
      </c>
      <c r="F78" s="50">
        <v>1</v>
      </c>
      <c r="G78" s="138">
        <v>0</v>
      </c>
      <c r="H78" s="81">
        <v>19117</v>
      </c>
      <c r="I78" s="9">
        <f t="shared" si="26"/>
        <v>14698062.45802591</v>
      </c>
      <c r="J78" s="50">
        <f t="shared" si="24"/>
        <v>-52703.98260250315</v>
      </c>
      <c r="K78" s="98">
        <f t="shared" si="25"/>
        <v>-0.0035729657041643085</v>
      </c>
    </row>
    <row r="79" spans="1:11" ht="12.75">
      <c r="A79" s="3">
        <v>39203</v>
      </c>
      <c r="B79" s="107">
        <v>14934490.13222536</v>
      </c>
      <c r="C79" s="108">
        <v>136.39999999999998</v>
      </c>
      <c r="D79" s="108">
        <v>22.4</v>
      </c>
      <c r="E79" s="9">
        <v>31</v>
      </c>
      <c r="F79" s="50">
        <v>1</v>
      </c>
      <c r="G79" s="138">
        <v>0</v>
      </c>
      <c r="H79" s="81">
        <v>19234</v>
      </c>
      <c r="I79" s="9">
        <f t="shared" si="26"/>
        <v>14885105.734648015</v>
      </c>
      <c r="J79" s="50">
        <f t="shared" si="24"/>
        <v>-49384.39757734537</v>
      </c>
      <c r="K79" s="98">
        <f t="shared" si="25"/>
        <v>-0.0033067347555966876</v>
      </c>
    </row>
    <row r="80" spans="1:11" ht="12.75">
      <c r="A80" s="3">
        <v>39234</v>
      </c>
      <c r="B80" s="107">
        <v>18193672.75613185</v>
      </c>
      <c r="C80" s="108">
        <v>16.5</v>
      </c>
      <c r="D80" s="108">
        <v>99.2</v>
      </c>
      <c r="E80" s="9">
        <v>30</v>
      </c>
      <c r="F80" s="50">
        <v>0</v>
      </c>
      <c r="G80" s="138">
        <v>0</v>
      </c>
      <c r="H80" s="81">
        <v>19358</v>
      </c>
      <c r="I80" s="9">
        <f t="shared" si="26"/>
        <v>19247183.524750475</v>
      </c>
      <c r="J80" s="50">
        <f t="shared" si="24"/>
        <v>1053510.7686186247</v>
      </c>
      <c r="K80" s="98">
        <f t="shared" si="25"/>
        <v>0.05790533790180203</v>
      </c>
    </row>
    <row r="81" spans="1:11" ht="12.75">
      <c r="A81" s="3">
        <v>39264</v>
      </c>
      <c r="B81" s="107">
        <v>20228591.67924067</v>
      </c>
      <c r="C81" s="108">
        <v>3.1999999999999997</v>
      </c>
      <c r="D81" s="108">
        <v>106.10000000000001</v>
      </c>
      <c r="E81" s="9">
        <v>31</v>
      </c>
      <c r="F81" s="50">
        <v>0</v>
      </c>
      <c r="G81" s="138">
        <v>0</v>
      </c>
      <c r="H81" s="81">
        <v>19459</v>
      </c>
      <c r="I81" s="9">
        <f t="shared" si="26"/>
        <v>20030404.310503557</v>
      </c>
      <c r="J81" s="50">
        <f t="shared" si="24"/>
        <v>-198187.36873711273</v>
      </c>
      <c r="K81" s="98">
        <f t="shared" si="25"/>
        <v>-0.009797388363941319</v>
      </c>
    </row>
    <row r="82" spans="1:11" ht="12.75">
      <c r="A82" s="3">
        <v>39295</v>
      </c>
      <c r="B82" s="107">
        <v>20056607.541874174</v>
      </c>
      <c r="C82" s="108">
        <v>5.2</v>
      </c>
      <c r="D82" s="108">
        <v>140.99999999999997</v>
      </c>
      <c r="E82" s="9">
        <v>31</v>
      </c>
      <c r="F82" s="50">
        <v>0</v>
      </c>
      <c r="G82" s="138">
        <v>0</v>
      </c>
      <c r="H82" s="81">
        <v>19595</v>
      </c>
      <c r="I82" s="9">
        <f t="shared" si="26"/>
        <v>21702624.03562086</v>
      </c>
      <c r="J82" s="50">
        <f t="shared" si="24"/>
        <v>1646016.4937466867</v>
      </c>
      <c r="K82" s="98">
        <f t="shared" si="25"/>
        <v>0.08206853977224884</v>
      </c>
    </row>
    <row r="83" spans="1:11" ht="12.75">
      <c r="A83" s="3">
        <v>39326</v>
      </c>
      <c r="B83" s="107">
        <v>16398680.993256995</v>
      </c>
      <c r="C83" s="108">
        <v>36.9</v>
      </c>
      <c r="D83" s="108">
        <v>47.5</v>
      </c>
      <c r="E83" s="9">
        <v>30</v>
      </c>
      <c r="F83" s="50">
        <v>1</v>
      </c>
      <c r="G83" s="138">
        <v>0</v>
      </c>
      <c r="H83" s="81">
        <v>19757</v>
      </c>
      <c r="I83" s="9">
        <f t="shared" si="26"/>
        <v>15216220.192888282</v>
      </c>
      <c r="J83" s="50">
        <f t="shared" si="24"/>
        <v>-1182460.8003687132</v>
      </c>
      <c r="K83" s="98">
        <f t="shared" si="25"/>
        <v>-0.07210706768763485</v>
      </c>
    </row>
    <row r="84" spans="1:11" ht="12.75">
      <c r="A84" s="3">
        <v>39356</v>
      </c>
      <c r="B84" s="107">
        <v>15325162.02403328</v>
      </c>
      <c r="C84" s="108">
        <v>137.7</v>
      </c>
      <c r="D84" s="108">
        <v>19.800000000000004</v>
      </c>
      <c r="E84" s="9">
        <v>31</v>
      </c>
      <c r="F84" s="50">
        <v>1</v>
      </c>
      <c r="G84" s="138">
        <v>0</v>
      </c>
      <c r="H84" s="81">
        <v>19946</v>
      </c>
      <c r="I84" s="9">
        <f t="shared" si="26"/>
        <v>15211391.505422076</v>
      </c>
      <c r="J84" s="50">
        <f t="shared" si="24"/>
        <v>-113770.51861120388</v>
      </c>
      <c r="K84" s="98">
        <f t="shared" si="25"/>
        <v>-0.007423772644803772</v>
      </c>
    </row>
    <row r="85" spans="1:11" ht="12.75">
      <c r="A85" s="3">
        <v>39387</v>
      </c>
      <c r="B85" s="107">
        <v>16856253.04273844</v>
      </c>
      <c r="C85" s="108">
        <v>462.4999999999999</v>
      </c>
      <c r="D85" s="108">
        <v>0</v>
      </c>
      <c r="E85" s="9">
        <v>30</v>
      </c>
      <c r="F85" s="50">
        <v>1</v>
      </c>
      <c r="G85" s="138">
        <v>0</v>
      </c>
      <c r="H85" s="81">
        <v>20128</v>
      </c>
      <c r="I85" s="9">
        <f t="shared" si="26"/>
        <v>15986880.68352716</v>
      </c>
      <c r="J85" s="50">
        <f t="shared" si="24"/>
        <v>-869372.359211281</v>
      </c>
      <c r="K85" s="98">
        <f t="shared" si="25"/>
        <v>-0.05157565901550111</v>
      </c>
    </row>
    <row r="86" spans="1:11" ht="12.75">
      <c r="A86" s="3">
        <v>39417</v>
      </c>
      <c r="B86" s="107">
        <v>20041688.20400187</v>
      </c>
      <c r="C86" s="108">
        <v>630.7</v>
      </c>
      <c r="D86" s="108">
        <v>0</v>
      </c>
      <c r="E86" s="9">
        <v>31</v>
      </c>
      <c r="F86" s="50">
        <v>0</v>
      </c>
      <c r="G86" s="138">
        <v>0</v>
      </c>
      <c r="H86" s="81">
        <v>20305</v>
      </c>
      <c r="I86" s="9">
        <f t="shared" si="26"/>
        <v>19720463.53583654</v>
      </c>
      <c r="J86" s="50">
        <f t="shared" si="24"/>
        <v>-321224.66816532984</v>
      </c>
      <c r="K86" s="98">
        <f t="shared" si="25"/>
        <v>-0.016027824846670778</v>
      </c>
    </row>
    <row r="87" spans="1:11" ht="12.75">
      <c r="A87" s="3">
        <v>39448</v>
      </c>
      <c r="B87" s="107">
        <v>20133799.859152023</v>
      </c>
      <c r="C87" s="109">
        <v>623.4999999999999</v>
      </c>
      <c r="D87" s="109">
        <v>0</v>
      </c>
      <c r="E87" s="9">
        <v>31</v>
      </c>
      <c r="F87" s="50">
        <v>0</v>
      </c>
      <c r="G87" s="138">
        <v>0</v>
      </c>
      <c r="H87" s="81">
        <v>20335</v>
      </c>
      <c r="I87" s="9">
        <f t="shared" si="26"/>
        <v>19693318.815679863</v>
      </c>
      <c r="J87" s="50">
        <f t="shared" si="24"/>
        <v>-440481.04347215965</v>
      </c>
      <c r="K87" s="98">
        <f t="shared" si="25"/>
        <v>-0.021877690577714496</v>
      </c>
    </row>
    <row r="88" spans="1:11" ht="12.75">
      <c r="A88" s="3">
        <v>39479</v>
      </c>
      <c r="B88" s="107">
        <v>18482169.905182343</v>
      </c>
      <c r="C88" s="109">
        <v>674.7</v>
      </c>
      <c r="D88" s="109">
        <v>0</v>
      </c>
      <c r="E88" s="9">
        <v>29</v>
      </c>
      <c r="F88" s="50">
        <v>0</v>
      </c>
      <c r="G88" s="138">
        <v>0</v>
      </c>
      <c r="H88" s="81">
        <v>20403</v>
      </c>
      <c r="I88" s="9">
        <f t="shared" si="26"/>
        <v>19070800.494835332</v>
      </c>
      <c r="J88" s="50">
        <f t="shared" si="24"/>
        <v>588630.5896529891</v>
      </c>
      <c r="K88" s="98">
        <f t="shared" si="25"/>
        <v>0.03184856500469346</v>
      </c>
    </row>
    <row r="89" spans="1:11" ht="12.75">
      <c r="A89" s="3">
        <v>39508</v>
      </c>
      <c r="B89" s="107">
        <v>18089902.693372067</v>
      </c>
      <c r="C89" s="109">
        <v>610.1999999999999</v>
      </c>
      <c r="D89" s="109">
        <v>0</v>
      </c>
      <c r="E89" s="9">
        <v>31</v>
      </c>
      <c r="F89" s="50">
        <v>1</v>
      </c>
      <c r="G89" s="138">
        <v>0</v>
      </c>
      <c r="H89" s="81">
        <v>20470</v>
      </c>
      <c r="I89" s="9">
        <f t="shared" si="26"/>
        <v>17623165.1760595</v>
      </c>
      <c r="J89" s="50">
        <f t="shared" si="24"/>
        <v>-466737.5173125677</v>
      </c>
      <c r="K89" s="98">
        <f t="shared" si="25"/>
        <v>-0.02580099656829967</v>
      </c>
    </row>
    <row r="90" spans="1:11" ht="12.75">
      <c r="A90" s="3">
        <v>39539</v>
      </c>
      <c r="B90" s="107">
        <v>14687697.098348523</v>
      </c>
      <c r="C90" s="109">
        <v>253.90000000000003</v>
      </c>
      <c r="D90" s="109">
        <v>0</v>
      </c>
      <c r="E90" s="9">
        <v>30</v>
      </c>
      <c r="F90" s="50">
        <v>1</v>
      </c>
      <c r="G90" s="138">
        <v>0</v>
      </c>
      <c r="H90" s="81">
        <v>20627</v>
      </c>
      <c r="I90" s="9">
        <f t="shared" si="26"/>
        <v>14974017.17645765</v>
      </c>
      <c r="J90" s="50">
        <f t="shared" si="24"/>
        <v>286320.07810912654</v>
      </c>
      <c r="K90" s="98">
        <f t="shared" si="25"/>
        <v>0.019493871380375907</v>
      </c>
    </row>
    <row r="91" spans="1:11" ht="12.75">
      <c r="A91" s="3">
        <v>39569</v>
      </c>
      <c r="B91" s="107">
        <v>15027101.558825484</v>
      </c>
      <c r="C91" s="109">
        <v>193.5</v>
      </c>
      <c r="D91" s="109">
        <v>2.5</v>
      </c>
      <c r="E91" s="9">
        <v>31</v>
      </c>
      <c r="F91" s="50">
        <v>1</v>
      </c>
      <c r="G91" s="138">
        <v>0</v>
      </c>
      <c r="H91" s="81">
        <v>20882</v>
      </c>
      <c r="I91" s="9">
        <f t="shared" si="26"/>
        <v>15355079.913142793</v>
      </c>
      <c r="J91" s="50">
        <f t="shared" si="24"/>
        <v>327978.35431730933</v>
      </c>
      <c r="K91" s="98">
        <f t="shared" si="25"/>
        <v>0.021825789426749845</v>
      </c>
    </row>
    <row r="92" spans="1:11" ht="12.75">
      <c r="A92" s="3">
        <v>39600</v>
      </c>
      <c r="B92" s="107">
        <v>17992021.273451883</v>
      </c>
      <c r="C92" s="109">
        <v>22.7</v>
      </c>
      <c r="D92" s="109">
        <v>71.5</v>
      </c>
      <c r="E92" s="9">
        <v>30</v>
      </c>
      <c r="F92" s="50">
        <v>0</v>
      </c>
      <c r="G92" s="138">
        <v>0</v>
      </c>
      <c r="H92" s="81">
        <v>21141</v>
      </c>
      <c r="I92" s="9">
        <f t="shared" si="26"/>
        <v>19125792.411238804</v>
      </c>
      <c r="J92" s="50">
        <f t="shared" si="24"/>
        <v>1133771.137786921</v>
      </c>
      <c r="K92" s="98">
        <f t="shared" si="25"/>
        <v>0.06301521772097149</v>
      </c>
    </row>
    <row r="93" spans="1:11" ht="12.75">
      <c r="A93" s="3">
        <v>39630</v>
      </c>
      <c r="B93" s="107">
        <v>21095569.32916084</v>
      </c>
      <c r="C93" s="109">
        <v>1</v>
      </c>
      <c r="D93" s="109">
        <v>111.00000000000001</v>
      </c>
      <c r="E93" s="9">
        <v>31</v>
      </c>
      <c r="F93" s="50">
        <v>0</v>
      </c>
      <c r="G93" s="138">
        <v>0</v>
      </c>
      <c r="H93" s="81">
        <v>21416</v>
      </c>
      <c r="I93" s="9">
        <f t="shared" si="26"/>
        <v>21434873.144964</v>
      </c>
      <c r="J93" s="50">
        <f t="shared" si="24"/>
        <v>339303.815803159</v>
      </c>
      <c r="K93" s="98">
        <f t="shared" si="25"/>
        <v>0.016084126979883515</v>
      </c>
    </row>
    <row r="94" spans="1:11" ht="12.75">
      <c r="A94" s="3">
        <v>39661</v>
      </c>
      <c r="B94" s="107">
        <v>19789684.41467064</v>
      </c>
      <c r="C94" s="109">
        <v>12.700000000000001</v>
      </c>
      <c r="D94" s="109">
        <v>64</v>
      </c>
      <c r="E94" s="9">
        <v>31</v>
      </c>
      <c r="F94" s="50">
        <v>0</v>
      </c>
      <c r="G94" s="138">
        <v>0</v>
      </c>
      <c r="H94" s="81">
        <v>21698</v>
      </c>
      <c r="I94" s="9">
        <f t="shared" si="26"/>
        <v>19558355.26505443</v>
      </c>
      <c r="J94" s="50">
        <f t="shared" si="24"/>
        <v>-231329.14961620793</v>
      </c>
      <c r="K94" s="98">
        <f t="shared" si="25"/>
        <v>-0.011689380425122759</v>
      </c>
    </row>
    <row r="95" spans="1:11" ht="12.75">
      <c r="A95" s="3">
        <v>39692</v>
      </c>
      <c r="B95" s="107">
        <v>16686956.097246004</v>
      </c>
      <c r="C95" s="110">
        <v>59.000000000000014</v>
      </c>
      <c r="D95" s="110">
        <v>26.7</v>
      </c>
      <c r="E95" s="9">
        <v>30</v>
      </c>
      <c r="F95" s="50">
        <v>1</v>
      </c>
      <c r="G95" s="138">
        <v>0</v>
      </c>
      <c r="H95" s="81">
        <v>21994</v>
      </c>
      <c r="I95" s="9">
        <f t="shared" si="26"/>
        <v>15784661.564394388</v>
      </c>
      <c r="J95" s="50">
        <f t="shared" si="24"/>
        <v>-902294.5328516159</v>
      </c>
      <c r="K95" s="98">
        <f t="shared" si="25"/>
        <v>-0.05407184675223839</v>
      </c>
    </row>
    <row r="96" spans="1:11" ht="12.75">
      <c r="A96" s="3">
        <v>39722</v>
      </c>
      <c r="B96" s="107">
        <v>16192901.516645188</v>
      </c>
      <c r="C96" s="110">
        <v>278.6</v>
      </c>
      <c r="D96" s="110">
        <v>0</v>
      </c>
      <c r="E96" s="9">
        <v>31</v>
      </c>
      <c r="F96" s="50">
        <v>1</v>
      </c>
      <c r="G96" s="138">
        <v>0</v>
      </c>
      <c r="H96" s="81">
        <v>22314</v>
      </c>
      <c r="I96" s="9">
        <f t="shared" si="26"/>
        <v>16655796.434948724</v>
      </c>
      <c r="J96" s="50">
        <f t="shared" si="24"/>
        <v>462894.91830353625</v>
      </c>
      <c r="K96" s="98">
        <f t="shared" si="25"/>
        <v>0.02858628627041992</v>
      </c>
    </row>
    <row r="97" spans="1:11" ht="12.75">
      <c r="A97" s="3">
        <v>39753</v>
      </c>
      <c r="B97" s="107">
        <v>18160498.93118405</v>
      </c>
      <c r="C97" s="110">
        <v>451.60000000000014</v>
      </c>
      <c r="D97" s="110">
        <v>0</v>
      </c>
      <c r="E97" s="9">
        <v>30</v>
      </c>
      <c r="F97" s="50">
        <v>1</v>
      </c>
      <c r="G97" s="138">
        <v>0</v>
      </c>
      <c r="H97" s="81">
        <v>22569</v>
      </c>
      <c r="I97" s="9">
        <f t="shared" si="26"/>
        <v>17411098.212114558</v>
      </c>
      <c r="J97" s="50">
        <f t="shared" si="24"/>
        <v>-749400.7190694921</v>
      </c>
      <c r="K97" s="98">
        <f t="shared" si="25"/>
        <v>-0.04126542568622214</v>
      </c>
    </row>
    <row r="98" spans="1:11" ht="12.75">
      <c r="A98" s="3">
        <v>39783</v>
      </c>
      <c r="B98" s="107">
        <v>22052793.90489944</v>
      </c>
      <c r="C98" s="110">
        <v>654.6000000000003</v>
      </c>
      <c r="D98" s="110">
        <v>0</v>
      </c>
      <c r="E98" s="9">
        <v>31</v>
      </c>
      <c r="F98" s="50">
        <v>0</v>
      </c>
      <c r="G98" s="138">
        <v>0</v>
      </c>
      <c r="H98" s="81">
        <v>22755</v>
      </c>
      <c r="I98" s="9">
        <f t="shared" si="26"/>
        <v>21370078.056976784</v>
      </c>
      <c r="J98" s="50">
        <f t="shared" si="24"/>
        <v>-682715.8479226567</v>
      </c>
      <c r="K98" s="98">
        <f t="shared" si="25"/>
        <v>-0.030958247325341328</v>
      </c>
    </row>
    <row r="99" spans="1:32" s="13" customFormat="1" ht="12.75">
      <c r="A99" s="3">
        <v>39814</v>
      </c>
      <c r="B99" s="107">
        <v>22632405.663271572</v>
      </c>
      <c r="C99" s="110">
        <v>830.2</v>
      </c>
      <c r="D99" s="110">
        <v>0</v>
      </c>
      <c r="E99" s="9">
        <v>31</v>
      </c>
      <c r="F99" s="50">
        <v>0</v>
      </c>
      <c r="G99" s="138">
        <v>0</v>
      </c>
      <c r="H99" s="81">
        <v>22866</v>
      </c>
      <c r="I99" s="9">
        <f t="shared" si="26"/>
        <v>22547543.3563374</v>
      </c>
      <c r="J99" s="50">
        <f aca="true" t="shared" si="27" ref="J99:J130">+I99-B99</f>
        <v>-84862.30693417415</v>
      </c>
      <c r="K99" s="98">
        <f aca="true" t="shared" si="28" ref="K99:K130">+J99/B99</f>
        <v>-0.0037495928712470367</v>
      </c>
      <c r="L99"/>
      <c r="M99"/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11" ht="12.75">
      <c r="A100" s="3">
        <v>39845</v>
      </c>
      <c r="B100" s="107">
        <v>19103813.459246192</v>
      </c>
      <c r="C100" s="110">
        <v>606.4</v>
      </c>
      <c r="D100" s="110">
        <v>0</v>
      </c>
      <c r="E100" s="9">
        <v>28</v>
      </c>
      <c r="F100" s="50">
        <v>0</v>
      </c>
      <c r="G100" s="138">
        <v>0</v>
      </c>
      <c r="H100" s="81">
        <v>23049</v>
      </c>
      <c r="I100" s="9">
        <f t="shared" si="26"/>
        <v>19763899.879512995</v>
      </c>
      <c r="J100" s="50">
        <f t="shared" si="27"/>
        <v>660086.4202668034</v>
      </c>
      <c r="K100" s="98">
        <f t="shared" si="28"/>
        <v>0.034552599755800245</v>
      </c>
    </row>
    <row r="101" spans="1:11" ht="12.75">
      <c r="A101" s="3">
        <v>39873</v>
      </c>
      <c r="B101" s="107">
        <v>18844584.60259624</v>
      </c>
      <c r="C101" s="110">
        <v>533.8</v>
      </c>
      <c r="D101" s="110">
        <v>0</v>
      </c>
      <c r="E101" s="9">
        <v>31</v>
      </c>
      <c r="F101" s="50">
        <v>1</v>
      </c>
      <c r="G101" s="138">
        <v>0</v>
      </c>
      <c r="H101" s="81">
        <v>23271</v>
      </c>
      <c r="I101" s="9">
        <f t="shared" si="26"/>
        <v>18853707.6033441</v>
      </c>
      <c r="J101" s="50">
        <f t="shared" si="27"/>
        <v>9123.000747863203</v>
      </c>
      <c r="K101" s="98">
        <f t="shared" si="28"/>
        <v>0.00048411790125669937</v>
      </c>
    </row>
    <row r="102" spans="1:11" ht="12.75">
      <c r="A102" s="3">
        <v>39904</v>
      </c>
      <c r="B102" s="107">
        <v>16233604.574968504</v>
      </c>
      <c r="C102" s="110">
        <v>305.8</v>
      </c>
      <c r="D102" s="110">
        <v>1.2</v>
      </c>
      <c r="E102" s="9">
        <v>30</v>
      </c>
      <c r="F102" s="50">
        <v>1</v>
      </c>
      <c r="G102" s="138">
        <v>0</v>
      </c>
      <c r="H102" s="81">
        <v>23525</v>
      </c>
      <c r="I102" s="9">
        <f t="shared" si="26"/>
        <v>17128788.062840477</v>
      </c>
      <c r="J102" s="50">
        <f t="shared" si="27"/>
        <v>895183.4878719728</v>
      </c>
      <c r="K102" s="98">
        <f t="shared" si="28"/>
        <v>0.05514385198542448</v>
      </c>
    </row>
    <row r="103" spans="1:11" ht="12.75">
      <c r="A103" s="3">
        <v>39934</v>
      </c>
      <c r="B103" s="107">
        <v>15818095.566700563</v>
      </c>
      <c r="C103" s="110">
        <v>158.79999999999998</v>
      </c>
      <c r="D103" s="110">
        <v>6.9</v>
      </c>
      <c r="E103" s="9">
        <v>31</v>
      </c>
      <c r="F103" s="50">
        <v>1</v>
      </c>
      <c r="G103" s="138">
        <v>0</v>
      </c>
      <c r="H103" s="81">
        <v>23761</v>
      </c>
      <c r="I103" s="9">
        <f t="shared" si="26"/>
        <v>17095567.165749103</v>
      </c>
      <c r="J103" s="50">
        <f t="shared" si="27"/>
        <v>1277471.59904854</v>
      </c>
      <c r="K103" s="98">
        <f t="shared" si="28"/>
        <v>0.08076013914960832</v>
      </c>
    </row>
    <row r="104" spans="1:11" ht="12.75">
      <c r="A104" s="3">
        <v>39965</v>
      </c>
      <c r="B104" s="107">
        <v>17492787.27292594</v>
      </c>
      <c r="C104" s="110">
        <v>49.30000000000001</v>
      </c>
      <c r="D104" s="110">
        <v>34.2</v>
      </c>
      <c r="E104" s="9">
        <v>30</v>
      </c>
      <c r="F104" s="50">
        <v>0</v>
      </c>
      <c r="G104" s="138">
        <v>0</v>
      </c>
      <c r="H104" s="81">
        <v>23942</v>
      </c>
      <c r="I104" s="9">
        <f t="shared" si="26"/>
        <v>19322364.220207408</v>
      </c>
      <c r="J104" s="50">
        <f t="shared" si="27"/>
        <v>1829576.9472814687</v>
      </c>
      <c r="K104" s="98">
        <f t="shared" si="28"/>
        <v>0.104590361657982</v>
      </c>
    </row>
    <row r="105" spans="1:11" ht="12.75">
      <c r="A105" s="3">
        <v>39995</v>
      </c>
      <c r="B105" s="107">
        <v>20395611.41152988</v>
      </c>
      <c r="C105" s="110">
        <v>6.200000000000001</v>
      </c>
      <c r="D105" s="110">
        <v>43.699999999999996</v>
      </c>
      <c r="E105" s="9">
        <v>31</v>
      </c>
      <c r="F105" s="50">
        <v>0</v>
      </c>
      <c r="G105" s="138">
        <v>0</v>
      </c>
      <c r="H105" s="81">
        <v>24098</v>
      </c>
      <c r="I105" s="9">
        <f t="shared" si="26"/>
        <v>20068367.85873179</v>
      </c>
      <c r="J105" s="50">
        <f t="shared" si="27"/>
        <v>-327243.55279808864</v>
      </c>
      <c r="K105" s="98">
        <f t="shared" si="28"/>
        <v>-0.01604480229570828</v>
      </c>
    </row>
    <row r="106" spans="1:11" ht="12.75">
      <c r="A106" s="3">
        <v>40026</v>
      </c>
      <c r="B106" s="107">
        <v>22198301.403227746</v>
      </c>
      <c r="C106" s="110">
        <v>9.8</v>
      </c>
      <c r="D106" s="110">
        <v>91.00000000000001</v>
      </c>
      <c r="E106" s="9">
        <v>31</v>
      </c>
      <c r="F106" s="50">
        <v>0</v>
      </c>
      <c r="G106" s="138">
        <v>0</v>
      </c>
      <c r="H106" s="81">
        <v>24266</v>
      </c>
      <c r="I106" s="9">
        <f t="shared" si="26"/>
        <v>22330365.510369673</v>
      </c>
      <c r="J106" s="50">
        <f t="shared" si="27"/>
        <v>132064.10714192688</v>
      </c>
      <c r="K106" s="98">
        <f t="shared" si="28"/>
        <v>0.005949288855169977</v>
      </c>
    </row>
    <row r="107" spans="1:11" ht="12.75">
      <c r="A107" s="3">
        <v>40057</v>
      </c>
      <c r="B107" s="107">
        <v>18108208.615258284</v>
      </c>
      <c r="C107" s="110">
        <v>55.19999999999999</v>
      </c>
      <c r="D107" s="110">
        <v>20.9</v>
      </c>
      <c r="E107" s="9">
        <v>30</v>
      </c>
      <c r="F107" s="50">
        <v>1</v>
      </c>
      <c r="G107" s="138">
        <v>0</v>
      </c>
      <c r="H107" s="81">
        <v>24462</v>
      </c>
      <c r="I107" s="9">
        <f t="shared" si="26"/>
        <v>17008277.593640294</v>
      </c>
      <c r="J107" s="50">
        <f t="shared" si="27"/>
        <v>-1099931.02161799</v>
      </c>
      <c r="K107" s="98">
        <f t="shared" si="28"/>
        <v>-0.06074212226002132</v>
      </c>
    </row>
    <row r="108" spans="1:11" ht="12.75">
      <c r="A108" s="3">
        <v>40087</v>
      </c>
      <c r="B108" s="107">
        <v>17950626.464400426</v>
      </c>
      <c r="C108" s="110">
        <v>287.8</v>
      </c>
      <c r="D108" s="110">
        <v>0</v>
      </c>
      <c r="E108" s="9">
        <v>31</v>
      </c>
      <c r="F108" s="50">
        <v>1</v>
      </c>
      <c r="G108" s="138">
        <v>0</v>
      </c>
      <c r="H108" s="81">
        <v>24642</v>
      </c>
      <c r="I108" s="9">
        <f t="shared" si="26"/>
        <v>18137901.563453883</v>
      </c>
      <c r="J108" s="50">
        <f t="shared" si="27"/>
        <v>187275.09905345738</v>
      </c>
      <c r="K108" s="98">
        <f t="shared" si="28"/>
        <v>0.010432789040809257</v>
      </c>
    </row>
    <row r="109" spans="1:11" ht="12.75">
      <c r="A109" s="3">
        <v>40118</v>
      </c>
      <c r="B109" s="107">
        <v>18518464.6950411</v>
      </c>
      <c r="C109" s="110">
        <v>361.2</v>
      </c>
      <c r="D109" s="110">
        <v>0</v>
      </c>
      <c r="E109" s="9">
        <v>30</v>
      </c>
      <c r="F109" s="50">
        <v>1</v>
      </c>
      <c r="G109" s="138">
        <v>0</v>
      </c>
      <c r="H109" s="81">
        <v>24736</v>
      </c>
      <c r="I109" s="9">
        <f t="shared" si="26"/>
        <v>18165378.2174507</v>
      </c>
      <c r="J109" s="50">
        <f t="shared" si="27"/>
        <v>-353086.4775904007</v>
      </c>
      <c r="K109" s="98">
        <f t="shared" si="28"/>
        <v>-0.019066725206704133</v>
      </c>
    </row>
    <row r="110" spans="1:32" s="28" customFormat="1" ht="12.75">
      <c r="A110" s="3">
        <v>40148</v>
      </c>
      <c r="B110" s="107">
        <v>23104536.921093374</v>
      </c>
      <c r="C110" s="110">
        <v>631.3</v>
      </c>
      <c r="D110" s="110">
        <v>0</v>
      </c>
      <c r="E110" s="9">
        <v>31</v>
      </c>
      <c r="F110" s="50">
        <v>0</v>
      </c>
      <c r="G110" s="138">
        <v>0</v>
      </c>
      <c r="H110" s="81">
        <v>24832</v>
      </c>
      <c r="I110" s="9">
        <f t="shared" si="26"/>
        <v>22493294.619733527</v>
      </c>
      <c r="J110" s="50">
        <f t="shared" si="27"/>
        <v>-611242.3013598472</v>
      </c>
      <c r="K110" s="98">
        <f t="shared" si="28"/>
        <v>-0.026455509731589177</v>
      </c>
      <c r="M110"/>
      <c r="N110"/>
      <c r="O110"/>
      <c r="P110"/>
      <c r="Q110"/>
      <c r="R110"/>
      <c r="S110"/>
      <c r="T110"/>
      <c r="U110"/>
      <c r="V110"/>
      <c r="W110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1:26" ht="12.75">
      <c r="A111" s="3">
        <v>40179</v>
      </c>
      <c r="B111" s="53">
        <v>20225377.380000014</v>
      </c>
      <c r="C111" s="111">
        <v>719.9999999999999</v>
      </c>
      <c r="D111" s="110">
        <v>0</v>
      </c>
      <c r="E111" s="9">
        <v>31</v>
      </c>
      <c r="F111" s="50">
        <v>0</v>
      </c>
      <c r="G111" s="138">
        <v>0</v>
      </c>
      <c r="H111" s="81">
        <v>24902</v>
      </c>
      <c r="I111" s="9">
        <f t="shared" si="26"/>
        <v>23096583.37625335</v>
      </c>
      <c r="J111" s="50">
        <f t="shared" si="27"/>
        <v>2871205.9962533377</v>
      </c>
      <c r="K111" s="98">
        <f t="shared" si="28"/>
        <v>0.14196056480471642</v>
      </c>
      <c r="L111" s="17"/>
      <c r="X111" s="10"/>
      <c r="Y111" s="10"/>
      <c r="Z111" s="10"/>
    </row>
    <row r="112" spans="1:11" ht="12.75">
      <c r="A112" s="3">
        <v>40210</v>
      </c>
      <c r="B112" s="53">
        <v>22492953.169999976</v>
      </c>
      <c r="C112" s="110">
        <v>598.3</v>
      </c>
      <c r="D112" s="110">
        <v>0</v>
      </c>
      <c r="E112" s="9">
        <v>28</v>
      </c>
      <c r="F112" s="50">
        <v>0</v>
      </c>
      <c r="G112" s="138">
        <v>0</v>
      </c>
      <c r="H112" s="81">
        <v>25038</v>
      </c>
      <c r="I112" s="9">
        <f t="shared" si="26"/>
        <v>20929334.049455747</v>
      </c>
      <c r="J112" s="50">
        <f t="shared" si="27"/>
        <v>-1563619.1205442287</v>
      </c>
      <c r="K112" s="98">
        <f t="shared" si="28"/>
        <v>-0.06951595500717572</v>
      </c>
    </row>
    <row r="113" spans="1:11" ht="12.75">
      <c r="A113" s="3">
        <v>40238</v>
      </c>
      <c r="B113" s="53">
        <v>18959593.879999995</v>
      </c>
      <c r="C113" s="110">
        <v>422.8</v>
      </c>
      <c r="D113" s="110">
        <v>0</v>
      </c>
      <c r="E113" s="9">
        <v>31</v>
      </c>
      <c r="F113" s="50">
        <v>1</v>
      </c>
      <c r="G113" s="138">
        <v>0</v>
      </c>
      <c r="H113" s="81">
        <v>25281</v>
      </c>
      <c r="I113" s="9">
        <f t="shared" si="26"/>
        <v>19381789.160043485</v>
      </c>
      <c r="J113" s="50">
        <f t="shared" si="27"/>
        <v>422195.28004349023</v>
      </c>
      <c r="K113" s="98">
        <f t="shared" si="28"/>
        <v>0.02226816052683774</v>
      </c>
    </row>
    <row r="114" spans="1:11" ht="12.75">
      <c r="A114" s="3">
        <v>40269</v>
      </c>
      <c r="B114" s="53">
        <v>16998724.399999976</v>
      </c>
      <c r="C114" s="110">
        <v>225.1</v>
      </c>
      <c r="D114" s="110">
        <v>0</v>
      </c>
      <c r="E114" s="9">
        <v>30</v>
      </c>
      <c r="F114" s="50">
        <v>1</v>
      </c>
      <c r="G114" s="138">
        <v>0</v>
      </c>
      <c r="H114" s="81">
        <v>25495</v>
      </c>
      <c r="I114" s="9">
        <f t="shared" si="26"/>
        <v>17769657.68547681</v>
      </c>
      <c r="J114" s="50">
        <f t="shared" si="27"/>
        <v>770933.2854768336</v>
      </c>
      <c r="K114" s="98">
        <f t="shared" si="28"/>
        <v>0.04535241982491549</v>
      </c>
    </row>
    <row r="115" spans="1:11" ht="12.75">
      <c r="A115" s="3">
        <v>40299</v>
      </c>
      <c r="B115" s="53">
        <v>19019745.82999999</v>
      </c>
      <c r="C115" s="110">
        <v>107.9</v>
      </c>
      <c r="D115" s="110">
        <v>45.7</v>
      </c>
      <c r="E115" s="9">
        <v>31</v>
      </c>
      <c r="F115" s="50">
        <v>1</v>
      </c>
      <c r="G115" s="138">
        <v>0</v>
      </c>
      <c r="H115" s="81">
        <v>25651</v>
      </c>
      <c r="I115" s="9">
        <f t="shared" si="26"/>
        <v>19682557.557507128</v>
      </c>
      <c r="J115" s="50">
        <f t="shared" si="27"/>
        <v>662811.7275071368</v>
      </c>
      <c r="K115" s="98">
        <f t="shared" si="28"/>
        <v>0.03484861119761541</v>
      </c>
    </row>
    <row r="116" spans="1:11" ht="12.75">
      <c r="A116" s="3">
        <v>40330</v>
      </c>
      <c r="B116" s="53">
        <v>23608747.919999983</v>
      </c>
      <c r="C116" s="112">
        <v>21.7</v>
      </c>
      <c r="D116" s="112">
        <v>58.7</v>
      </c>
      <c r="E116" s="9">
        <v>30</v>
      </c>
      <c r="F116" s="50">
        <v>0</v>
      </c>
      <c r="G116" s="138">
        <v>0</v>
      </c>
      <c r="H116" s="81">
        <v>25832</v>
      </c>
      <c r="I116" s="9">
        <f t="shared" si="26"/>
        <v>21410665.748217363</v>
      </c>
      <c r="J116" s="50">
        <f t="shared" si="27"/>
        <v>-2198082.1717826203</v>
      </c>
      <c r="K116" s="98">
        <f t="shared" si="28"/>
        <v>-0.09310456358088057</v>
      </c>
    </row>
    <row r="117" spans="1:11" ht="12.75">
      <c r="A117" s="3">
        <v>40360</v>
      </c>
      <c r="B117" s="53">
        <v>30865720.660000008</v>
      </c>
      <c r="C117" s="112">
        <v>1.8</v>
      </c>
      <c r="D117" s="112">
        <v>164.9</v>
      </c>
      <c r="E117" s="9">
        <v>31</v>
      </c>
      <c r="F117" s="50">
        <v>0</v>
      </c>
      <c r="G117" s="138">
        <v>0</v>
      </c>
      <c r="H117" s="81">
        <v>25900</v>
      </c>
      <c r="I117" s="9">
        <f t="shared" si="26"/>
        <v>26617270.144571558</v>
      </c>
      <c r="J117" s="50">
        <f t="shared" si="27"/>
        <v>-4248450.51542845</v>
      </c>
      <c r="K117" s="98">
        <f t="shared" si="28"/>
        <v>-0.1376430041024174</v>
      </c>
    </row>
    <row r="118" spans="1:11" ht="12.75">
      <c r="A118" s="3">
        <v>40391</v>
      </c>
      <c r="B118" s="53">
        <v>25913897.130000014</v>
      </c>
      <c r="C118" s="112">
        <v>2.1</v>
      </c>
      <c r="D118" s="112">
        <v>138.8</v>
      </c>
      <c r="E118" s="9">
        <v>31</v>
      </c>
      <c r="F118" s="50">
        <v>0</v>
      </c>
      <c r="G118" s="138">
        <v>0</v>
      </c>
      <c r="H118" s="81">
        <v>26023</v>
      </c>
      <c r="I118" s="9">
        <f t="shared" si="26"/>
        <v>25515492.974701</v>
      </c>
      <c r="J118" s="50">
        <f t="shared" si="27"/>
        <v>-398404.15529901534</v>
      </c>
      <c r="K118" s="98">
        <f t="shared" si="28"/>
        <v>-0.015374150530133525</v>
      </c>
    </row>
    <row r="119" spans="1:11" ht="12.75">
      <c r="A119" s="3">
        <v>40422</v>
      </c>
      <c r="B119" s="53">
        <v>19331020.809999984</v>
      </c>
      <c r="C119" s="112">
        <v>78.2</v>
      </c>
      <c r="D119" s="112">
        <v>31.5</v>
      </c>
      <c r="E119" s="9">
        <v>30</v>
      </c>
      <c r="F119" s="50">
        <v>1</v>
      </c>
      <c r="G119" s="138">
        <v>0</v>
      </c>
      <c r="H119" s="81">
        <v>26144</v>
      </c>
      <c r="I119" s="9">
        <f t="shared" si="26"/>
        <v>18661231.45061618</v>
      </c>
      <c r="J119" s="50">
        <f t="shared" si="27"/>
        <v>-669789.3593838029</v>
      </c>
      <c r="K119" s="98">
        <f t="shared" si="28"/>
        <v>-0.03464842162072058</v>
      </c>
    </row>
    <row r="120" spans="1:11" ht="12.75">
      <c r="A120" s="3">
        <v>40452</v>
      </c>
      <c r="B120" s="53">
        <v>16853785.329999987</v>
      </c>
      <c r="C120" s="115">
        <v>241.6</v>
      </c>
      <c r="D120" s="115">
        <v>0</v>
      </c>
      <c r="E120" s="9">
        <v>31</v>
      </c>
      <c r="F120" s="50">
        <v>1</v>
      </c>
      <c r="G120" s="138">
        <v>0</v>
      </c>
      <c r="H120" s="81">
        <v>26231</v>
      </c>
      <c r="I120" s="9">
        <f t="shared" si="26"/>
        <v>18817923.106231295</v>
      </c>
      <c r="J120" s="50">
        <f t="shared" si="27"/>
        <v>1964137.7762313075</v>
      </c>
      <c r="K120" s="98">
        <f t="shared" si="28"/>
        <v>0.11653985960857786</v>
      </c>
    </row>
    <row r="121" spans="1:11" ht="12.75">
      <c r="A121" s="3">
        <v>40483</v>
      </c>
      <c r="B121" s="53">
        <v>19324313.599999987</v>
      </c>
      <c r="C121" s="113">
        <v>405.3</v>
      </c>
      <c r="D121" s="113">
        <v>0</v>
      </c>
      <c r="E121" s="9">
        <v>30</v>
      </c>
      <c r="F121" s="50">
        <v>1</v>
      </c>
      <c r="G121" s="138">
        <v>0</v>
      </c>
      <c r="H121" s="81">
        <v>26423</v>
      </c>
      <c r="I121" s="9">
        <f t="shared" si="26"/>
        <v>19475925.31147267</v>
      </c>
      <c r="J121" s="50">
        <f t="shared" si="27"/>
        <v>151611.71147268265</v>
      </c>
      <c r="K121" s="98">
        <f t="shared" si="28"/>
        <v>0.007845645367330551</v>
      </c>
    </row>
    <row r="122" spans="1:11" ht="12.75">
      <c r="A122" s="3">
        <v>40513</v>
      </c>
      <c r="B122" s="24">
        <v>25065854.73999998</v>
      </c>
      <c r="C122" s="113">
        <v>676.2</v>
      </c>
      <c r="D122" s="113">
        <v>0</v>
      </c>
      <c r="E122" s="9">
        <v>31</v>
      </c>
      <c r="F122" s="50">
        <v>0</v>
      </c>
      <c r="G122" s="138">
        <v>0</v>
      </c>
      <c r="H122" s="81">
        <v>26587</v>
      </c>
      <c r="I122" s="9">
        <f t="shared" si="26"/>
        <v>23850490.40746177</v>
      </c>
      <c r="J122" s="50">
        <f t="shared" si="27"/>
        <v>-1215364.3325382099</v>
      </c>
      <c r="K122" s="98">
        <f t="shared" si="28"/>
        <v>-0.048486849746190254</v>
      </c>
    </row>
    <row r="123" spans="1:11" ht="12.75">
      <c r="A123" s="3">
        <v>40544</v>
      </c>
      <c r="B123" s="24">
        <v>23710157.33999996</v>
      </c>
      <c r="C123" s="113">
        <v>775.3</v>
      </c>
      <c r="D123" s="113">
        <v>0</v>
      </c>
      <c r="E123" s="9">
        <v>31</v>
      </c>
      <c r="F123" s="50">
        <v>0</v>
      </c>
      <c r="G123" s="138">
        <v>0</v>
      </c>
      <c r="H123" s="81">
        <v>26615</v>
      </c>
      <c r="I123" s="9">
        <f t="shared" si="26"/>
        <v>24493803.76708059</v>
      </c>
      <c r="J123" s="50">
        <f t="shared" si="27"/>
        <v>783646.4270806313</v>
      </c>
      <c r="K123" s="98">
        <f t="shared" si="28"/>
        <v>0.03305108506212184</v>
      </c>
    </row>
    <row r="124" spans="1:11" ht="12.75">
      <c r="A124" s="3">
        <v>40575</v>
      </c>
      <c r="B124" s="24">
        <v>22287321.790000025</v>
      </c>
      <c r="C124" s="113">
        <v>654.2</v>
      </c>
      <c r="D124" s="113">
        <v>0</v>
      </c>
      <c r="E124" s="9">
        <v>28</v>
      </c>
      <c r="F124" s="50">
        <v>0</v>
      </c>
      <c r="G124" s="138">
        <v>0</v>
      </c>
      <c r="H124" s="81">
        <v>26654</v>
      </c>
      <c r="I124" s="9">
        <f t="shared" si="26"/>
        <v>22271013.481694207</v>
      </c>
      <c r="J124" s="50">
        <f t="shared" si="27"/>
        <v>-16308.308305818588</v>
      </c>
      <c r="K124" s="98">
        <f t="shared" si="28"/>
        <v>-0.0007317302841266406</v>
      </c>
    </row>
    <row r="125" spans="1:11" ht="12.75">
      <c r="A125" s="3">
        <v>40603</v>
      </c>
      <c r="B125" s="24">
        <v>20538303.36000003</v>
      </c>
      <c r="C125" s="113">
        <v>572.8</v>
      </c>
      <c r="D125" s="113">
        <v>0</v>
      </c>
      <c r="E125" s="9">
        <v>31</v>
      </c>
      <c r="F125" s="50">
        <v>1</v>
      </c>
      <c r="G125" s="138">
        <v>0</v>
      </c>
      <c r="H125" s="81">
        <v>26750</v>
      </c>
      <c r="I125" s="9">
        <f t="shared" si="26"/>
        <v>21228145.65486575</v>
      </c>
      <c r="J125" s="50">
        <f t="shared" si="27"/>
        <v>689842.29486572</v>
      </c>
      <c r="K125" s="98">
        <f t="shared" si="28"/>
        <v>0.03358808577193589</v>
      </c>
    </row>
    <row r="126" spans="1:11" ht="12.75">
      <c r="A126" s="3">
        <v>40634</v>
      </c>
      <c r="B126" s="24">
        <v>18173296.59999999</v>
      </c>
      <c r="C126" s="113">
        <v>332.3</v>
      </c>
      <c r="D126" s="113">
        <v>0</v>
      </c>
      <c r="E126" s="9">
        <v>30</v>
      </c>
      <c r="F126" s="50">
        <v>1</v>
      </c>
      <c r="G126" s="138">
        <v>0</v>
      </c>
      <c r="H126" s="81">
        <v>26846</v>
      </c>
      <c r="I126" s="9">
        <f t="shared" si="26"/>
        <v>19273395.05091258</v>
      </c>
      <c r="J126" s="50">
        <f t="shared" si="27"/>
        <v>1100098.450912591</v>
      </c>
      <c r="K126" s="98">
        <f t="shared" si="28"/>
        <v>0.06053378619884472</v>
      </c>
    </row>
    <row r="127" spans="1:11" ht="12.75">
      <c r="A127" s="3">
        <v>40664</v>
      </c>
      <c r="B127" s="24">
        <v>19219228.86000003</v>
      </c>
      <c r="C127" s="113">
        <v>134.1</v>
      </c>
      <c r="D127" s="113">
        <v>13</v>
      </c>
      <c r="E127" s="9">
        <v>31</v>
      </c>
      <c r="F127" s="50">
        <v>1</v>
      </c>
      <c r="G127" s="138">
        <v>0</v>
      </c>
      <c r="H127" s="81">
        <v>26969</v>
      </c>
      <c r="I127" s="9">
        <f t="shared" si="26"/>
        <v>19177269.038583986</v>
      </c>
      <c r="J127" s="50">
        <f t="shared" si="27"/>
        <v>-41959.821416042745</v>
      </c>
      <c r="K127" s="98">
        <f t="shared" si="28"/>
        <v>-0.002183220862902128</v>
      </c>
    </row>
    <row r="128" spans="1:11" ht="12.75">
      <c r="A128" s="3">
        <v>40695</v>
      </c>
      <c r="B128" s="24">
        <v>23432000.14000001</v>
      </c>
      <c r="C128" s="113">
        <v>19</v>
      </c>
      <c r="D128" s="113">
        <v>52.2</v>
      </c>
      <c r="E128" s="9">
        <v>30</v>
      </c>
      <c r="F128" s="50">
        <v>0</v>
      </c>
      <c r="G128" s="138">
        <v>0</v>
      </c>
      <c r="H128" s="81">
        <v>27068</v>
      </c>
      <c r="I128" s="9">
        <f t="shared" si="26"/>
        <v>21856034.05580183</v>
      </c>
      <c r="J128" s="50">
        <f t="shared" si="27"/>
        <v>-1575966.0841981806</v>
      </c>
      <c r="K128" s="98">
        <f t="shared" si="28"/>
        <v>-0.06725700216721575</v>
      </c>
    </row>
    <row r="129" spans="1:11" ht="12.75">
      <c r="A129" s="3">
        <v>40725</v>
      </c>
      <c r="B129" s="24">
        <v>29858048.27999996</v>
      </c>
      <c r="C129" s="113">
        <v>0</v>
      </c>
      <c r="D129" s="113">
        <v>198.5</v>
      </c>
      <c r="E129" s="9">
        <v>31</v>
      </c>
      <c r="F129" s="50">
        <v>0</v>
      </c>
      <c r="G129" s="138">
        <v>0</v>
      </c>
      <c r="H129" s="81">
        <v>27119</v>
      </c>
      <c r="I129" s="9">
        <f t="shared" si="26"/>
        <v>28869200.045114458</v>
      </c>
      <c r="J129" s="50">
        <f t="shared" si="27"/>
        <v>-988848.2348855026</v>
      </c>
      <c r="K129" s="98">
        <f t="shared" si="28"/>
        <v>-0.03311831455332833</v>
      </c>
    </row>
    <row r="130" spans="1:11" ht="12.75">
      <c r="A130" s="3">
        <v>40756</v>
      </c>
      <c r="B130" s="24">
        <v>28097294.71000001</v>
      </c>
      <c r="C130" s="113">
        <v>0</v>
      </c>
      <c r="D130" s="113">
        <v>122.2</v>
      </c>
      <c r="E130" s="9">
        <v>31</v>
      </c>
      <c r="F130" s="50">
        <v>0</v>
      </c>
      <c r="G130" s="138">
        <v>0</v>
      </c>
      <c r="H130" s="81">
        <v>27177</v>
      </c>
      <c r="I130" s="9">
        <f t="shared" si="26"/>
        <v>25458289.448264793</v>
      </c>
      <c r="J130" s="50">
        <f t="shared" si="27"/>
        <v>-2639005.261735216</v>
      </c>
      <c r="K130" s="98">
        <f t="shared" si="28"/>
        <v>-0.09392382038815918</v>
      </c>
    </row>
    <row r="131" spans="1:11" ht="12.75">
      <c r="A131" s="3">
        <v>40787</v>
      </c>
      <c r="B131" s="24">
        <v>19896374.790000003</v>
      </c>
      <c r="C131" s="113">
        <v>48.2</v>
      </c>
      <c r="D131" s="113">
        <v>39.7</v>
      </c>
      <c r="E131" s="9">
        <v>30</v>
      </c>
      <c r="F131" s="50">
        <v>1</v>
      </c>
      <c r="G131" s="138">
        <v>0</v>
      </c>
      <c r="H131" s="81">
        <v>27326</v>
      </c>
      <c r="I131" s="9">
        <f t="shared" si="26"/>
        <v>19565050.95229231</v>
      </c>
      <c r="J131" s="50">
        <f aca="true" t="shared" si="29" ref="J131:J162">+I131-B131</f>
        <v>-331323.8377076946</v>
      </c>
      <c r="K131" s="98">
        <f aca="true" t="shared" si="30" ref="K131:K162">+J131/B131</f>
        <v>-0.016652472684331385</v>
      </c>
    </row>
    <row r="132" spans="1:11" ht="12.75">
      <c r="A132" s="3">
        <v>40817</v>
      </c>
      <c r="B132" s="24">
        <v>18244566.349999983</v>
      </c>
      <c r="C132" s="113">
        <v>235.5</v>
      </c>
      <c r="D132" s="113">
        <v>2.4</v>
      </c>
      <c r="E132" s="9">
        <v>31</v>
      </c>
      <c r="F132" s="50">
        <v>1</v>
      </c>
      <c r="G132" s="138">
        <v>0</v>
      </c>
      <c r="H132" s="81">
        <v>27440</v>
      </c>
      <c r="I132" s="9">
        <f aca="true" t="shared" si="31" ref="I132:I194">$M$19+C132*$M$20+D132*$M$21+E132*$M$22+F132*$M$23+G132*$M$24+H132*$M$25</f>
        <v>19627295.83974768</v>
      </c>
      <c r="J132" s="50">
        <f t="shared" si="29"/>
        <v>1382729.4897476956</v>
      </c>
      <c r="K132" s="98">
        <f t="shared" si="30"/>
        <v>0.07578856428931767</v>
      </c>
    </row>
    <row r="133" spans="1:11" ht="12.75">
      <c r="A133" s="3">
        <v>40848</v>
      </c>
      <c r="B133" s="24">
        <v>20183725.75000002</v>
      </c>
      <c r="C133" s="113">
        <v>341.9</v>
      </c>
      <c r="D133" s="113">
        <v>0</v>
      </c>
      <c r="E133" s="9">
        <v>30</v>
      </c>
      <c r="F133" s="50">
        <v>1</v>
      </c>
      <c r="G133" s="138">
        <v>0</v>
      </c>
      <c r="H133" s="81">
        <v>27703</v>
      </c>
      <c r="I133" s="9">
        <f t="shared" si="31"/>
        <v>19858257.93372307</v>
      </c>
      <c r="J133" s="50">
        <f t="shared" si="29"/>
        <v>-325467.8162769489</v>
      </c>
      <c r="K133" s="98">
        <f t="shared" si="30"/>
        <v>-0.016125259543667184</v>
      </c>
    </row>
    <row r="134" spans="1:11" ht="12.75">
      <c r="A134" s="3">
        <v>40878</v>
      </c>
      <c r="B134" s="24">
        <v>25085188.549999982</v>
      </c>
      <c r="C134" s="113">
        <v>534</v>
      </c>
      <c r="D134" s="113">
        <v>0</v>
      </c>
      <c r="E134" s="9">
        <v>31</v>
      </c>
      <c r="F134" s="50">
        <v>0</v>
      </c>
      <c r="G134" s="138">
        <v>0</v>
      </c>
      <c r="H134" s="81">
        <v>27826</v>
      </c>
      <c r="I134" s="9">
        <f t="shared" si="31"/>
        <v>23709828.232262574</v>
      </c>
      <c r="J134" s="50">
        <f t="shared" si="29"/>
        <v>-1375360.317737408</v>
      </c>
      <c r="K134" s="98">
        <f t="shared" si="30"/>
        <v>-0.05482758540945505</v>
      </c>
    </row>
    <row r="135" spans="1:11" ht="12.75">
      <c r="A135" s="3">
        <v>40909</v>
      </c>
      <c r="B135" s="24">
        <v>22605358.370000012</v>
      </c>
      <c r="C135" s="113">
        <v>611.1</v>
      </c>
      <c r="D135" s="113">
        <v>0</v>
      </c>
      <c r="E135" s="9">
        <v>31</v>
      </c>
      <c r="F135" s="50">
        <v>0</v>
      </c>
      <c r="G135" s="138">
        <v>0</v>
      </c>
      <c r="H135" s="121">
        <v>27984</v>
      </c>
      <c r="I135" s="9">
        <f t="shared" si="31"/>
        <v>24293646.823992483</v>
      </c>
      <c r="J135" s="50">
        <f t="shared" si="29"/>
        <v>1688288.453992471</v>
      </c>
      <c r="K135" s="98">
        <f t="shared" si="30"/>
        <v>0.07468532134544834</v>
      </c>
    </row>
    <row r="136" spans="1:11" ht="12.75">
      <c r="A136" s="3">
        <v>40940</v>
      </c>
      <c r="B136" s="24">
        <v>21671478.42</v>
      </c>
      <c r="C136" s="113">
        <v>531.7</v>
      </c>
      <c r="D136" s="113">
        <v>0</v>
      </c>
      <c r="E136" s="9">
        <v>29</v>
      </c>
      <c r="F136" s="50">
        <v>0</v>
      </c>
      <c r="G136" s="138">
        <v>0</v>
      </c>
      <c r="H136" s="121">
        <v>28152</v>
      </c>
      <c r="I136" s="9">
        <f t="shared" si="31"/>
        <v>22907069.058341496</v>
      </c>
      <c r="J136" s="50">
        <f t="shared" si="29"/>
        <v>1235590.638341494</v>
      </c>
      <c r="K136" s="98">
        <f t="shared" si="30"/>
        <v>0.05701459837650955</v>
      </c>
    </row>
    <row r="137" spans="1:11" ht="12.75">
      <c r="A137" s="3">
        <v>40969</v>
      </c>
      <c r="B137" s="24">
        <v>19949861.740000002</v>
      </c>
      <c r="C137" s="113">
        <v>349.4</v>
      </c>
      <c r="D137" s="113">
        <v>0.2</v>
      </c>
      <c r="E137" s="9">
        <v>31</v>
      </c>
      <c r="F137" s="50">
        <v>1</v>
      </c>
      <c r="G137" s="138">
        <v>0</v>
      </c>
      <c r="H137" s="121">
        <v>28320</v>
      </c>
      <c r="I137" s="9">
        <f t="shared" si="31"/>
        <v>20785899.543441407</v>
      </c>
      <c r="J137" s="50">
        <f t="shared" si="29"/>
        <v>836037.8034414053</v>
      </c>
      <c r="K137" s="98">
        <f t="shared" si="30"/>
        <v>0.04190694724290381</v>
      </c>
    </row>
    <row r="138" spans="1:11" ht="12.75">
      <c r="A138" s="3">
        <v>41000</v>
      </c>
      <c r="B138" s="24">
        <v>18851854.700000014</v>
      </c>
      <c r="C138" s="114">
        <v>321.7</v>
      </c>
      <c r="D138" s="114">
        <v>0</v>
      </c>
      <c r="E138" s="9">
        <v>30</v>
      </c>
      <c r="F138" s="50">
        <v>1</v>
      </c>
      <c r="G138" s="138">
        <v>0</v>
      </c>
      <c r="H138" s="121">
        <v>28570</v>
      </c>
      <c r="I138" s="9">
        <f t="shared" si="31"/>
        <v>20260939.264911093</v>
      </c>
      <c r="J138" s="50">
        <f t="shared" si="29"/>
        <v>1409084.5649110787</v>
      </c>
      <c r="K138" s="98">
        <f t="shared" si="30"/>
        <v>0.07474514244537847</v>
      </c>
    </row>
    <row r="139" spans="1:11" ht="12.75">
      <c r="A139" s="3">
        <v>41030</v>
      </c>
      <c r="B139" s="24">
        <v>18991152.07999999</v>
      </c>
      <c r="C139" s="114">
        <v>80.7</v>
      </c>
      <c r="D139" s="114">
        <v>36.7</v>
      </c>
      <c r="E139" s="9">
        <v>31</v>
      </c>
      <c r="F139" s="50">
        <v>1</v>
      </c>
      <c r="G139" s="138">
        <v>0</v>
      </c>
      <c r="H139" s="121">
        <v>28755</v>
      </c>
      <c r="I139" s="9">
        <f t="shared" si="31"/>
        <v>21002798.199985914</v>
      </c>
      <c r="J139" s="50">
        <f t="shared" si="29"/>
        <v>2011646.1199859232</v>
      </c>
      <c r="K139" s="98">
        <f t="shared" si="30"/>
        <v>0.10592543893661054</v>
      </c>
    </row>
    <row r="140" spans="1:11" ht="12.75">
      <c r="A140" s="3">
        <v>41061</v>
      </c>
      <c r="B140" s="24">
        <v>27898710.519999996</v>
      </c>
      <c r="C140" s="114">
        <v>23.2</v>
      </c>
      <c r="D140" s="114">
        <v>101.6</v>
      </c>
      <c r="E140" s="9">
        <v>30</v>
      </c>
      <c r="F140" s="50">
        <v>0</v>
      </c>
      <c r="G140" s="138">
        <v>0</v>
      </c>
      <c r="H140" s="121">
        <v>28856</v>
      </c>
      <c r="I140" s="9">
        <f t="shared" si="31"/>
        <v>25207586.54224287</v>
      </c>
      <c r="J140" s="50">
        <f t="shared" si="29"/>
        <v>-2691123.977757126</v>
      </c>
      <c r="K140" s="98">
        <f t="shared" si="30"/>
        <v>-0.09646051475489938</v>
      </c>
    </row>
    <row r="141" spans="1:11" ht="12.75">
      <c r="A141" s="3">
        <v>41091</v>
      </c>
      <c r="B141" s="24">
        <v>33515927.190000005</v>
      </c>
      <c r="C141" s="114">
        <v>0</v>
      </c>
      <c r="D141" s="114">
        <v>195.1</v>
      </c>
      <c r="E141" s="9">
        <v>31</v>
      </c>
      <c r="F141" s="50">
        <v>0</v>
      </c>
      <c r="G141" s="138">
        <v>0</v>
      </c>
      <c r="H141" s="121">
        <v>28963</v>
      </c>
      <c r="I141" s="9">
        <f t="shared" si="31"/>
        <v>29843549.21523666</v>
      </c>
      <c r="J141" s="50">
        <f t="shared" si="29"/>
        <v>-3672377.974763345</v>
      </c>
      <c r="K141" s="98">
        <f t="shared" si="30"/>
        <v>-0.10957112879332952</v>
      </c>
    </row>
    <row r="142" spans="1:11" ht="12.75">
      <c r="A142" s="3">
        <v>41122</v>
      </c>
      <c r="B142" s="24">
        <v>29969286.820000008</v>
      </c>
      <c r="C142" s="114">
        <v>2</v>
      </c>
      <c r="D142" s="114">
        <v>112.1</v>
      </c>
      <c r="E142" s="9">
        <v>31</v>
      </c>
      <c r="F142" s="50">
        <v>0</v>
      </c>
      <c r="G142" s="138">
        <v>0</v>
      </c>
      <c r="H142" s="121">
        <v>29039</v>
      </c>
      <c r="I142" s="9">
        <f t="shared" si="31"/>
        <v>26153654.5102233</v>
      </c>
      <c r="J142" s="50">
        <f t="shared" si="29"/>
        <v>-3815632.3097767085</v>
      </c>
      <c r="K142" s="98">
        <f t="shared" si="30"/>
        <v>-0.1273180884381388</v>
      </c>
    </row>
    <row r="143" spans="1:11" ht="12.75">
      <c r="A143" s="3">
        <v>41153</v>
      </c>
      <c r="B143" s="24">
        <v>21178062.030000005</v>
      </c>
      <c r="C143" s="114">
        <v>85</v>
      </c>
      <c r="D143" s="114">
        <v>35.6</v>
      </c>
      <c r="E143" s="9">
        <v>30</v>
      </c>
      <c r="F143" s="50">
        <v>1</v>
      </c>
      <c r="G143" s="138">
        <v>0</v>
      </c>
      <c r="H143" s="121">
        <v>29133</v>
      </c>
      <c r="I143" s="9">
        <f t="shared" si="31"/>
        <v>20717679.429161895</v>
      </c>
      <c r="J143" s="50">
        <f t="shared" si="29"/>
        <v>-460382.60083810985</v>
      </c>
      <c r="K143" s="98">
        <f t="shared" si="30"/>
        <v>-0.021738655793242558</v>
      </c>
    </row>
    <row r="144" spans="1:11" ht="12.75">
      <c r="A144" s="3">
        <v>41183</v>
      </c>
      <c r="B144" s="24">
        <v>19579886.000000007</v>
      </c>
      <c r="C144" s="114">
        <v>242.5</v>
      </c>
      <c r="D144" s="114">
        <v>1.1</v>
      </c>
      <c r="E144" s="9">
        <v>31</v>
      </c>
      <c r="F144" s="50">
        <v>1</v>
      </c>
      <c r="G144" s="138">
        <v>0</v>
      </c>
      <c r="H144" s="121">
        <v>29289</v>
      </c>
      <c r="I144" s="9">
        <f t="shared" si="31"/>
        <v>20743789.212721422</v>
      </c>
      <c r="J144" s="50">
        <f t="shared" si="29"/>
        <v>1163903.2127214149</v>
      </c>
      <c r="K144" s="98">
        <f t="shared" si="30"/>
        <v>0.05944381967910408</v>
      </c>
    </row>
    <row r="145" spans="1:11" ht="12.75">
      <c r="A145" s="3">
        <v>41214</v>
      </c>
      <c r="B145" s="24">
        <v>21421956.51</v>
      </c>
      <c r="C145" s="113">
        <v>434</v>
      </c>
      <c r="D145" s="113">
        <v>0</v>
      </c>
      <c r="E145" s="9">
        <v>30</v>
      </c>
      <c r="F145" s="50">
        <v>1</v>
      </c>
      <c r="G145" s="138">
        <v>0</v>
      </c>
      <c r="H145" s="121">
        <v>29378</v>
      </c>
      <c r="I145" s="9">
        <f t="shared" si="31"/>
        <v>21464764.193838693</v>
      </c>
      <c r="J145" s="50">
        <f t="shared" si="29"/>
        <v>42807.68383869156</v>
      </c>
      <c r="K145" s="98">
        <f t="shared" si="30"/>
        <v>0.0019983087827999497</v>
      </c>
    </row>
    <row r="146" spans="1:11" ht="12.75">
      <c r="A146" s="3">
        <v>41244</v>
      </c>
      <c r="B146" s="24">
        <v>25587420.26999997</v>
      </c>
      <c r="C146" s="113">
        <v>533.5</v>
      </c>
      <c r="D146" s="113">
        <v>0</v>
      </c>
      <c r="E146" s="9">
        <v>31</v>
      </c>
      <c r="F146" s="50">
        <v>0</v>
      </c>
      <c r="G146" s="138">
        <v>0</v>
      </c>
      <c r="H146" s="121">
        <v>29614</v>
      </c>
      <c r="I146" s="9">
        <f t="shared" si="31"/>
        <v>24800338.677539192</v>
      </c>
      <c r="J146" s="50">
        <f t="shared" si="29"/>
        <v>-787081.5924607776</v>
      </c>
      <c r="K146" s="98">
        <f t="shared" si="30"/>
        <v>-0.030760490278247912</v>
      </c>
    </row>
    <row r="147" spans="1:11" ht="12.75">
      <c r="A147" s="3">
        <v>41275</v>
      </c>
      <c r="B147" s="80">
        <v>24654099.01999999</v>
      </c>
      <c r="C147" s="113">
        <v>624.4</v>
      </c>
      <c r="D147" s="113">
        <v>0</v>
      </c>
      <c r="E147" s="9">
        <v>31</v>
      </c>
      <c r="F147" s="50">
        <v>0</v>
      </c>
      <c r="G147" s="138">
        <v>0</v>
      </c>
      <c r="H147" s="121">
        <v>29835</v>
      </c>
      <c r="I147" s="9">
        <f t="shared" si="31"/>
        <v>25509891.144188665</v>
      </c>
      <c r="J147" s="50">
        <f t="shared" si="29"/>
        <v>855792.1241886765</v>
      </c>
      <c r="K147" s="98">
        <f t="shared" si="30"/>
        <v>0.0347119610209417</v>
      </c>
    </row>
    <row r="148" spans="1:11" ht="12.75">
      <c r="A148" s="3">
        <v>41306</v>
      </c>
      <c r="B148" s="24">
        <v>23135370.840000026</v>
      </c>
      <c r="C148" s="113">
        <v>631.5</v>
      </c>
      <c r="D148" s="113">
        <v>0</v>
      </c>
      <c r="E148" s="9">
        <v>28</v>
      </c>
      <c r="F148" s="50">
        <v>0</v>
      </c>
      <c r="G148" s="138">
        <v>0</v>
      </c>
      <c r="H148" s="121">
        <v>29989</v>
      </c>
      <c r="I148" s="9">
        <f t="shared" si="31"/>
        <v>24167504.855232455</v>
      </c>
      <c r="J148" s="50">
        <f t="shared" si="29"/>
        <v>1032134.0152324289</v>
      </c>
      <c r="K148" s="98">
        <f t="shared" si="30"/>
        <v>0.04461281482672044</v>
      </c>
    </row>
    <row r="149" spans="1:11" ht="12.75">
      <c r="A149" s="3">
        <v>41334</v>
      </c>
      <c r="B149" s="24">
        <v>22963588.829999994</v>
      </c>
      <c r="C149" s="113">
        <v>554.8</v>
      </c>
      <c r="D149" s="113">
        <v>0</v>
      </c>
      <c r="E149" s="9">
        <v>31</v>
      </c>
      <c r="F149" s="50">
        <v>1</v>
      </c>
      <c r="G149" s="138">
        <v>0</v>
      </c>
      <c r="H149" s="121">
        <v>30236</v>
      </c>
      <c r="I149" s="9">
        <f t="shared" si="31"/>
        <v>23246697.573530935</v>
      </c>
      <c r="J149" s="50">
        <f t="shared" si="29"/>
        <v>283108.74353094026</v>
      </c>
      <c r="K149" s="98">
        <f t="shared" si="30"/>
        <v>0.012328593131796652</v>
      </c>
    </row>
    <row r="150" spans="1:11" ht="12.75">
      <c r="A150" s="3">
        <v>41365</v>
      </c>
      <c r="B150" s="24">
        <v>19590025.609999973</v>
      </c>
      <c r="C150" s="113">
        <v>358.6</v>
      </c>
      <c r="D150" s="113">
        <v>0</v>
      </c>
      <c r="E150" s="9">
        <v>30</v>
      </c>
      <c r="F150" s="50">
        <v>1</v>
      </c>
      <c r="G150" s="138">
        <v>0</v>
      </c>
      <c r="H150" s="121">
        <v>30511</v>
      </c>
      <c r="I150" s="9">
        <f t="shared" si="31"/>
        <v>21681356.201388158</v>
      </c>
      <c r="J150" s="50">
        <f t="shared" si="29"/>
        <v>2091330.5913881846</v>
      </c>
      <c r="K150" s="98">
        <f t="shared" si="30"/>
        <v>0.10675486765676502</v>
      </c>
    </row>
    <row r="151" spans="1:11" ht="12.75">
      <c r="A151" s="3">
        <v>41395</v>
      </c>
      <c r="B151" s="24">
        <v>20707182.480000004</v>
      </c>
      <c r="C151" s="113">
        <v>109.1</v>
      </c>
      <c r="D151" s="113">
        <v>23.1</v>
      </c>
      <c r="E151" s="9">
        <v>31</v>
      </c>
      <c r="F151" s="50">
        <v>1</v>
      </c>
      <c r="G151" s="138">
        <v>0</v>
      </c>
      <c r="H151" s="121">
        <v>30723</v>
      </c>
      <c r="I151" s="9">
        <f t="shared" si="31"/>
        <v>21771723.914416924</v>
      </c>
      <c r="J151" s="50">
        <f t="shared" si="29"/>
        <v>1064541.43441692</v>
      </c>
      <c r="K151" s="98">
        <f t="shared" si="30"/>
        <v>0.05140928445698035</v>
      </c>
    </row>
    <row r="152" spans="1:11" ht="12.75">
      <c r="A152" s="3">
        <v>41426</v>
      </c>
      <c r="B152" s="24">
        <v>24630971.620000005</v>
      </c>
      <c r="C152" s="113">
        <f>5.9+27.1</f>
        <v>33</v>
      </c>
      <c r="D152" s="113">
        <f>43.6+7.2</f>
        <v>50.800000000000004</v>
      </c>
      <c r="E152" s="9">
        <v>30</v>
      </c>
      <c r="F152" s="50">
        <v>0</v>
      </c>
      <c r="G152" s="138">
        <v>0</v>
      </c>
      <c r="H152" s="121">
        <v>30825</v>
      </c>
      <c r="I152" s="9">
        <f t="shared" si="31"/>
        <v>24179312.146915272</v>
      </c>
      <c r="J152" s="50">
        <f t="shared" si="29"/>
        <v>-451659.4730847329</v>
      </c>
      <c r="K152" s="98">
        <f t="shared" si="30"/>
        <v>-0.01833705466649118</v>
      </c>
    </row>
    <row r="153" spans="1:11" ht="12.75">
      <c r="A153" s="3">
        <v>41456</v>
      </c>
      <c r="B153" s="24">
        <v>30978235.180000015</v>
      </c>
      <c r="C153" s="113">
        <v>1.3</v>
      </c>
      <c r="D153" s="113">
        <v>120.8</v>
      </c>
      <c r="E153" s="9">
        <v>31</v>
      </c>
      <c r="F153" s="50">
        <v>0</v>
      </c>
      <c r="G153" s="138">
        <v>0</v>
      </c>
      <c r="H153" s="121">
        <v>30936</v>
      </c>
      <c r="I153" s="9">
        <f t="shared" si="31"/>
        <v>27702542.961901065</v>
      </c>
      <c r="J153" s="50">
        <f t="shared" si="29"/>
        <v>-3275692.2180989496</v>
      </c>
      <c r="K153" s="98">
        <f t="shared" si="30"/>
        <v>-0.10574173122082121</v>
      </c>
    </row>
    <row r="154" spans="1:11" ht="12.75">
      <c r="A154" s="3">
        <v>41487</v>
      </c>
      <c r="B154" s="24">
        <v>28353597.569999993</v>
      </c>
      <c r="C154" s="113">
        <v>4.4</v>
      </c>
      <c r="D154" s="113">
        <v>93.8</v>
      </c>
      <c r="E154" s="9">
        <v>31</v>
      </c>
      <c r="F154" s="50">
        <v>0</v>
      </c>
      <c r="G154" s="138">
        <v>0</v>
      </c>
      <c r="H154" s="121">
        <v>30985</v>
      </c>
      <c r="I154" s="9">
        <f t="shared" si="31"/>
        <v>26532542.491756123</v>
      </c>
      <c r="J154" s="50">
        <f t="shared" si="29"/>
        <v>-1821055.0782438703</v>
      </c>
      <c r="K154" s="98">
        <f t="shared" si="30"/>
        <v>-0.06422659677481875</v>
      </c>
    </row>
    <row r="155" spans="1:11" ht="12.75">
      <c r="A155" s="3">
        <v>41518</v>
      </c>
      <c r="B155" s="24">
        <v>20823560.83000001</v>
      </c>
      <c r="C155" s="113">
        <v>83</v>
      </c>
      <c r="D155" s="113">
        <v>28.1</v>
      </c>
      <c r="E155" s="9">
        <v>30</v>
      </c>
      <c r="F155" s="50">
        <v>1</v>
      </c>
      <c r="G155" s="138">
        <v>0</v>
      </c>
      <c r="H155" s="121">
        <v>31028</v>
      </c>
      <c r="I155" s="9">
        <f t="shared" si="31"/>
        <v>21525393.8936643</v>
      </c>
      <c r="J155" s="50">
        <f t="shared" si="29"/>
        <v>701833.063664291</v>
      </c>
      <c r="K155" s="98">
        <f t="shared" si="30"/>
        <v>0.03370379683829947</v>
      </c>
    </row>
    <row r="156" spans="1:11" ht="12.75">
      <c r="A156" s="3">
        <v>41548</v>
      </c>
      <c r="B156" s="24">
        <v>20892190.98999999</v>
      </c>
      <c r="C156" s="113">
        <v>208.5</v>
      </c>
      <c r="D156" s="113">
        <v>0.4</v>
      </c>
      <c r="E156" s="9">
        <v>31</v>
      </c>
      <c r="F156" s="50">
        <v>1</v>
      </c>
      <c r="G156" s="138">
        <v>0</v>
      </c>
      <c r="H156" s="121">
        <v>31160</v>
      </c>
      <c r="I156" s="9">
        <f t="shared" si="31"/>
        <v>21641772.623163804</v>
      </c>
      <c r="J156" s="50">
        <f t="shared" si="29"/>
        <v>749581.6331638135</v>
      </c>
      <c r="K156" s="98">
        <f t="shared" si="30"/>
        <v>0.035878555462306436</v>
      </c>
    </row>
    <row r="157" spans="1:11" ht="12.75">
      <c r="A157" s="3">
        <v>41579</v>
      </c>
      <c r="B157" s="24">
        <v>21740451.74999999</v>
      </c>
      <c r="C157" s="113">
        <v>478.2</v>
      </c>
      <c r="D157" s="113">
        <v>0</v>
      </c>
      <c r="E157" s="9">
        <v>30</v>
      </c>
      <c r="F157" s="50">
        <v>1</v>
      </c>
      <c r="G157" s="138">
        <v>0</v>
      </c>
      <c r="H157" s="121">
        <v>31231</v>
      </c>
      <c r="I157" s="9">
        <f t="shared" si="31"/>
        <v>22877480.738910347</v>
      </c>
      <c r="J157" s="50">
        <f t="shared" si="29"/>
        <v>1137028.9889103584</v>
      </c>
      <c r="K157" s="98">
        <f t="shared" si="30"/>
        <v>0.052300154660326184</v>
      </c>
    </row>
    <row r="158" spans="1:11" ht="12.75">
      <c r="A158" s="3">
        <v>41609</v>
      </c>
      <c r="B158" s="24">
        <v>28821858.80999999</v>
      </c>
      <c r="C158" s="113">
        <v>687.9</v>
      </c>
      <c r="D158" s="113">
        <v>0</v>
      </c>
      <c r="E158" s="9">
        <v>31</v>
      </c>
      <c r="F158" s="50">
        <v>0</v>
      </c>
      <c r="G158" s="138">
        <v>0</v>
      </c>
      <c r="H158" s="121">
        <v>31309</v>
      </c>
      <c r="I158" s="9">
        <f t="shared" si="31"/>
        <v>26812735.50887748</v>
      </c>
      <c r="J158" s="50">
        <f t="shared" si="29"/>
        <v>-2009123.3011225127</v>
      </c>
      <c r="K158" s="98">
        <f t="shared" si="30"/>
        <v>-0.06970831806397684</v>
      </c>
    </row>
    <row r="159" spans="1:20" ht="12.75">
      <c r="A159" s="3">
        <v>41640</v>
      </c>
      <c r="B159" s="24">
        <v>26189486.200000007</v>
      </c>
      <c r="C159" s="113">
        <v>825.9</v>
      </c>
      <c r="D159" s="113">
        <v>0</v>
      </c>
      <c r="E159" s="9">
        <v>31</v>
      </c>
      <c r="F159" s="50">
        <v>0</v>
      </c>
      <c r="G159" s="138">
        <v>0</v>
      </c>
      <c r="H159" s="121">
        <v>31327</v>
      </c>
      <c r="I159" s="9">
        <f t="shared" si="31"/>
        <v>27695730.899508875</v>
      </c>
      <c r="J159" s="50">
        <f t="shared" si="29"/>
        <v>1506244.6995088682</v>
      </c>
      <c r="K159" s="98">
        <f t="shared" si="30"/>
        <v>0.05751333523713297</v>
      </c>
      <c r="L159" s="139"/>
      <c r="M159" s="139"/>
      <c r="N159" s="139"/>
      <c r="O159" s="139"/>
      <c r="P159" s="140"/>
      <c r="Q159" s="139"/>
      <c r="R159" s="139"/>
      <c r="S159" s="139"/>
      <c r="T159" s="139"/>
    </row>
    <row r="160" spans="1:11" ht="12.75">
      <c r="A160" s="3">
        <v>41671</v>
      </c>
      <c r="B160" s="24">
        <v>26203678.18999999</v>
      </c>
      <c r="C160" s="113">
        <v>737.1</v>
      </c>
      <c r="D160" s="113">
        <v>0</v>
      </c>
      <c r="E160" s="9">
        <v>28</v>
      </c>
      <c r="F160" s="50">
        <v>0</v>
      </c>
      <c r="G160" s="138">
        <v>0</v>
      </c>
      <c r="H160" s="121">
        <v>31341</v>
      </c>
      <c r="I160" s="9">
        <f t="shared" si="31"/>
        <v>25661743.918424483</v>
      </c>
      <c r="J160" s="50">
        <f t="shared" si="29"/>
        <v>-541934.2715755068</v>
      </c>
      <c r="K160" s="98">
        <f t="shared" si="30"/>
        <v>-0.02068161071304574</v>
      </c>
    </row>
    <row r="161" spans="1:11" ht="12.75">
      <c r="A161" s="3">
        <v>41699</v>
      </c>
      <c r="B161" s="24">
        <v>23971257.690000013</v>
      </c>
      <c r="C161" s="113">
        <v>690.6</v>
      </c>
      <c r="D161" s="113">
        <v>0</v>
      </c>
      <c r="E161" s="9">
        <v>31</v>
      </c>
      <c r="F161" s="50">
        <v>1</v>
      </c>
      <c r="G161" s="138">
        <v>0</v>
      </c>
      <c r="H161" s="121">
        <v>31333</v>
      </c>
      <c r="I161" s="9">
        <f t="shared" si="31"/>
        <v>24775786.00408837</v>
      </c>
      <c r="J161" s="50">
        <f t="shared" si="29"/>
        <v>804528.3140883557</v>
      </c>
      <c r="K161" s="98">
        <f t="shared" si="30"/>
        <v>0.03356220706033198</v>
      </c>
    </row>
    <row r="162" spans="1:11" ht="12.75">
      <c r="A162" s="3">
        <v>41730</v>
      </c>
      <c r="B162" s="24">
        <v>21900568.520000003</v>
      </c>
      <c r="C162" s="113">
        <v>356.9</v>
      </c>
      <c r="D162" s="113">
        <v>0</v>
      </c>
      <c r="E162" s="9">
        <v>30</v>
      </c>
      <c r="F162" s="50">
        <v>1</v>
      </c>
      <c r="G162" s="138">
        <v>0</v>
      </c>
      <c r="H162" s="121">
        <v>31349</v>
      </c>
      <c r="I162" s="9">
        <f t="shared" si="31"/>
        <v>22183195.619075097</v>
      </c>
      <c r="J162" s="50">
        <f t="shared" si="29"/>
        <v>282627.09907509387</v>
      </c>
      <c r="K162" s="98">
        <f t="shared" si="30"/>
        <v>0.012905011977976444</v>
      </c>
    </row>
    <row r="163" spans="1:11" ht="12.75">
      <c r="A163" s="3">
        <v>41760</v>
      </c>
      <c r="B163" s="24">
        <v>20478356.049999967</v>
      </c>
      <c r="C163" s="113">
        <v>132.1</v>
      </c>
      <c r="D163" s="113">
        <v>11.9</v>
      </c>
      <c r="E163" s="9">
        <v>31</v>
      </c>
      <c r="F163" s="50">
        <v>1</v>
      </c>
      <c r="G163" s="138">
        <v>0</v>
      </c>
      <c r="H163" s="121">
        <v>31435</v>
      </c>
      <c r="I163" s="9">
        <f t="shared" si="31"/>
        <v>21846673.6152796</v>
      </c>
      <c r="J163" s="50">
        <f aca="true" t="shared" si="32" ref="J163:J170">+I163-B163</f>
        <v>1368317.5652796328</v>
      </c>
      <c r="K163" s="98">
        <f aca="true" t="shared" si="33" ref="K163:K170">+J163/B163</f>
        <v>0.066817744644089</v>
      </c>
    </row>
    <row r="164" spans="1:11" ht="12.75">
      <c r="A164" s="3">
        <v>41791</v>
      </c>
      <c r="B164" s="24">
        <v>24401887.909999993</v>
      </c>
      <c r="C164" s="113">
        <v>14.1</v>
      </c>
      <c r="D164" s="113">
        <v>68.1</v>
      </c>
      <c r="E164" s="9">
        <v>30</v>
      </c>
      <c r="F164" s="50">
        <v>0</v>
      </c>
      <c r="G164" s="138">
        <v>0</v>
      </c>
      <c r="H164" s="121">
        <v>31553</v>
      </c>
      <c r="I164" s="9">
        <f t="shared" si="31"/>
        <v>25286607.488870457</v>
      </c>
      <c r="J164" s="50">
        <f t="shared" si="32"/>
        <v>884719.5788704641</v>
      </c>
      <c r="K164" s="98">
        <f t="shared" si="33"/>
        <v>0.03625619387047108</v>
      </c>
    </row>
    <row r="165" spans="1:11" ht="12.75">
      <c r="A165" s="3">
        <v>41821</v>
      </c>
      <c r="B165" s="24">
        <v>28438794.999999996</v>
      </c>
      <c r="C165" s="113">
        <v>4</v>
      </c>
      <c r="D165" s="113">
        <v>71</v>
      </c>
      <c r="E165" s="9">
        <v>31</v>
      </c>
      <c r="F165" s="50">
        <v>0</v>
      </c>
      <c r="G165" s="138">
        <v>0</v>
      </c>
      <c r="H165" s="121">
        <v>31756</v>
      </c>
      <c r="I165" s="9">
        <f t="shared" si="31"/>
        <v>25971763.15634924</v>
      </c>
      <c r="J165" s="50">
        <f t="shared" si="32"/>
        <v>-2467031.8436507545</v>
      </c>
      <c r="K165" s="98">
        <f t="shared" si="33"/>
        <v>-0.08674881772067891</v>
      </c>
    </row>
    <row r="166" spans="1:11" ht="12.75">
      <c r="A166" s="3">
        <v>41852</v>
      </c>
      <c r="B166" s="24">
        <v>26308447.180000015</v>
      </c>
      <c r="C166" s="113">
        <v>8.8</v>
      </c>
      <c r="D166" s="113">
        <v>81.8</v>
      </c>
      <c r="E166" s="9">
        <v>31</v>
      </c>
      <c r="F166" s="50">
        <v>0</v>
      </c>
      <c r="G166" s="138">
        <v>0</v>
      </c>
      <c r="H166" s="121">
        <v>31837</v>
      </c>
      <c r="I166" s="9">
        <f t="shared" si="31"/>
        <v>26539462.71650505</v>
      </c>
      <c r="J166" s="50">
        <f t="shared" si="32"/>
        <v>231015.53650503606</v>
      </c>
      <c r="K166" s="98">
        <f t="shared" si="33"/>
        <v>0.008781040360324144</v>
      </c>
    </row>
    <row r="167" spans="1:11" ht="12.75">
      <c r="A167" s="3">
        <v>41883</v>
      </c>
      <c r="B167" s="24">
        <v>21592645.63</v>
      </c>
      <c r="C167" s="113">
        <v>69.7</v>
      </c>
      <c r="D167" s="113">
        <v>30.1</v>
      </c>
      <c r="E167" s="9">
        <v>30</v>
      </c>
      <c r="F167" s="50">
        <v>1</v>
      </c>
      <c r="G167" s="138">
        <v>0</v>
      </c>
      <c r="H167" s="121">
        <v>31970</v>
      </c>
      <c r="I167" s="9">
        <f t="shared" si="31"/>
        <v>22107887.71444936</v>
      </c>
      <c r="J167" s="50">
        <f t="shared" si="32"/>
        <v>515242.084449362</v>
      </c>
      <c r="K167" s="98">
        <f t="shared" si="33"/>
        <v>0.023861924716325835</v>
      </c>
    </row>
    <row r="168" spans="1:14" ht="12.75">
      <c r="A168" s="3">
        <v>41913</v>
      </c>
      <c r="B168" s="24">
        <v>21211727.290000003</v>
      </c>
      <c r="C168" s="113">
        <v>224.3</v>
      </c>
      <c r="D168" s="113">
        <v>1.3</v>
      </c>
      <c r="E168" s="9">
        <v>31</v>
      </c>
      <c r="F168" s="50">
        <v>1</v>
      </c>
      <c r="G168" s="138">
        <v>0</v>
      </c>
      <c r="H168" s="121">
        <v>32106</v>
      </c>
      <c r="I168" s="9">
        <f t="shared" si="31"/>
        <v>22360902.49455665</v>
      </c>
      <c r="J168" s="50">
        <f t="shared" si="32"/>
        <v>1149175.2045566477</v>
      </c>
      <c r="K168" s="98">
        <f t="shared" si="33"/>
        <v>0.054176408589714974</v>
      </c>
      <c r="L168" s="217" t="s">
        <v>143</v>
      </c>
      <c r="M168" s="210" t="s">
        <v>144</v>
      </c>
      <c r="N168" s="216" t="s">
        <v>174</v>
      </c>
    </row>
    <row r="169" spans="1:14" ht="12.75">
      <c r="A169" s="3">
        <v>41944</v>
      </c>
      <c r="B169" s="24">
        <v>22391892.130000006</v>
      </c>
      <c r="C169" s="113">
        <v>482.1</v>
      </c>
      <c r="D169" s="113">
        <v>0</v>
      </c>
      <c r="E169" s="9">
        <v>30</v>
      </c>
      <c r="F169" s="50">
        <v>1</v>
      </c>
      <c r="G169" s="138">
        <v>0</v>
      </c>
      <c r="H169" s="121">
        <v>32208</v>
      </c>
      <c r="I169" s="9">
        <f t="shared" si="31"/>
        <v>23499727.496469043</v>
      </c>
      <c r="J169" s="50">
        <f t="shared" si="32"/>
        <v>1107835.3664690368</v>
      </c>
      <c r="K169" s="98">
        <f t="shared" si="33"/>
        <v>0.04947484384246346</v>
      </c>
      <c r="L169" s="217"/>
      <c r="M169" s="210"/>
      <c r="N169" s="217"/>
    </row>
    <row r="170" spans="1:14" ht="12.75">
      <c r="A170" s="3">
        <v>41974</v>
      </c>
      <c r="B170" s="24">
        <v>27503240.840000004</v>
      </c>
      <c r="C170" s="110">
        <v>557.3</v>
      </c>
      <c r="D170" s="110">
        <v>0</v>
      </c>
      <c r="E170" s="9">
        <v>31</v>
      </c>
      <c r="F170" s="50">
        <v>0</v>
      </c>
      <c r="G170" s="138">
        <v>0</v>
      </c>
      <c r="H170" s="121">
        <v>32268</v>
      </c>
      <c r="I170" s="9">
        <f t="shared" si="31"/>
        <v>26574102.444800977</v>
      </c>
      <c r="J170" s="50">
        <f t="shared" si="32"/>
        <v>-929138.3951990269</v>
      </c>
      <c r="K170" s="98">
        <f t="shared" si="33"/>
        <v>-0.033782869466339835</v>
      </c>
      <c r="L170" s="217"/>
      <c r="M170" s="210"/>
      <c r="N170" s="217"/>
    </row>
    <row r="171" spans="1:14" ht="12.75">
      <c r="A171" s="3">
        <v>42005</v>
      </c>
      <c r="B171" s="24">
        <f>3396745+23477914</f>
        <v>26874659</v>
      </c>
      <c r="C171" s="102">
        <v>792.4</v>
      </c>
      <c r="D171" s="102">
        <v>0</v>
      </c>
      <c r="E171" s="9">
        <v>31</v>
      </c>
      <c r="F171" s="50">
        <v>0</v>
      </c>
      <c r="G171" s="138">
        <v>0</v>
      </c>
      <c r="H171" s="121">
        <v>32346</v>
      </c>
      <c r="I171" s="9">
        <f t="shared" si="31"/>
        <v>28107347.235997904</v>
      </c>
      <c r="J171" s="50">
        <f aca="true" t="shared" si="34" ref="J171:J179">+I171-B171</f>
        <v>1232688.235997904</v>
      </c>
      <c r="K171" s="98">
        <f aca="true" t="shared" si="35" ref="K171:K179">+J171/B171</f>
        <v>0.04586805123733492</v>
      </c>
      <c r="L171" s="40">
        <f>+I171-M171</f>
        <v>28107347.235997904</v>
      </c>
      <c r="M171" s="40"/>
      <c r="N171" s="81"/>
    </row>
    <row r="172" spans="1:14" ht="12.75">
      <c r="A172" s="3">
        <v>42036</v>
      </c>
      <c r="B172" s="24">
        <v>26416338</v>
      </c>
      <c r="C172" s="102">
        <v>856.8</v>
      </c>
      <c r="D172" s="102">
        <v>0</v>
      </c>
      <c r="E172" s="9">
        <v>28</v>
      </c>
      <c r="F172" s="50">
        <v>0</v>
      </c>
      <c r="G172" s="138">
        <v>0</v>
      </c>
      <c r="H172" s="121">
        <v>32433</v>
      </c>
      <c r="I172" s="9">
        <f t="shared" si="31"/>
        <v>27086042.370826825</v>
      </c>
      <c r="J172" s="50">
        <f t="shared" si="34"/>
        <v>669704.3708268255</v>
      </c>
      <c r="K172" s="98">
        <f t="shared" si="35"/>
        <v>0.02535190043475464</v>
      </c>
      <c r="L172" s="40">
        <f aca="true" t="shared" si="36" ref="L172:L193">+I172-M172</f>
        <v>27086042.370826825</v>
      </c>
      <c r="M172" s="40"/>
      <c r="N172" s="81"/>
    </row>
    <row r="173" spans="1:14" ht="12.75">
      <c r="A173" s="3">
        <v>42064</v>
      </c>
      <c r="B173" s="24">
        <v>24185917</v>
      </c>
      <c r="C173" s="102">
        <v>615.5</v>
      </c>
      <c r="D173" s="102">
        <v>0.02</v>
      </c>
      <c r="E173" s="9">
        <v>31</v>
      </c>
      <c r="F173" s="50">
        <v>1</v>
      </c>
      <c r="G173" s="138">
        <v>0</v>
      </c>
      <c r="H173" s="121">
        <v>32524</v>
      </c>
      <c r="I173" s="9">
        <f t="shared" si="31"/>
        <v>25030653.994933635</v>
      </c>
      <c r="J173" s="50">
        <f t="shared" si="34"/>
        <v>844736.994933635</v>
      </c>
      <c r="K173" s="98">
        <f t="shared" si="35"/>
        <v>0.03492681277842949</v>
      </c>
      <c r="L173" s="40">
        <f t="shared" si="36"/>
        <v>25030653.994933635</v>
      </c>
      <c r="M173" s="40"/>
      <c r="N173" s="81"/>
    </row>
    <row r="174" spans="1:14" ht="12.75">
      <c r="A174" s="3">
        <v>42095</v>
      </c>
      <c r="B174" s="24">
        <v>20379766</v>
      </c>
      <c r="C174" s="102">
        <v>313.7</v>
      </c>
      <c r="D174" s="102">
        <v>0.12</v>
      </c>
      <c r="E174" s="9">
        <v>30</v>
      </c>
      <c r="F174" s="50">
        <v>1</v>
      </c>
      <c r="G174" s="138">
        <v>0</v>
      </c>
      <c r="H174" s="121">
        <v>32605</v>
      </c>
      <c r="I174" s="9">
        <f t="shared" si="31"/>
        <v>22683906.805200092</v>
      </c>
      <c r="J174" s="50">
        <f t="shared" si="34"/>
        <v>2304140.8052000925</v>
      </c>
      <c r="K174" s="98">
        <f t="shared" si="35"/>
        <v>0.1130602189053639</v>
      </c>
      <c r="L174" s="40">
        <f t="shared" si="36"/>
        <v>22683906.805200092</v>
      </c>
      <c r="M174" s="40"/>
      <c r="N174" s="81"/>
    </row>
    <row r="175" spans="1:14" ht="12.75">
      <c r="A175" s="3">
        <v>42125</v>
      </c>
      <c r="B175" s="24">
        <f>+GETPIVOTDATA("billed_consum",'[2]Pivot'!$A$4,"post_yr_month",DATE(2015,6,1),"Description","Residential")</f>
        <v>21450565.65000002</v>
      </c>
      <c r="C175" s="179">
        <v>89.3</v>
      </c>
      <c r="D175" s="102">
        <v>34.1</v>
      </c>
      <c r="E175" s="9">
        <v>31</v>
      </c>
      <c r="F175" s="50">
        <v>1</v>
      </c>
      <c r="G175" s="138">
        <v>0</v>
      </c>
      <c r="H175" s="121">
        <v>32646</v>
      </c>
      <c r="I175" s="9">
        <f t="shared" si="31"/>
        <v>23319716.508161012</v>
      </c>
      <c r="J175" s="50">
        <f t="shared" si="34"/>
        <v>1869150.8581609912</v>
      </c>
      <c r="K175" s="98">
        <f t="shared" si="35"/>
        <v>0.08713760227395166</v>
      </c>
      <c r="L175" s="40">
        <f t="shared" si="36"/>
        <v>23319716.508161012</v>
      </c>
      <c r="M175" s="40"/>
      <c r="N175" s="81"/>
    </row>
    <row r="176" spans="1:14" ht="12.75">
      <c r="A176" s="3">
        <v>42156</v>
      </c>
      <c r="B176" s="24">
        <f>+GETPIVOTDATA("billed_consum",'[2]Pivot'!$A$4,"post_yr_month",DATE(2015,7,1),"Description","Residential")</f>
        <v>24815894.37</v>
      </c>
      <c r="C176" s="180">
        <v>33.8</v>
      </c>
      <c r="D176" s="102">
        <v>32.3</v>
      </c>
      <c r="E176" s="9">
        <v>30</v>
      </c>
      <c r="F176" s="50">
        <v>0</v>
      </c>
      <c r="G176" s="138">
        <v>0</v>
      </c>
      <c r="H176" s="121">
        <v>32729</v>
      </c>
      <c r="I176" s="9">
        <f t="shared" si="31"/>
        <v>24513366.14221855</v>
      </c>
      <c r="J176" s="50">
        <f t="shared" si="34"/>
        <v>-302528.22778145224</v>
      </c>
      <c r="K176" s="98">
        <f t="shared" si="35"/>
        <v>-0.012190905686122657</v>
      </c>
      <c r="L176" s="40">
        <f t="shared" si="36"/>
        <v>24513366.14221855</v>
      </c>
      <c r="M176" s="40"/>
      <c r="N176" s="81"/>
    </row>
    <row r="177" spans="1:14" ht="12.75">
      <c r="A177" s="3">
        <v>42186</v>
      </c>
      <c r="B177" s="24">
        <f>+GETPIVOTDATA("billed_consum",'[2]Pivot'!$A$4,"post_yr_month",DATE(2015,8,1),"Description","Residential")</f>
        <v>31670254.62000002</v>
      </c>
      <c r="C177" s="180">
        <v>4</v>
      </c>
      <c r="D177" s="102">
        <v>114.3</v>
      </c>
      <c r="E177" s="9">
        <v>31</v>
      </c>
      <c r="F177" s="50">
        <v>0</v>
      </c>
      <c r="G177" s="138">
        <v>0</v>
      </c>
      <c r="H177" s="121">
        <v>32779</v>
      </c>
      <c r="I177" s="9">
        <f t="shared" si="31"/>
        <v>28553317.430871375</v>
      </c>
      <c r="J177" s="50">
        <f t="shared" si="34"/>
        <v>-3116937.1891286448</v>
      </c>
      <c r="K177" s="98">
        <f t="shared" si="35"/>
        <v>-0.09841844426347851</v>
      </c>
      <c r="L177" s="40">
        <f t="shared" si="36"/>
        <v>28553317.430871375</v>
      </c>
      <c r="M177" s="40"/>
      <c r="N177" s="81"/>
    </row>
    <row r="178" spans="1:14" ht="12.75">
      <c r="A178" s="3">
        <v>42217</v>
      </c>
      <c r="B178" s="24">
        <f>+GETPIVOTDATA("billed_consum",'[2]Pivot'!$A$4,"post_yr_month",DATE(2015,9,1),"Description","Residential")</f>
        <v>29294457.92000001</v>
      </c>
      <c r="C178" s="180">
        <v>4.4</v>
      </c>
      <c r="D178" s="102">
        <v>88.6</v>
      </c>
      <c r="E178" s="9">
        <v>31</v>
      </c>
      <c r="F178" s="50">
        <v>0</v>
      </c>
      <c r="G178" s="138">
        <v>0</v>
      </c>
      <c r="H178" s="121">
        <v>32817</v>
      </c>
      <c r="I178" s="9">
        <f t="shared" si="31"/>
        <v>27418247.56394993</v>
      </c>
      <c r="J178" s="50">
        <f t="shared" si="34"/>
        <v>-1876210.3560500778</v>
      </c>
      <c r="K178" s="98">
        <f t="shared" si="35"/>
        <v>-0.06404659752277393</v>
      </c>
      <c r="L178" s="40">
        <f t="shared" si="36"/>
        <v>27418247.56394993</v>
      </c>
      <c r="M178" s="40"/>
      <c r="N178" s="81"/>
    </row>
    <row r="179" spans="1:14" ht="12.75">
      <c r="A179" s="3">
        <v>42248</v>
      </c>
      <c r="B179" s="24">
        <f>+GETPIVOTDATA("billed_consum",'[2]Pivot'!$A$4,"post_yr_month",DATE(2015,10,1),"Description","Residential")</f>
        <v>26319422.480000004</v>
      </c>
      <c r="C179" s="180">
        <v>31.1</v>
      </c>
      <c r="D179" s="102">
        <v>81.9</v>
      </c>
      <c r="E179" s="9">
        <v>30</v>
      </c>
      <c r="F179" s="50">
        <v>1</v>
      </c>
      <c r="G179" s="138">
        <v>0</v>
      </c>
      <c r="H179" s="121">
        <v>32876</v>
      </c>
      <c r="I179" s="9">
        <f t="shared" si="31"/>
        <v>24757908.92155198</v>
      </c>
      <c r="J179" s="50">
        <f t="shared" si="34"/>
        <v>-1561513.558448024</v>
      </c>
      <c r="K179" s="98">
        <f t="shared" si="35"/>
        <v>-0.059329324556213585</v>
      </c>
      <c r="L179" s="40">
        <f t="shared" si="36"/>
        <v>24757908.92155198</v>
      </c>
      <c r="M179" s="40"/>
      <c r="N179" s="81"/>
    </row>
    <row r="180" spans="1:14" ht="12.75">
      <c r="A180" s="19">
        <v>42278</v>
      </c>
      <c r="B180" s="195">
        <f>+GETPIVOTDATA("billed_consum",'[2]Pivot'!$A$4,"post_yr_month",DATE(2015,11,1),"Description","Residential")</f>
        <v>19398260.410000015</v>
      </c>
      <c r="C180" s="196">
        <v>249.8</v>
      </c>
      <c r="D180" s="197">
        <v>0</v>
      </c>
      <c r="E180" s="198">
        <v>31</v>
      </c>
      <c r="F180" s="198">
        <v>1</v>
      </c>
      <c r="G180" s="199">
        <v>0</v>
      </c>
      <c r="H180" s="200">
        <v>32908</v>
      </c>
      <c r="I180" s="9">
        <f t="shared" si="31"/>
        <v>22953871.700731188</v>
      </c>
      <c r="J180" s="50">
        <f>+I180-B180</f>
        <v>3555611.290731173</v>
      </c>
      <c r="K180" s="98">
        <f>+J180/B180</f>
        <v>0.18329536853202655</v>
      </c>
      <c r="L180" s="40">
        <f t="shared" si="36"/>
        <v>22953871.700731188</v>
      </c>
      <c r="M180" s="40"/>
      <c r="N180" s="81"/>
    </row>
    <row r="181" spans="1:13" ht="12.75">
      <c r="A181" s="3">
        <v>42309</v>
      </c>
      <c r="B181" s="24"/>
      <c r="C181" s="180">
        <v>418.74000000000007</v>
      </c>
      <c r="D181" s="102">
        <v>0</v>
      </c>
      <c r="E181" s="9">
        <v>30</v>
      </c>
      <c r="F181" s="50">
        <v>1</v>
      </c>
      <c r="G181" s="138">
        <v>0</v>
      </c>
      <c r="H181" s="121">
        <v>32947</v>
      </c>
      <c r="I181" s="9">
        <f t="shared" si="31"/>
        <v>23551398.232485797</v>
      </c>
      <c r="J181" s="50" t="s">
        <v>168</v>
      </c>
      <c r="K181" s="98"/>
      <c r="L181" s="40">
        <f t="shared" si="36"/>
        <v>23496749.754224926</v>
      </c>
      <c r="M181" s="40">
        <f aca="true" t="shared" si="37" ref="M181:M194">+AK47</f>
        <v>54648.47826086957</v>
      </c>
    </row>
    <row r="182" spans="1:13" ht="12.75">
      <c r="A182" s="3">
        <v>42339</v>
      </c>
      <c r="B182" s="24"/>
      <c r="C182" s="180">
        <v>607.1299999999999</v>
      </c>
      <c r="D182" s="102">
        <v>0</v>
      </c>
      <c r="E182" s="9">
        <v>31</v>
      </c>
      <c r="F182" s="50">
        <v>0</v>
      </c>
      <c r="G182" s="138">
        <v>0</v>
      </c>
      <c r="H182" s="121">
        <v>33001</v>
      </c>
      <c r="I182" s="9">
        <f t="shared" si="31"/>
        <v>27337320.64922767</v>
      </c>
      <c r="J182" s="50"/>
      <c r="K182" s="98"/>
      <c r="L182" s="40">
        <f t="shared" si="36"/>
        <v>27277704.127488542</v>
      </c>
      <c r="M182" s="40">
        <f t="shared" si="37"/>
        <v>59616.52173913044</v>
      </c>
    </row>
    <row r="183" spans="1:13" ht="12.75">
      <c r="A183" s="3">
        <v>42370</v>
      </c>
      <c r="B183" s="24"/>
      <c r="C183" s="102">
        <v>700.17</v>
      </c>
      <c r="D183" s="192">
        <v>0</v>
      </c>
      <c r="E183" s="9">
        <v>31</v>
      </c>
      <c r="F183" s="50">
        <v>0</v>
      </c>
      <c r="G183" s="138">
        <v>0</v>
      </c>
      <c r="H183" s="121">
        <f>+H182+125</f>
        <v>33126</v>
      </c>
      <c r="I183" s="9">
        <f t="shared" si="31"/>
        <v>28001674.679801207</v>
      </c>
      <c r="J183" s="50"/>
      <c r="K183" s="98"/>
      <c r="L183" s="40">
        <f t="shared" si="36"/>
        <v>27942799.417816814</v>
      </c>
      <c r="M183" s="40">
        <f t="shared" si="37"/>
        <v>58875.261984392426</v>
      </c>
    </row>
    <row r="184" spans="1:13" ht="12.75">
      <c r="A184" s="3">
        <v>42401</v>
      </c>
      <c r="B184" s="24"/>
      <c r="C184" s="102">
        <v>663.51</v>
      </c>
      <c r="D184" s="192">
        <v>0</v>
      </c>
      <c r="E184" s="9">
        <v>29</v>
      </c>
      <c r="F184" s="50">
        <v>0</v>
      </c>
      <c r="G184" s="138">
        <v>0</v>
      </c>
      <c r="H184" s="121">
        <f aca="true" t="shared" si="38" ref="H184:H194">+H183+125</f>
        <v>33251</v>
      </c>
      <c r="I184" s="9">
        <f t="shared" si="31"/>
        <v>26858857.70261958</v>
      </c>
      <c r="J184" s="50"/>
      <c r="K184" s="98"/>
      <c r="L184" s="40">
        <f t="shared" si="36"/>
        <v>26800723.700389925</v>
      </c>
      <c r="M184" s="40">
        <f t="shared" si="37"/>
        <v>58134.00222965441</v>
      </c>
    </row>
    <row r="185" spans="1:13" ht="12.75">
      <c r="A185" s="3">
        <v>42430</v>
      </c>
      <c r="B185" s="24"/>
      <c r="C185" s="102">
        <v>541.32</v>
      </c>
      <c r="D185" s="192">
        <v>0.02</v>
      </c>
      <c r="E185" s="9">
        <v>31</v>
      </c>
      <c r="F185" s="50">
        <v>1</v>
      </c>
      <c r="G185" s="138">
        <v>0</v>
      </c>
      <c r="H185" s="121">
        <f t="shared" si="38"/>
        <v>33376</v>
      </c>
      <c r="I185" s="9">
        <f t="shared" si="31"/>
        <v>25083074.98254255</v>
      </c>
      <c r="J185" s="50"/>
      <c r="K185" s="98"/>
      <c r="L185" s="40">
        <f t="shared" si="36"/>
        <v>25025682.24006763</v>
      </c>
      <c r="M185" s="40">
        <f t="shared" si="37"/>
        <v>57392.7424749164</v>
      </c>
    </row>
    <row r="186" spans="1:13" ht="12.75">
      <c r="A186" s="3">
        <v>42461</v>
      </c>
      <c r="B186" s="24"/>
      <c r="C186" s="102">
        <v>311.7699999999999</v>
      </c>
      <c r="D186" s="192">
        <v>0.12</v>
      </c>
      <c r="E186" s="9">
        <v>30</v>
      </c>
      <c r="F186" s="50">
        <v>1</v>
      </c>
      <c r="G186" s="138">
        <v>0</v>
      </c>
      <c r="H186" s="121">
        <f t="shared" si="38"/>
        <v>33501</v>
      </c>
      <c r="I186" s="9">
        <f t="shared" si="31"/>
        <v>23219769.899029262</v>
      </c>
      <c r="J186" s="50"/>
      <c r="K186" s="98"/>
      <c r="L186" s="40">
        <f t="shared" si="36"/>
        <v>23163118.416309085</v>
      </c>
      <c r="M186" s="40">
        <f t="shared" si="37"/>
        <v>56651.482720178385</v>
      </c>
    </row>
    <row r="187" spans="1:13" ht="12.75">
      <c r="A187" s="3">
        <v>42491</v>
      </c>
      <c r="B187" s="24"/>
      <c r="C187" s="102">
        <v>127.87999999999997</v>
      </c>
      <c r="D187" s="192">
        <v>22.229999999999997</v>
      </c>
      <c r="E187" s="9">
        <v>31</v>
      </c>
      <c r="F187" s="50">
        <v>1</v>
      </c>
      <c r="G187" s="138">
        <v>0</v>
      </c>
      <c r="H187" s="121">
        <f t="shared" si="38"/>
        <v>33626</v>
      </c>
      <c r="I187" s="9">
        <f t="shared" si="31"/>
        <v>23626777.05464299</v>
      </c>
      <c r="J187" s="50"/>
      <c r="K187" s="98"/>
      <c r="L187" s="40">
        <f t="shared" si="36"/>
        <v>23570866.83167755</v>
      </c>
      <c r="M187" s="40">
        <f t="shared" si="37"/>
        <v>55910.22296544037</v>
      </c>
    </row>
    <row r="188" spans="1:13" ht="12.75">
      <c r="A188" s="3">
        <v>42522</v>
      </c>
      <c r="B188" s="24"/>
      <c r="C188" s="102">
        <v>25.28</v>
      </c>
      <c r="D188" s="192">
        <v>64.22</v>
      </c>
      <c r="E188" s="9">
        <v>30</v>
      </c>
      <c r="F188" s="50">
        <v>0</v>
      </c>
      <c r="G188" s="138">
        <v>0</v>
      </c>
      <c r="H188" s="121">
        <f t="shared" si="38"/>
        <v>33751</v>
      </c>
      <c r="I188" s="9">
        <f t="shared" si="31"/>
        <v>26526450.972579688</v>
      </c>
      <c r="J188" s="50"/>
      <c r="K188" s="98"/>
      <c r="L188" s="40">
        <f t="shared" si="36"/>
        <v>26471282.009368986</v>
      </c>
      <c r="M188" s="40">
        <f t="shared" si="37"/>
        <v>55168.96321070236</v>
      </c>
    </row>
    <row r="189" spans="1:13" ht="12.75">
      <c r="A189" s="3">
        <v>42552</v>
      </c>
      <c r="B189" s="24"/>
      <c r="C189" s="102">
        <v>2.15</v>
      </c>
      <c r="D189" s="192">
        <v>129.3</v>
      </c>
      <c r="E189" s="9">
        <v>31</v>
      </c>
      <c r="F189" s="50">
        <v>0</v>
      </c>
      <c r="G189" s="138">
        <v>0</v>
      </c>
      <c r="H189" s="121">
        <f t="shared" si="38"/>
        <v>33876</v>
      </c>
      <c r="I189" s="9">
        <f t="shared" si="31"/>
        <v>29890165.727096613</v>
      </c>
      <c r="J189" s="50"/>
      <c r="K189" s="98"/>
      <c r="L189" s="40">
        <f t="shared" si="36"/>
        <v>29835738.023640648</v>
      </c>
      <c r="M189" s="40">
        <f t="shared" si="37"/>
        <v>54427.70345596434</v>
      </c>
    </row>
    <row r="190" spans="1:13" ht="12.75">
      <c r="A190" s="3">
        <v>42583</v>
      </c>
      <c r="B190" s="24"/>
      <c r="C190" s="102">
        <v>5.36</v>
      </c>
      <c r="D190" s="192">
        <v>103.48999999999998</v>
      </c>
      <c r="E190" s="9">
        <v>31</v>
      </c>
      <c r="F190" s="50">
        <v>0</v>
      </c>
      <c r="G190" s="138">
        <v>0</v>
      </c>
      <c r="H190" s="121">
        <f t="shared" si="38"/>
        <v>34001</v>
      </c>
      <c r="I190" s="9">
        <f t="shared" si="31"/>
        <v>28821098.400417212</v>
      </c>
      <c r="J190" s="50"/>
      <c r="K190" s="98"/>
      <c r="L190" s="40">
        <f t="shared" si="36"/>
        <v>28767411.956715986</v>
      </c>
      <c r="M190" s="40">
        <f t="shared" si="37"/>
        <v>53686.44370122633</v>
      </c>
    </row>
    <row r="191" spans="1:13" ht="12.75">
      <c r="A191" s="3">
        <v>42614</v>
      </c>
      <c r="B191" s="24"/>
      <c r="C191" s="102">
        <v>62.720000000000006</v>
      </c>
      <c r="D191" s="192">
        <v>35.489999999999995</v>
      </c>
      <c r="E191" s="9">
        <v>30</v>
      </c>
      <c r="F191" s="50">
        <v>1</v>
      </c>
      <c r="G191" s="138">
        <v>0</v>
      </c>
      <c r="H191" s="121">
        <f t="shared" si="38"/>
        <v>34126</v>
      </c>
      <c r="I191" s="9">
        <f t="shared" si="31"/>
        <v>23626008.523430705</v>
      </c>
      <c r="J191" s="50"/>
      <c r="K191" s="98"/>
      <c r="L191" s="40">
        <f t="shared" si="36"/>
        <v>23573063.33948422</v>
      </c>
      <c r="M191" s="40">
        <f t="shared" si="37"/>
        <v>52945.183946488316</v>
      </c>
    </row>
    <row r="192" spans="1:13" ht="12.75">
      <c r="A192" s="3">
        <v>42644</v>
      </c>
      <c r="B192" s="24"/>
      <c r="C192" s="102">
        <v>239.46000000000004</v>
      </c>
      <c r="D192" s="192">
        <v>2.6100000000000003</v>
      </c>
      <c r="E192" s="9">
        <v>31</v>
      </c>
      <c r="F192" s="50">
        <v>1</v>
      </c>
      <c r="G192" s="138">
        <v>0</v>
      </c>
      <c r="H192" s="121">
        <f t="shared" si="38"/>
        <v>34251</v>
      </c>
      <c r="I192" s="9">
        <f t="shared" si="31"/>
        <v>23827902.541206088</v>
      </c>
      <c r="J192" s="50"/>
      <c r="K192" s="98"/>
      <c r="L192" s="40">
        <f t="shared" si="36"/>
        <v>23775698.617014337</v>
      </c>
      <c r="M192" s="40">
        <f t="shared" si="37"/>
        <v>52203.9241917503</v>
      </c>
    </row>
    <row r="193" spans="1:13" ht="12.75">
      <c r="A193" s="3">
        <v>42675</v>
      </c>
      <c r="B193" s="24"/>
      <c r="C193" s="102">
        <v>418.74000000000007</v>
      </c>
      <c r="D193" s="192">
        <v>0</v>
      </c>
      <c r="E193" s="9">
        <v>30</v>
      </c>
      <c r="F193" s="50">
        <v>1</v>
      </c>
      <c r="G193" s="138">
        <v>0</v>
      </c>
      <c r="H193" s="121">
        <f t="shared" si="38"/>
        <v>34376</v>
      </c>
      <c r="I193" s="9">
        <f t="shared" si="31"/>
        <v>24425477.74129033</v>
      </c>
      <c r="J193" s="50"/>
      <c r="K193" s="98"/>
      <c r="L193" s="40">
        <f t="shared" si="36"/>
        <v>24374015.07685332</v>
      </c>
      <c r="M193" s="40">
        <f t="shared" si="37"/>
        <v>51462.66443701229</v>
      </c>
    </row>
    <row r="194" spans="1:13" ht="12.75">
      <c r="A194" s="3">
        <v>42705</v>
      </c>
      <c r="B194" s="24"/>
      <c r="C194" s="102">
        <v>607.1299999999999</v>
      </c>
      <c r="D194" s="192">
        <v>0</v>
      </c>
      <c r="E194" s="9">
        <v>31</v>
      </c>
      <c r="F194" s="50">
        <v>0</v>
      </c>
      <c r="G194" s="138">
        <v>0</v>
      </c>
      <c r="H194" s="121">
        <f t="shared" si="38"/>
        <v>34501</v>
      </c>
      <c r="I194" s="9">
        <f t="shared" si="31"/>
        <v>28254828.881002903</v>
      </c>
      <c r="J194" s="50"/>
      <c r="K194" s="98"/>
      <c r="L194" s="40">
        <f>+I194-M194</f>
        <v>28204107.476320628</v>
      </c>
      <c r="M194" s="40">
        <f t="shared" si="37"/>
        <v>50721.404682274275</v>
      </c>
    </row>
    <row r="195" spans="1:14" ht="12.75">
      <c r="A195" s="3"/>
      <c r="B195" s="24"/>
      <c r="C195" s="102"/>
      <c r="D195" s="102"/>
      <c r="E195" s="9"/>
      <c r="F195" s="50"/>
      <c r="G195" s="50"/>
      <c r="H195" s="121"/>
      <c r="I195" s="9"/>
      <c r="J195" s="50"/>
      <c r="K195" s="98"/>
      <c r="M195" s="175">
        <f>SUM(M171:M194)</f>
        <v>771845.0000000002</v>
      </c>
      <c r="N195" s="205">
        <f>SUM(N171:N194)</f>
        <v>0</v>
      </c>
    </row>
    <row r="196" spans="1:11" ht="12.75">
      <c r="A196" s="3"/>
      <c r="B196" s="24"/>
      <c r="C196" s="102">
        <f>SUM(C3:C195)</f>
        <v>59358.96</v>
      </c>
      <c r="D196" s="102">
        <f>SUM(D3:D195)</f>
        <v>5933.520000000002</v>
      </c>
      <c r="E196" s="9"/>
      <c r="F196" s="50"/>
      <c r="G196" s="50"/>
      <c r="H196" s="121"/>
      <c r="I196" s="9"/>
      <c r="J196" s="50"/>
      <c r="K196" s="98"/>
    </row>
    <row r="197" spans="1:11" ht="12.75">
      <c r="A197" s="3"/>
      <c r="B197" s="24"/>
      <c r="C197" s="102"/>
      <c r="D197" s="102"/>
      <c r="E197" s="9"/>
      <c r="F197" s="50"/>
      <c r="G197" s="50"/>
      <c r="H197" s="121"/>
      <c r="I197" s="9"/>
      <c r="J197" s="50"/>
      <c r="K197" s="98"/>
    </row>
    <row r="198" spans="1:11" ht="12.75">
      <c r="A198" s="3"/>
      <c r="C198" s="102"/>
      <c r="D198" s="102"/>
      <c r="E198" s="104"/>
      <c r="F198" s="51"/>
      <c r="G198" s="51"/>
      <c r="H198" s="121"/>
      <c r="I198" s="9"/>
      <c r="J198" s="50"/>
      <c r="K198" s="98"/>
    </row>
    <row r="199" spans="1:11" ht="12.75">
      <c r="A199" s="3"/>
      <c r="C199" s="102"/>
      <c r="D199" s="102"/>
      <c r="E199" s="104"/>
      <c r="F199" s="51"/>
      <c r="G199" s="51"/>
      <c r="H199" s="121"/>
      <c r="I199" s="9"/>
      <c r="J199" s="50"/>
      <c r="K199" s="98"/>
    </row>
    <row r="200" spans="1:9" ht="12.75">
      <c r="A200" s="3"/>
      <c r="C200" s="58" t="s">
        <v>86</v>
      </c>
      <c r="D200" s="218" t="s">
        <v>72</v>
      </c>
      <c r="E200" s="218"/>
      <c r="I200" s="37">
        <f>SUM(I3:I194)</f>
        <v>3660055603.411426</v>
      </c>
    </row>
    <row r="201" ht="12.75">
      <c r="A201" s="3"/>
    </row>
    <row r="202" ht="12.75">
      <c r="A202" s="3"/>
    </row>
    <row r="203" spans="1:11" ht="12.75">
      <c r="A203" s="15">
        <v>2001</v>
      </c>
      <c r="B203" s="6">
        <f>SUM(B3:B14)</f>
        <v>134047710.49640852</v>
      </c>
      <c r="I203" s="6">
        <f>SUM(I3:I14)</f>
        <v>133414957.19151929</v>
      </c>
      <c r="J203" s="30">
        <f aca="true" t="shared" si="39" ref="J203:J216">I203-B203</f>
        <v>-632753.3048892319</v>
      </c>
      <c r="K203" s="5">
        <f aca="true" t="shared" si="40" ref="K203:K216">J203/B203</f>
        <v>-0.004720358912106783</v>
      </c>
    </row>
    <row r="204" spans="1:11" ht="12.75">
      <c r="A204" s="15">
        <v>2002</v>
      </c>
      <c r="B204" s="6">
        <f>SUM(B15:B26)</f>
        <v>150212622.7341968</v>
      </c>
      <c r="I204" s="6">
        <f>SUM(I15:I26)</f>
        <v>153665262.55371958</v>
      </c>
      <c r="J204" s="30">
        <f t="shared" si="39"/>
        <v>3452639.8195227683</v>
      </c>
      <c r="K204" s="5">
        <f t="shared" si="40"/>
        <v>0.022985017881168742</v>
      </c>
    </row>
    <row r="205" spans="1:11" ht="12.75">
      <c r="A205" s="15">
        <v>2003</v>
      </c>
      <c r="B205" s="6">
        <f>SUM(B27:B38)</f>
        <v>158175326.68108305</v>
      </c>
      <c r="I205" s="6">
        <f>SUM(I27:I38)</f>
        <v>156148511.08010805</v>
      </c>
      <c r="J205" s="30">
        <f t="shared" si="39"/>
        <v>-2026815.6009750068</v>
      </c>
      <c r="K205" s="5">
        <f t="shared" si="40"/>
        <v>-0.012813727927754003</v>
      </c>
    </row>
    <row r="206" spans="1:11" ht="12.75">
      <c r="A206">
        <v>2004</v>
      </c>
      <c r="B206" s="6">
        <f>SUM(B39:B50)</f>
        <v>169087407.9317853</v>
      </c>
      <c r="I206" s="6">
        <f>SUM(I39:I50)</f>
        <v>168932711.78791416</v>
      </c>
      <c r="J206" s="30">
        <f t="shared" si="39"/>
        <v>-154696.14387112856</v>
      </c>
      <c r="K206" s="5">
        <f t="shared" si="40"/>
        <v>-0.0009148886115371608</v>
      </c>
    </row>
    <row r="207" spans="1:26" ht="12.75">
      <c r="A207" s="15">
        <v>2005</v>
      </c>
      <c r="B207" s="6">
        <f>SUM(B51:B62)</f>
        <v>192683717.00575626</v>
      </c>
      <c r="I207" s="6">
        <f>SUM(I51:I62)</f>
        <v>193244767.02547956</v>
      </c>
      <c r="J207" s="30">
        <f t="shared" si="39"/>
        <v>561050.0197232962</v>
      </c>
      <c r="K207" s="5">
        <f t="shared" si="40"/>
        <v>0.0029117666424638014</v>
      </c>
      <c r="X207" s="10"/>
      <c r="Y207" s="10"/>
      <c r="Z207" s="10"/>
    </row>
    <row r="208" spans="1:11" ht="12.75">
      <c r="A208">
        <v>2006</v>
      </c>
      <c r="B208" s="6">
        <f>SUM(B63:B74)</f>
        <v>195292369.8922671</v>
      </c>
      <c r="I208" s="6">
        <f>SUM(I63:I74)</f>
        <v>195304194.1104232</v>
      </c>
      <c r="J208" s="30">
        <f t="shared" si="39"/>
        <v>11824.21815609932</v>
      </c>
      <c r="K208" s="5">
        <f t="shared" si="40"/>
        <v>6.0546237226892894E-05</v>
      </c>
    </row>
    <row r="209" spans="1:11" ht="12.75">
      <c r="A209" s="15">
        <v>2007</v>
      </c>
      <c r="B209" s="6">
        <f>SUM(B75:B86)</f>
        <v>211418657.82015693</v>
      </c>
      <c r="I209" s="6">
        <f>SUM(I75:I86)</f>
        <v>209966765.91689777</v>
      </c>
      <c r="J209" s="30">
        <f t="shared" si="39"/>
        <v>-1451891.9032591581</v>
      </c>
      <c r="K209" s="5">
        <f t="shared" si="40"/>
        <v>-0.00686737830156035</v>
      </c>
    </row>
    <row r="210" spans="1:11" ht="12.75">
      <c r="A210">
        <v>2008</v>
      </c>
      <c r="B210" s="6">
        <f>SUM(B87:B98)</f>
        <v>218391096.58213848</v>
      </c>
      <c r="I210" s="6">
        <f>SUM(I87:I98)</f>
        <v>218057036.6658668</v>
      </c>
      <c r="J210" s="30">
        <f t="shared" si="39"/>
        <v>-334059.91627168655</v>
      </c>
      <c r="K210" s="5">
        <f t="shared" si="40"/>
        <v>-0.001529640729406037</v>
      </c>
    </row>
    <row r="211" spans="1:11" ht="12.75">
      <c r="A211" s="15">
        <v>2009</v>
      </c>
      <c r="B211" s="6">
        <f>SUM(B99:B110)</f>
        <v>230401040.6502598</v>
      </c>
      <c r="I211" s="6">
        <f>SUM(I99:I110)</f>
        <v>232915455.65137136</v>
      </c>
      <c r="J211" s="30">
        <f t="shared" si="39"/>
        <v>2514415.001111567</v>
      </c>
      <c r="K211" s="5">
        <f t="shared" si="40"/>
        <v>0.010913210261616636</v>
      </c>
    </row>
    <row r="212" spans="1:12" ht="12.75">
      <c r="A212">
        <v>2010</v>
      </c>
      <c r="B212" s="6">
        <f>SUM(B111:B122)</f>
        <v>258659734.84999987</v>
      </c>
      <c r="I212" s="80">
        <f>SUM(I111:I122)</f>
        <v>255208920.97200835</v>
      </c>
      <c r="J212" s="30">
        <f t="shared" si="39"/>
        <v>-3450813.8779915273</v>
      </c>
      <c r="K212" s="5">
        <f t="shared" si="40"/>
        <v>-0.013341132820663792</v>
      </c>
      <c r="L212" s="6"/>
    </row>
    <row r="213" spans="1:12" ht="12.75">
      <c r="A213" s="15">
        <v>2011</v>
      </c>
      <c r="B213" s="6">
        <f>SUM(B123:B134)</f>
        <v>268725506.52</v>
      </c>
      <c r="I213" s="6">
        <f>SUM(I123:I134)</f>
        <v>265387583.50034386</v>
      </c>
      <c r="J213" s="30">
        <f t="shared" si="39"/>
        <v>-3337923.0196561217</v>
      </c>
      <c r="K213" s="5">
        <f t="shared" si="40"/>
        <v>-0.012421310737794426</v>
      </c>
      <c r="L213" s="6"/>
    </row>
    <row r="214" spans="1:11" ht="12.75">
      <c r="A214" s="15">
        <v>2012</v>
      </c>
      <c r="B214" s="6">
        <f>SUM(B135:B146)</f>
        <v>281220954.65</v>
      </c>
      <c r="I214" s="6">
        <f>SUM(I135:I146)</f>
        <v>278181714.67163646</v>
      </c>
      <c r="J214" s="30">
        <f t="shared" si="39"/>
        <v>-3039239.978363514</v>
      </c>
      <c r="K214" s="5">
        <f t="shared" si="40"/>
        <v>-0.010807302685342456</v>
      </c>
    </row>
    <row r="215" spans="1:12" ht="12.75">
      <c r="A215">
        <v>2013</v>
      </c>
      <c r="B215" s="6">
        <f>SUM(B147:B158)</f>
        <v>287291133.53</v>
      </c>
      <c r="C215" s="105"/>
      <c r="D215" s="83"/>
      <c r="E215" s="83"/>
      <c r="F215" s="83"/>
      <c r="G215" s="83"/>
      <c r="H215" s="106"/>
      <c r="I215" s="6">
        <f>SUM(I147:I158)</f>
        <v>287648954.05394554</v>
      </c>
      <c r="J215" s="30">
        <f t="shared" si="39"/>
        <v>357820.52394557</v>
      </c>
      <c r="K215" s="5">
        <f t="shared" si="40"/>
        <v>0.0012454979711659117</v>
      </c>
      <c r="L215" s="194" t="s">
        <v>167</v>
      </c>
    </row>
    <row r="216" spans="1:11" ht="12.75">
      <c r="A216" s="15">
        <v>2014</v>
      </c>
      <c r="B216" s="6">
        <f>SUM(B159:B170)</f>
        <v>290591982.63</v>
      </c>
      <c r="C216" s="105"/>
      <c r="D216" s="83"/>
      <c r="E216" s="83"/>
      <c r="F216" s="83"/>
      <c r="G216" s="83"/>
      <c r="H216" s="106"/>
      <c r="I216" s="6">
        <f>SUM(I159:I170)</f>
        <v>294503583.56837726</v>
      </c>
      <c r="J216" s="30">
        <f t="shared" si="39"/>
        <v>3911600.938377261</v>
      </c>
      <c r="K216" s="5">
        <f t="shared" si="40"/>
        <v>0.01346080130282795</v>
      </c>
    </row>
    <row r="217" spans="1:12" ht="12.75">
      <c r="A217" s="15">
        <v>2015</v>
      </c>
      <c r="C217" s="105"/>
      <c r="D217" s="83"/>
      <c r="E217" s="83"/>
      <c r="F217" s="83"/>
      <c r="G217" s="83"/>
      <c r="H217" s="106"/>
      <c r="I217" s="6">
        <f>SUM(I171:I182)</f>
        <v>305313097.556156</v>
      </c>
      <c r="L217" s="33">
        <f>SUM(L171:L182)</f>
        <v>305198832.556156</v>
      </c>
    </row>
    <row r="218" spans="1:12" ht="12.75">
      <c r="A218">
        <v>2016</v>
      </c>
      <c r="C218" s="105"/>
      <c r="D218" s="83"/>
      <c r="E218" s="83"/>
      <c r="F218" s="83"/>
      <c r="G218" s="83"/>
      <c r="H218" s="106"/>
      <c r="I218" s="6">
        <f>SUM(I183:I194)</f>
        <v>312162087.1056591</v>
      </c>
      <c r="L218" s="33">
        <f>SUM(L183:L194)</f>
        <v>311504507.1056592</v>
      </c>
    </row>
    <row r="219" spans="1:10" ht="12.75">
      <c r="A219" s="52" t="s">
        <v>114</v>
      </c>
      <c r="B219" s="6">
        <f>SUM(B203:B216)</f>
        <v>3046199261.9740524</v>
      </c>
      <c r="I219" s="6">
        <f>SUM(I203:I216)</f>
        <v>3042580418.749611</v>
      </c>
      <c r="J219" s="6">
        <f>I219-B219</f>
        <v>-3618843.2244415283</v>
      </c>
    </row>
    <row r="221" spans="9:10" ht="12.75">
      <c r="I221" s="6">
        <f>SUM(I203:I218)</f>
        <v>3660055603.411426</v>
      </c>
      <c r="J221" s="37">
        <f>I200-I221</f>
        <v>0</v>
      </c>
    </row>
    <row r="222" spans="8:12" ht="12.75">
      <c r="H222" s="122"/>
      <c r="I222" s="16" t="s">
        <v>68</v>
      </c>
      <c r="J222" s="16"/>
      <c r="K222" s="20"/>
      <c r="L222" s="81"/>
    </row>
    <row r="223" ht="12.75">
      <c r="L223" s="81"/>
    </row>
    <row r="224" spans="24:26" ht="12.75">
      <c r="X224" s="10"/>
      <c r="Y224" s="10"/>
      <c r="Z224" s="10"/>
    </row>
    <row r="235" spans="24:26" ht="12.75">
      <c r="X235" s="10"/>
      <c r="Y235" s="10"/>
      <c r="Z235" s="10"/>
    </row>
  </sheetData>
  <sheetProtection/>
  <mergeCells count="18">
    <mergeCell ref="N168:N170"/>
    <mergeCell ref="D200:E200"/>
    <mergeCell ref="AB3:AB5"/>
    <mergeCell ref="AC3:AC5"/>
    <mergeCell ref="AD3:AD5"/>
    <mergeCell ref="AE3:AE5"/>
    <mergeCell ref="AD24:AF24"/>
    <mergeCell ref="L168:L170"/>
    <mergeCell ref="M168:M170"/>
    <mergeCell ref="AF3:AF5"/>
    <mergeCell ref="AH3:AH5"/>
    <mergeCell ref="A1:B1"/>
    <mergeCell ref="Z20:AA20"/>
    <mergeCell ref="AG3:AG5"/>
    <mergeCell ref="AA4:AA5"/>
    <mergeCell ref="Z6:Z17"/>
    <mergeCell ref="Y19:Y20"/>
    <mergeCell ref="AB19:AC19"/>
  </mergeCells>
  <printOptions/>
  <pageMargins left="0.3937007874015748" right="0.7480314960629921" top="0.7480314960629921" bottom="0.7480314960629921" header="0.5118110236220472" footer="0.5118110236220472"/>
  <pageSetup horizontalDpi="600" verticalDpi="600" orientation="portrait" r:id="rId1"/>
  <rowBreaks count="1" manualBreakCount="1">
    <brk id="110" max="39" man="1"/>
  </rowBreaks>
  <colBreaks count="2" manualBreakCount="2">
    <brk id="11" max="65535" man="1"/>
    <brk id="21" max="2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1.8515625" style="0" customWidth="1"/>
    <col min="2" max="2" width="12.7109375" style="24" bestFit="1" customWidth="1"/>
    <col min="3" max="3" width="9.140625" style="1" customWidth="1"/>
    <col min="4" max="4" width="8.140625" style="1" customWidth="1"/>
    <col min="5" max="5" width="9.57421875" style="1" bestFit="1" customWidth="1"/>
    <col min="6" max="6" width="8.421875" style="1" customWidth="1"/>
    <col min="7" max="7" width="13.57421875" style="1" customWidth="1"/>
    <col min="8" max="8" width="11.28125" style="20" customWidth="1"/>
    <col min="9" max="9" width="12.7109375" style="1" bestFit="1" customWidth="1"/>
    <col min="10" max="10" width="14.421875" style="1" customWidth="1"/>
    <col min="11" max="11" width="12.421875" style="1" customWidth="1"/>
    <col min="12" max="12" width="22.421875" style="0" bestFit="1" customWidth="1"/>
    <col min="13" max="13" width="12.7109375" style="0" bestFit="1" customWidth="1"/>
    <col min="14" max="14" width="14.421875" style="0" bestFit="1" customWidth="1"/>
    <col min="15" max="15" width="14.7109375" style="0" bestFit="1" customWidth="1"/>
    <col min="16" max="16" width="12.421875" style="0" bestFit="1" customWidth="1"/>
    <col min="17" max="17" width="14.421875" style="0" bestFit="1" customWidth="1"/>
    <col min="18" max="20" width="12.7109375" style="0" bestFit="1" customWidth="1"/>
    <col min="21" max="21" width="14.140625" style="0" bestFit="1" customWidth="1"/>
    <col min="22" max="22" width="11.7109375" style="0" bestFit="1" customWidth="1"/>
    <col min="23" max="23" width="11.8515625" style="0" bestFit="1" customWidth="1"/>
    <col min="24" max="32" width="12.7109375" style="6" customWidth="1"/>
    <col min="33" max="42" width="12.7109375" style="0" customWidth="1"/>
  </cols>
  <sheetData>
    <row r="1" spans="1:3" ht="15.75">
      <c r="A1" s="141" t="s">
        <v>102</v>
      </c>
      <c r="B1" s="141"/>
      <c r="C1" s="144"/>
    </row>
    <row r="2" spans="2:26" ht="42" customHeight="1">
      <c r="B2" s="117" t="s">
        <v>19</v>
      </c>
      <c r="C2" s="11" t="s">
        <v>1</v>
      </c>
      <c r="D2" s="11" t="s">
        <v>2</v>
      </c>
      <c r="E2" s="11" t="s">
        <v>3</v>
      </c>
      <c r="F2" s="11" t="s">
        <v>20</v>
      </c>
      <c r="G2" s="11" t="s">
        <v>147</v>
      </c>
      <c r="H2" s="116" t="s">
        <v>70</v>
      </c>
      <c r="I2" s="11" t="s">
        <v>91</v>
      </c>
      <c r="J2" s="11" t="s">
        <v>7</v>
      </c>
      <c r="K2" s="11" t="s">
        <v>8</v>
      </c>
      <c r="X2" s="8"/>
      <c r="Y2" s="8"/>
      <c r="Z2" s="8"/>
    </row>
    <row r="3" spans="1:35" ht="19.5" customHeight="1">
      <c r="A3" s="3">
        <v>36892</v>
      </c>
      <c r="B3" s="107">
        <v>5521432.903387745</v>
      </c>
      <c r="C3" s="108">
        <v>684.9000000000001</v>
      </c>
      <c r="D3" s="108">
        <v>0</v>
      </c>
      <c r="E3" s="50">
        <v>31</v>
      </c>
      <c r="F3" s="50">
        <v>0</v>
      </c>
      <c r="G3" s="181">
        <v>0</v>
      </c>
      <c r="H3" s="104">
        <v>1709.1644246925418</v>
      </c>
      <c r="I3" s="9">
        <f>$M$19+C3*$M$20+D3*$M$21+E3*$M$22+F3*$M$23+G3*$M$24+H3*$M$25</f>
        <v>5619306.335904229</v>
      </c>
      <c r="J3" s="55">
        <f aca="true" t="shared" si="0" ref="J3:J34">+I3-B3</f>
        <v>97873.43251648452</v>
      </c>
      <c r="K3" s="98">
        <f aca="true" t="shared" si="1" ref="K3:K34">+J3/B3</f>
        <v>0.017726092887307032</v>
      </c>
      <c r="L3" t="s">
        <v>21</v>
      </c>
      <c r="X3"/>
      <c r="Y3" s="78"/>
      <c r="Z3" s="146" t="s">
        <v>122</v>
      </c>
      <c r="AA3" s="99"/>
      <c r="AB3" s="214" t="s">
        <v>123</v>
      </c>
      <c r="AC3" s="214" t="s">
        <v>124</v>
      </c>
      <c r="AD3" s="209" t="s">
        <v>125</v>
      </c>
      <c r="AE3" s="219" t="s">
        <v>126</v>
      </c>
      <c r="AF3" s="219" t="s">
        <v>127</v>
      </c>
      <c r="AG3" s="210" t="s">
        <v>128</v>
      </c>
      <c r="AH3" s="209" t="s">
        <v>175</v>
      </c>
      <c r="AI3" s="148"/>
    </row>
    <row r="4" spans="1:35" ht="20.25" customHeight="1" thickBot="1">
      <c r="A4" s="3">
        <v>36923</v>
      </c>
      <c r="B4" s="107">
        <v>5321432.903387745</v>
      </c>
      <c r="C4" s="108">
        <v>587.6</v>
      </c>
      <c r="D4" s="108">
        <v>0</v>
      </c>
      <c r="E4" s="50">
        <v>28</v>
      </c>
      <c r="F4" s="50">
        <v>0</v>
      </c>
      <c r="G4" s="181">
        <v>0</v>
      </c>
      <c r="H4" s="104">
        <v>1708.3292576810452</v>
      </c>
      <c r="I4" s="9">
        <f aca="true" t="shared" si="2" ref="I4:I67">$M$19+C4*$M$20+D4*$M$21+E4*$M$22+F4*$M$23+G4*$M$24+H4*$M$25</f>
        <v>5214728.900286873</v>
      </c>
      <c r="J4" s="55">
        <f t="shared" si="0"/>
        <v>-106704.00310087204</v>
      </c>
      <c r="K4" s="98">
        <f t="shared" si="1"/>
        <v>-0.02005174264866552</v>
      </c>
      <c r="X4"/>
      <c r="Y4" s="149"/>
      <c r="Z4" s="222" t="s">
        <v>102</v>
      </c>
      <c r="AA4" s="222"/>
      <c r="AB4" s="214"/>
      <c r="AC4" s="214"/>
      <c r="AD4" s="210"/>
      <c r="AE4" s="220"/>
      <c r="AF4" s="219"/>
      <c r="AG4" s="210"/>
      <c r="AH4" s="210"/>
      <c r="AI4" s="148"/>
    </row>
    <row r="5" spans="1:35" ht="12.75">
      <c r="A5" s="3">
        <v>36951</v>
      </c>
      <c r="B5" s="107">
        <v>5471432.903387745</v>
      </c>
      <c r="C5" s="108">
        <v>566.6000000000001</v>
      </c>
      <c r="D5" s="108">
        <v>0</v>
      </c>
      <c r="E5" s="50">
        <v>31</v>
      </c>
      <c r="F5" s="50">
        <v>1</v>
      </c>
      <c r="G5" s="181">
        <v>0</v>
      </c>
      <c r="H5" s="104">
        <v>1707.4944987660003</v>
      </c>
      <c r="I5" s="9">
        <f t="shared" si="2"/>
        <v>5141787.888619041</v>
      </c>
      <c r="J5" s="55">
        <f t="shared" si="0"/>
        <v>-329645.01476870384</v>
      </c>
      <c r="K5" s="98">
        <f t="shared" si="1"/>
        <v>-0.0602483884184338</v>
      </c>
      <c r="L5" s="44" t="s">
        <v>22</v>
      </c>
      <c r="M5" s="44"/>
      <c r="X5"/>
      <c r="Y5" s="150"/>
      <c r="Z5" s="150"/>
      <c r="AA5" s="150"/>
      <c r="AB5" s="214"/>
      <c r="AC5" s="214"/>
      <c r="AD5" s="210"/>
      <c r="AE5" s="220"/>
      <c r="AF5" s="219"/>
      <c r="AG5" s="210"/>
      <c r="AH5" s="210"/>
      <c r="AI5" s="147" t="s">
        <v>16</v>
      </c>
    </row>
    <row r="6" spans="1:39" ht="12.75" customHeight="1">
      <c r="A6" s="3">
        <v>36982</v>
      </c>
      <c r="B6" s="107">
        <v>4695572.095199392</v>
      </c>
      <c r="C6" s="108">
        <v>293.79999999999995</v>
      </c>
      <c r="D6" s="108">
        <v>1.4</v>
      </c>
      <c r="E6" s="50">
        <v>30</v>
      </c>
      <c r="F6" s="50">
        <v>1</v>
      </c>
      <c r="G6" s="181">
        <v>0</v>
      </c>
      <c r="H6" s="104">
        <v>1706.6601477479946</v>
      </c>
      <c r="I6" s="9">
        <f t="shared" si="2"/>
        <v>4506233.5938896</v>
      </c>
      <c r="J6" s="55">
        <f t="shared" si="0"/>
        <v>-189338.5013097925</v>
      </c>
      <c r="K6" s="98">
        <f t="shared" si="1"/>
        <v>-0.040322775898461095</v>
      </c>
      <c r="L6" s="29" t="s">
        <v>23</v>
      </c>
      <c r="M6" s="29">
        <v>0.9421467480922079</v>
      </c>
      <c r="X6"/>
      <c r="Z6" s="214" t="s">
        <v>130</v>
      </c>
      <c r="AA6" s="151">
        <v>2005</v>
      </c>
      <c r="AB6" s="149">
        <v>0</v>
      </c>
      <c r="AC6" s="6">
        <v>0</v>
      </c>
      <c r="AD6" s="6">
        <f>+AC6*0.5</f>
        <v>0</v>
      </c>
      <c r="AE6" s="119">
        <f aca="true" t="shared" si="3" ref="AE6:AE17">+AB6+AD6</f>
        <v>0</v>
      </c>
      <c r="AF6" s="119">
        <f>+AE6</f>
        <v>0</v>
      </c>
      <c r="AG6" s="6">
        <f>+AF6/$AM$18</f>
        <v>0</v>
      </c>
      <c r="AH6" s="6"/>
      <c r="AI6" s="6">
        <f>+Z36</f>
        <v>0</v>
      </c>
      <c r="AJ6" s="6">
        <f>+AE6-AI6</f>
        <v>0</v>
      </c>
      <c r="AL6" s="152" t="s">
        <v>131</v>
      </c>
      <c r="AM6" s="153">
        <v>1</v>
      </c>
    </row>
    <row r="7" spans="1:39" ht="12.75">
      <c r="A7" s="3">
        <v>37012</v>
      </c>
      <c r="B7" s="107">
        <v>4576930.091636778</v>
      </c>
      <c r="C7" s="108">
        <v>111.5</v>
      </c>
      <c r="D7" s="108">
        <v>12.200000000000001</v>
      </c>
      <c r="E7" s="50">
        <v>31</v>
      </c>
      <c r="F7" s="50">
        <v>1</v>
      </c>
      <c r="G7" s="181">
        <v>0</v>
      </c>
      <c r="H7" s="104">
        <v>1705.8262044277133</v>
      </c>
      <c r="I7" s="9">
        <f t="shared" si="2"/>
        <v>4255574.302313114</v>
      </c>
      <c r="J7" s="55">
        <f t="shared" si="0"/>
        <v>-321355.78932366427</v>
      </c>
      <c r="K7" s="98">
        <f t="shared" si="1"/>
        <v>-0.07021208165509531</v>
      </c>
      <c r="L7" s="29" t="s">
        <v>24</v>
      </c>
      <c r="M7" s="29">
        <v>0.8876404949407222</v>
      </c>
      <c r="X7"/>
      <c r="Z7" s="214"/>
      <c r="AA7" s="151">
        <v>2006</v>
      </c>
      <c r="AB7" s="149">
        <v>0</v>
      </c>
      <c r="AC7" s="6">
        <v>0</v>
      </c>
      <c r="AD7" s="6">
        <f>+AC7*0.5</f>
        <v>0</v>
      </c>
      <c r="AE7" s="119">
        <f t="shared" si="3"/>
        <v>0</v>
      </c>
      <c r="AF7" s="119">
        <f>+AE7-AA36</f>
        <v>0</v>
      </c>
      <c r="AG7" s="6">
        <f>+AF7/$AM$18</f>
        <v>0</v>
      </c>
      <c r="AH7" s="6"/>
      <c r="AI7" s="6">
        <f>+Z48</f>
        <v>0</v>
      </c>
      <c r="AJ7" s="6">
        <f aca="true" t="shared" si="4" ref="AJ7:AJ18">+AE7-AI7</f>
        <v>0</v>
      </c>
      <c r="AL7" s="152" t="s">
        <v>132</v>
      </c>
      <c r="AM7" s="153">
        <v>2</v>
      </c>
    </row>
    <row r="8" spans="1:39" ht="12.75">
      <c r="A8" s="3">
        <v>37043</v>
      </c>
      <c r="B8" s="107">
        <v>4665006.661129819</v>
      </c>
      <c r="C8" s="108">
        <v>29.8</v>
      </c>
      <c r="D8" s="108">
        <v>79.69999999999997</v>
      </c>
      <c r="E8" s="50">
        <v>30</v>
      </c>
      <c r="F8" s="50">
        <v>0</v>
      </c>
      <c r="G8" s="181">
        <v>0</v>
      </c>
      <c r="H8" s="104">
        <v>1704.9926686059384</v>
      </c>
      <c r="I8" s="9">
        <f t="shared" si="2"/>
        <v>4687078.377693204</v>
      </c>
      <c r="J8" s="55">
        <f t="shared" si="0"/>
        <v>22071.71656338498</v>
      </c>
      <c r="K8" s="98">
        <f t="shared" si="1"/>
        <v>0.004731336558914886</v>
      </c>
      <c r="L8" s="29" t="s">
        <v>25</v>
      </c>
      <c r="M8" s="29">
        <v>0.8836980561667124</v>
      </c>
      <c r="X8"/>
      <c r="Z8" s="214"/>
      <c r="AA8" s="151">
        <v>2007</v>
      </c>
      <c r="AB8" s="149">
        <v>0</v>
      </c>
      <c r="AC8" s="6">
        <v>0</v>
      </c>
      <c r="AD8" s="6">
        <f aca="true" t="shared" si="5" ref="AD8:AD17">+AC8*0.5</f>
        <v>0</v>
      </c>
      <c r="AE8" s="119">
        <f t="shared" si="3"/>
        <v>0</v>
      </c>
      <c r="AF8" s="119">
        <f>+AE8-AA48</f>
        <v>0</v>
      </c>
      <c r="AG8" s="6">
        <f>+AF8/$AM$18</f>
        <v>0</v>
      </c>
      <c r="AH8" s="6"/>
      <c r="AI8" s="6">
        <f>+Z60</f>
        <v>0</v>
      </c>
      <c r="AJ8" s="6">
        <f t="shared" si="4"/>
        <v>0</v>
      </c>
      <c r="AL8" s="152" t="s">
        <v>133</v>
      </c>
      <c r="AM8" s="153">
        <v>3</v>
      </c>
    </row>
    <row r="9" spans="1:39" ht="12.75">
      <c r="A9" s="3">
        <v>37073</v>
      </c>
      <c r="B9" s="107">
        <v>5115619.360782708</v>
      </c>
      <c r="C9" s="108">
        <v>9.3</v>
      </c>
      <c r="D9" s="108">
        <v>100.9</v>
      </c>
      <c r="E9" s="50">
        <v>31</v>
      </c>
      <c r="F9" s="50">
        <v>0</v>
      </c>
      <c r="G9" s="181">
        <v>0</v>
      </c>
      <c r="H9" s="104">
        <v>1704.15954008355</v>
      </c>
      <c r="I9" s="9">
        <f t="shared" si="2"/>
        <v>4847933.379572157</v>
      </c>
      <c r="J9" s="55">
        <f t="shared" si="0"/>
        <v>-267685.9812105512</v>
      </c>
      <c r="K9" s="98">
        <f t="shared" si="1"/>
        <v>-0.052327189013061035</v>
      </c>
      <c r="L9" s="29" t="s">
        <v>26</v>
      </c>
      <c r="M9" s="29">
        <v>358476.95983742736</v>
      </c>
      <c r="X9"/>
      <c r="Z9" s="214"/>
      <c r="AA9" s="151">
        <v>2008</v>
      </c>
      <c r="AB9" s="149">
        <v>0</v>
      </c>
      <c r="AC9" s="6">
        <v>0</v>
      </c>
      <c r="AD9" s="6">
        <f t="shared" si="5"/>
        <v>0</v>
      </c>
      <c r="AE9" s="119">
        <f t="shared" si="3"/>
        <v>0</v>
      </c>
      <c r="AF9" s="119">
        <f>+AE9-AA60</f>
        <v>0</v>
      </c>
      <c r="AG9" s="6">
        <f>+AF9/$AM$18</f>
        <v>0</v>
      </c>
      <c r="AH9" s="6"/>
      <c r="AI9" s="6">
        <f>+AD36</f>
        <v>0</v>
      </c>
      <c r="AJ9" s="6">
        <f t="shared" si="4"/>
        <v>0</v>
      </c>
      <c r="AL9" s="152" t="s">
        <v>134</v>
      </c>
      <c r="AM9" s="153">
        <v>4</v>
      </c>
    </row>
    <row r="10" spans="1:39" ht="13.5" thickBot="1">
      <c r="A10" s="3">
        <v>37104</v>
      </c>
      <c r="B10" s="107">
        <v>5093901.995198485</v>
      </c>
      <c r="C10" s="108">
        <v>0</v>
      </c>
      <c r="D10" s="108">
        <v>160.00000000000003</v>
      </c>
      <c r="E10" s="50">
        <v>31</v>
      </c>
      <c r="F10" s="50">
        <v>0</v>
      </c>
      <c r="G10" s="181">
        <v>0</v>
      </c>
      <c r="H10" s="104">
        <v>1703.3268186615246</v>
      </c>
      <c r="I10" s="9">
        <f t="shared" si="2"/>
        <v>5219738.733138463</v>
      </c>
      <c r="J10" s="55">
        <f t="shared" si="0"/>
        <v>125836.73793997802</v>
      </c>
      <c r="K10" s="98">
        <f t="shared" si="1"/>
        <v>0.024703407733127136</v>
      </c>
      <c r="L10" s="42" t="s">
        <v>27</v>
      </c>
      <c r="M10" s="42">
        <v>178</v>
      </c>
      <c r="X10"/>
      <c r="Z10" s="214"/>
      <c r="AA10" s="151">
        <v>2009</v>
      </c>
      <c r="AB10" s="149">
        <v>0</v>
      </c>
      <c r="AC10" s="6">
        <v>0</v>
      </c>
      <c r="AD10" s="6">
        <f t="shared" si="5"/>
        <v>0</v>
      </c>
      <c r="AE10" s="119">
        <f t="shared" si="3"/>
        <v>0</v>
      </c>
      <c r="AF10" s="119">
        <f>+AE10-AE36</f>
        <v>0</v>
      </c>
      <c r="AG10" s="6">
        <f aca="true" t="shared" si="6" ref="AG10:AG17">+AF10/$AM$18</f>
        <v>0</v>
      </c>
      <c r="AH10" s="6"/>
      <c r="AI10" s="6">
        <f>+AD48</f>
        <v>0</v>
      </c>
      <c r="AJ10" s="6">
        <f t="shared" si="4"/>
        <v>0</v>
      </c>
      <c r="AL10" s="152" t="s">
        <v>135</v>
      </c>
      <c r="AM10" s="153">
        <v>5</v>
      </c>
    </row>
    <row r="11" spans="1:39" ht="12.75">
      <c r="A11" s="3">
        <v>37135</v>
      </c>
      <c r="B11" s="107">
        <v>4503908.09395698</v>
      </c>
      <c r="C11" s="108">
        <v>73.60000000000001</v>
      </c>
      <c r="D11" s="108">
        <v>35.7</v>
      </c>
      <c r="E11" s="50">
        <v>30</v>
      </c>
      <c r="F11" s="50">
        <v>1</v>
      </c>
      <c r="G11" s="181">
        <v>0</v>
      </c>
      <c r="H11" s="104">
        <v>1702.494504140937</v>
      </c>
      <c r="I11" s="9">
        <f t="shared" si="2"/>
        <v>4256484.897013916</v>
      </c>
      <c r="J11" s="55">
        <f t="shared" si="0"/>
        <v>-247423.19694306422</v>
      </c>
      <c r="K11" s="98">
        <f t="shared" si="1"/>
        <v>-0.054935223317509274</v>
      </c>
      <c r="X11"/>
      <c r="Z11" s="214"/>
      <c r="AA11" s="151">
        <v>2010</v>
      </c>
      <c r="AB11" s="149">
        <v>0</v>
      </c>
      <c r="AC11" s="6">
        <v>0</v>
      </c>
      <c r="AD11" s="6">
        <f t="shared" si="5"/>
        <v>0</v>
      </c>
      <c r="AE11" s="119">
        <f t="shared" si="3"/>
        <v>0</v>
      </c>
      <c r="AF11" s="119">
        <f>+AE11-AE48</f>
        <v>0</v>
      </c>
      <c r="AG11" s="6">
        <f t="shared" si="6"/>
        <v>0</v>
      </c>
      <c r="AH11" s="6"/>
      <c r="AI11" s="6">
        <f>+AD60</f>
        <v>0</v>
      </c>
      <c r="AJ11" s="6">
        <f t="shared" si="4"/>
        <v>0</v>
      </c>
      <c r="AL11" s="152" t="s">
        <v>136</v>
      </c>
      <c r="AM11" s="153">
        <v>6</v>
      </c>
    </row>
    <row r="12" spans="1:39" ht="13.5" thickBot="1">
      <c r="A12" s="3">
        <v>37165</v>
      </c>
      <c r="B12" s="107">
        <v>4524107.496757228</v>
      </c>
      <c r="C12" s="108">
        <v>232.49999999999997</v>
      </c>
      <c r="D12" s="108">
        <v>2</v>
      </c>
      <c r="E12" s="50">
        <v>31</v>
      </c>
      <c r="F12" s="50">
        <v>1</v>
      </c>
      <c r="G12" s="181">
        <v>0</v>
      </c>
      <c r="H12" s="104">
        <v>1701.6625963229583</v>
      </c>
      <c r="I12" s="9">
        <f t="shared" si="2"/>
        <v>4430718.811723518</v>
      </c>
      <c r="J12" s="55">
        <f t="shared" si="0"/>
        <v>-93388.68503370974</v>
      </c>
      <c r="K12" s="98">
        <f t="shared" si="1"/>
        <v>-0.02064245491528407</v>
      </c>
      <c r="L12" t="s">
        <v>28</v>
      </c>
      <c r="X12"/>
      <c r="Z12" s="214"/>
      <c r="AA12" s="151">
        <v>2011</v>
      </c>
      <c r="AB12" s="149">
        <v>0</v>
      </c>
      <c r="AC12" s="6">
        <v>0</v>
      </c>
      <c r="AD12" s="6">
        <f t="shared" si="5"/>
        <v>0</v>
      </c>
      <c r="AE12" s="119">
        <f t="shared" si="3"/>
        <v>0</v>
      </c>
      <c r="AF12" s="119">
        <f>+AE12-AE60</f>
        <v>0</v>
      </c>
      <c r="AG12" s="6">
        <f t="shared" si="6"/>
        <v>0</v>
      </c>
      <c r="AH12" s="6"/>
      <c r="AI12" s="6">
        <f>+AH36</f>
        <v>0</v>
      </c>
      <c r="AJ12" s="6">
        <f t="shared" si="4"/>
        <v>0</v>
      </c>
      <c r="AL12" s="152" t="s">
        <v>137</v>
      </c>
      <c r="AM12" s="153">
        <v>7</v>
      </c>
    </row>
    <row r="13" spans="1:39" ht="12.75">
      <c r="A13" s="3">
        <v>37196</v>
      </c>
      <c r="B13" s="107">
        <v>4659980.941740411</v>
      </c>
      <c r="C13" s="108">
        <v>325.80000000000007</v>
      </c>
      <c r="D13" s="108">
        <v>0</v>
      </c>
      <c r="E13" s="50">
        <v>30</v>
      </c>
      <c r="F13" s="50">
        <v>1</v>
      </c>
      <c r="G13" s="181">
        <v>0</v>
      </c>
      <c r="H13" s="104">
        <v>1700.8310950088573</v>
      </c>
      <c r="I13" s="9">
        <f t="shared" si="2"/>
        <v>4546733.704663785</v>
      </c>
      <c r="J13" s="55">
        <f t="shared" si="0"/>
        <v>-113247.23707662616</v>
      </c>
      <c r="K13" s="98">
        <f t="shared" si="1"/>
        <v>-0.024302081594851015</v>
      </c>
      <c r="L13" s="43"/>
      <c r="M13" s="43" t="s">
        <v>32</v>
      </c>
      <c r="N13" s="43" t="s">
        <v>33</v>
      </c>
      <c r="O13" s="43" t="s">
        <v>34</v>
      </c>
      <c r="P13" s="43" t="s">
        <v>35</v>
      </c>
      <c r="Q13" s="43" t="s">
        <v>36</v>
      </c>
      <c r="X13"/>
      <c r="Z13" s="214"/>
      <c r="AA13" s="151">
        <v>2012</v>
      </c>
      <c r="AB13" s="149">
        <v>0</v>
      </c>
      <c r="AC13" s="6">
        <v>0</v>
      </c>
      <c r="AD13" s="6">
        <f t="shared" si="5"/>
        <v>0</v>
      </c>
      <c r="AE13" s="119">
        <f t="shared" si="3"/>
        <v>0</v>
      </c>
      <c r="AF13" s="119">
        <f>+AE13-AI36</f>
        <v>0</v>
      </c>
      <c r="AG13" s="6">
        <f t="shared" si="6"/>
        <v>0</v>
      </c>
      <c r="AH13" s="6"/>
      <c r="AI13" s="6">
        <f>+AH48</f>
        <v>0</v>
      </c>
      <c r="AJ13" s="6">
        <f t="shared" si="4"/>
        <v>0</v>
      </c>
      <c r="AL13" s="152" t="s">
        <v>138</v>
      </c>
      <c r="AM13" s="153">
        <v>8</v>
      </c>
    </row>
    <row r="14" spans="1:39" ht="13.5" thickBot="1">
      <c r="A14" s="3">
        <v>37226</v>
      </c>
      <c r="B14" s="107">
        <v>5149508.01663979</v>
      </c>
      <c r="C14" s="108">
        <v>504.99999999999994</v>
      </c>
      <c r="D14" s="108">
        <v>0</v>
      </c>
      <c r="E14" s="50">
        <v>31</v>
      </c>
      <c r="F14" s="50">
        <v>0</v>
      </c>
      <c r="G14" s="181">
        <v>0</v>
      </c>
      <c r="H14" s="104">
        <v>1700</v>
      </c>
      <c r="I14" s="9">
        <f t="shared" si="2"/>
        <v>5210806.303900689</v>
      </c>
      <c r="J14" s="55">
        <f t="shared" si="0"/>
        <v>61298.28726089932</v>
      </c>
      <c r="K14" s="98">
        <f t="shared" si="1"/>
        <v>0.011903717221688747</v>
      </c>
      <c r="L14" s="29" t="s">
        <v>29</v>
      </c>
      <c r="M14" s="29">
        <v>6</v>
      </c>
      <c r="N14" s="29">
        <v>173598470850597.5</v>
      </c>
      <c r="O14" s="29">
        <v>28933078475099.582</v>
      </c>
      <c r="P14" s="29">
        <v>225.15010272129774</v>
      </c>
      <c r="Q14" s="29">
        <v>2.0085323185758906E-78</v>
      </c>
      <c r="X14"/>
      <c r="Z14" s="214"/>
      <c r="AA14" s="182">
        <v>2013</v>
      </c>
      <c r="AB14" s="183">
        <v>0</v>
      </c>
      <c r="AC14" s="136">
        <v>0</v>
      </c>
      <c r="AD14" s="136">
        <f t="shared" si="5"/>
        <v>0</v>
      </c>
      <c r="AE14" s="184">
        <f t="shared" si="3"/>
        <v>0</v>
      </c>
      <c r="AF14" s="184">
        <f>+AE14-AI48</f>
        <v>0</v>
      </c>
      <c r="AG14" s="136">
        <f t="shared" si="6"/>
        <v>0</v>
      </c>
      <c r="AH14" s="136"/>
      <c r="AI14" s="136">
        <f>+AH60</f>
        <v>0</v>
      </c>
      <c r="AJ14" s="136">
        <f t="shared" si="4"/>
        <v>0</v>
      </c>
      <c r="AL14" s="152" t="s">
        <v>139</v>
      </c>
      <c r="AM14" s="153">
        <v>9</v>
      </c>
    </row>
    <row r="15" spans="1:39" ht="12.75">
      <c r="A15" s="3">
        <v>37257</v>
      </c>
      <c r="B15" s="107">
        <v>5469140.807175279</v>
      </c>
      <c r="C15" s="108">
        <v>572.1999999999999</v>
      </c>
      <c r="D15" s="108">
        <v>0</v>
      </c>
      <c r="E15" s="9">
        <v>31</v>
      </c>
      <c r="F15" s="50">
        <v>0</v>
      </c>
      <c r="G15" s="181">
        <v>0</v>
      </c>
      <c r="H15" s="104">
        <v>1701.079554803978</v>
      </c>
      <c r="I15" s="9">
        <f t="shared" si="2"/>
        <v>5356224.8280715905</v>
      </c>
      <c r="J15" s="55">
        <f t="shared" si="0"/>
        <v>-112915.97910368815</v>
      </c>
      <c r="K15" s="98">
        <f t="shared" si="1"/>
        <v>-0.020646017918490453</v>
      </c>
      <c r="L15" s="29" t="s">
        <v>30</v>
      </c>
      <c r="M15" s="29">
        <v>171</v>
      </c>
      <c r="N15" s="29">
        <v>21974479955562.65</v>
      </c>
      <c r="O15" s="29">
        <v>128505730734.2845</v>
      </c>
      <c r="P15" s="29"/>
      <c r="Q15" s="29"/>
      <c r="X15"/>
      <c r="Z15" s="214"/>
      <c r="AA15" s="151">
        <v>2014</v>
      </c>
      <c r="AB15" s="149">
        <v>0</v>
      </c>
      <c r="AD15" s="6">
        <f t="shared" si="5"/>
        <v>0</v>
      </c>
      <c r="AE15" s="119">
        <f t="shared" si="3"/>
        <v>0</v>
      </c>
      <c r="AF15" s="119">
        <f>+AE15-AI60</f>
        <v>0</v>
      </c>
      <c r="AG15" s="6">
        <f t="shared" si="6"/>
        <v>0</v>
      </c>
      <c r="AH15" s="6"/>
      <c r="AI15" s="6">
        <f>+AL36</f>
        <v>0</v>
      </c>
      <c r="AJ15" s="6">
        <f t="shared" si="4"/>
        <v>0</v>
      </c>
      <c r="AK15" s="81">
        <f>2487*55</f>
        <v>136785</v>
      </c>
      <c r="AL15" s="152" t="s">
        <v>140</v>
      </c>
      <c r="AM15" s="153">
        <v>10</v>
      </c>
    </row>
    <row r="16" spans="1:39" ht="12.75" customHeight="1" thickBot="1">
      <c r="A16" s="3">
        <v>37288</v>
      </c>
      <c r="B16" s="107">
        <v>4983545.284479028</v>
      </c>
      <c r="C16" s="108">
        <v>540.2000000000002</v>
      </c>
      <c r="D16" s="108">
        <v>0</v>
      </c>
      <c r="E16" s="9">
        <v>28</v>
      </c>
      <c r="F16" s="50">
        <v>0</v>
      </c>
      <c r="G16" s="181">
        <v>0</v>
      </c>
      <c r="H16" s="104">
        <v>1702.1597951600588</v>
      </c>
      <c r="I16" s="9">
        <f t="shared" si="2"/>
        <v>5095605.899726023</v>
      </c>
      <c r="J16" s="55">
        <f t="shared" si="0"/>
        <v>112060.61524699535</v>
      </c>
      <c r="K16" s="98">
        <f t="shared" si="1"/>
        <v>0.022486123602809802</v>
      </c>
      <c r="L16" s="42" t="s">
        <v>6</v>
      </c>
      <c r="M16" s="42">
        <v>177</v>
      </c>
      <c r="N16" s="42">
        <v>195572950806160.16</v>
      </c>
      <c r="O16" s="42"/>
      <c r="P16" s="42"/>
      <c r="Q16" s="42"/>
      <c r="X16"/>
      <c r="Z16" s="214"/>
      <c r="AA16" s="151">
        <v>2015</v>
      </c>
      <c r="AB16" s="149">
        <f>+AB15+AC15</f>
        <v>0</v>
      </c>
      <c r="AC16" s="6">
        <v>388007.8824148943</v>
      </c>
      <c r="AD16" s="6">
        <f t="shared" si="5"/>
        <v>194003.94120744715</v>
      </c>
      <c r="AE16" s="206">
        <f>+AB16+AD16-AK15</f>
        <v>57218.94120744715</v>
      </c>
      <c r="AF16" s="119">
        <f>+AE16-AM36</f>
        <v>57218.94120744715</v>
      </c>
      <c r="AG16" s="6">
        <f>+AF16/(AM16+AM17)</f>
        <v>2487.780052497702</v>
      </c>
      <c r="AH16" s="6">
        <f>+AP46</f>
        <v>136827.90288737364</v>
      </c>
      <c r="AI16" s="6">
        <f>+AL48</f>
        <v>57218.94120744715</v>
      </c>
      <c r="AJ16" s="6">
        <f t="shared" si="4"/>
        <v>0</v>
      </c>
      <c r="AL16" s="152" t="s">
        <v>141</v>
      </c>
      <c r="AM16" s="153">
        <v>11</v>
      </c>
    </row>
    <row r="17" spans="1:39" ht="12.75" customHeight="1" thickBot="1">
      <c r="A17" s="3">
        <v>37316</v>
      </c>
      <c r="B17" s="107">
        <v>5315790.77175224</v>
      </c>
      <c r="C17" s="108">
        <v>545.6</v>
      </c>
      <c r="D17" s="108">
        <v>0</v>
      </c>
      <c r="E17" s="9">
        <v>31</v>
      </c>
      <c r="F17" s="50">
        <v>1</v>
      </c>
      <c r="G17" s="181">
        <v>0</v>
      </c>
      <c r="H17" s="104">
        <v>1703.24072150359</v>
      </c>
      <c r="I17" s="9">
        <f t="shared" si="2"/>
        <v>5084358.516165826</v>
      </c>
      <c r="J17" s="55">
        <f t="shared" si="0"/>
        <v>-231432.2555864146</v>
      </c>
      <c r="K17" s="98">
        <f t="shared" si="1"/>
        <v>-0.043536750320616505</v>
      </c>
      <c r="X17"/>
      <c r="Z17" s="214"/>
      <c r="AA17" s="151">
        <v>2016</v>
      </c>
      <c r="AB17" s="149">
        <f>+AB16+AC16-(AK15*2)</f>
        <v>114437.8824148943</v>
      </c>
      <c r="AC17" s="6">
        <v>379638.97903039795</v>
      </c>
      <c r="AD17" s="6">
        <f t="shared" si="5"/>
        <v>189819.48951519898</v>
      </c>
      <c r="AE17" s="119">
        <f t="shared" si="3"/>
        <v>304257.3719300933</v>
      </c>
      <c r="AF17" s="119">
        <f>+AE17-AM48</f>
        <v>-53982.95562957582</v>
      </c>
      <c r="AG17" s="6">
        <f t="shared" si="6"/>
        <v>-692.0891747381515</v>
      </c>
      <c r="AH17" s="6"/>
      <c r="AI17" s="6">
        <f>+AL60</f>
        <v>304257.37193009333</v>
      </c>
      <c r="AJ17" s="6">
        <f t="shared" si="4"/>
        <v>0</v>
      </c>
      <c r="AL17" s="152" t="s">
        <v>142</v>
      </c>
      <c r="AM17" s="154">
        <v>12</v>
      </c>
    </row>
    <row r="18" spans="1:39" ht="12.75" customHeight="1" thickBot="1">
      <c r="A18" s="3">
        <v>37347</v>
      </c>
      <c r="B18" s="107">
        <v>4758965.52877711</v>
      </c>
      <c r="C18" s="108">
        <v>329.49999999999994</v>
      </c>
      <c r="D18" s="108">
        <v>8.3</v>
      </c>
      <c r="E18" s="9">
        <v>30</v>
      </c>
      <c r="F18" s="50">
        <v>1</v>
      </c>
      <c r="G18" s="181">
        <v>0</v>
      </c>
      <c r="H18" s="104">
        <v>1704.322334270196</v>
      </c>
      <c r="I18" s="9">
        <f t="shared" si="2"/>
        <v>4620579.661574135</v>
      </c>
      <c r="J18" s="55">
        <f t="shared" si="0"/>
        <v>-138385.8672029758</v>
      </c>
      <c r="K18" s="98">
        <f t="shared" si="1"/>
        <v>-0.029078980792394217</v>
      </c>
      <c r="L18" s="43"/>
      <c r="M18" s="43" t="s">
        <v>37</v>
      </c>
      <c r="N18" s="43" t="s">
        <v>26</v>
      </c>
      <c r="O18" s="43" t="s">
        <v>38</v>
      </c>
      <c r="P18" s="43" t="s">
        <v>39</v>
      </c>
      <c r="Q18" s="43" t="s">
        <v>40</v>
      </c>
      <c r="R18" s="43" t="s">
        <v>41</v>
      </c>
      <c r="S18" s="43" t="s">
        <v>42</v>
      </c>
      <c r="T18" s="43" t="s">
        <v>43</v>
      </c>
      <c r="X18"/>
      <c r="Y18" s="150"/>
      <c r="Z18" s="151"/>
      <c r="AA18" s="150"/>
      <c r="AB18" s="149">
        <f>SUM(AB6:AB17)</f>
        <v>114437.8824148943</v>
      </c>
      <c r="AC18" s="6">
        <f>SUM(AC6:AC17)</f>
        <v>767646.8614452922</v>
      </c>
      <c r="AE18" s="156">
        <f>SUM(AE6:AE17)</f>
        <v>361476.3131375404</v>
      </c>
      <c r="AF18" s="157"/>
      <c r="AG18" s="157"/>
      <c r="AH18" s="157"/>
      <c r="AI18" s="6">
        <f>SUM(AI6:AI17)</f>
        <v>361476.3131375405</v>
      </c>
      <c r="AJ18" s="6">
        <f t="shared" si="4"/>
        <v>0</v>
      </c>
      <c r="AL18" s="152" t="s">
        <v>6</v>
      </c>
      <c r="AM18" s="158">
        <f>SUM(AM6:AM17)</f>
        <v>78</v>
      </c>
    </row>
    <row r="19" spans="1:33" ht="12.75" customHeight="1">
      <c r="A19" s="3">
        <v>37377</v>
      </c>
      <c r="B19" s="107">
        <v>4528041.7017345205</v>
      </c>
      <c r="C19" s="108">
        <v>227.5</v>
      </c>
      <c r="D19" s="108">
        <v>7.800000000000001</v>
      </c>
      <c r="E19" s="9">
        <v>31</v>
      </c>
      <c r="F19" s="50">
        <v>1</v>
      </c>
      <c r="G19" s="181">
        <v>0</v>
      </c>
      <c r="H19" s="104">
        <v>1705.4046338957774</v>
      </c>
      <c r="I19" s="9">
        <f t="shared" si="2"/>
        <v>4470265.990901498</v>
      </c>
      <c r="J19" s="55">
        <f t="shared" si="0"/>
        <v>-57775.71083302237</v>
      </c>
      <c r="K19" s="98">
        <f t="shared" si="1"/>
        <v>-0.012759535940424465</v>
      </c>
      <c r="L19" s="29" t="s">
        <v>31</v>
      </c>
      <c r="M19" s="29">
        <v>-3087901.4202363123</v>
      </c>
      <c r="N19" s="29">
        <v>1040964.4179336737</v>
      </c>
      <c r="O19" s="29">
        <v>-2.9663851780504005</v>
      </c>
      <c r="P19" s="29">
        <v>0.0034446690392879635</v>
      </c>
      <c r="Q19" s="29">
        <v>-5142696.429808766</v>
      </c>
      <c r="R19" s="29">
        <v>-1033106.4106638588</v>
      </c>
      <c r="S19" s="29">
        <v>-5142696.429808766</v>
      </c>
      <c r="T19" s="29">
        <v>-1033106.4106638588</v>
      </c>
      <c r="X19"/>
      <c r="Y19" s="8"/>
      <c r="Z19" s="8"/>
      <c r="AA19" s="8"/>
      <c r="AB19" s="223">
        <f>+AB18+AC18</f>
        <v>882084.7438601865</v>
      </c>
      <c r="AC19" s="223"/>
      <c r="AG19" s="6"/>
    </row>
    <row r="20" spans="1:33" ht="12.75" customHeight="1">
      <c r="A20" s="3">
        <v>37408</v>
      </c>
      <c r="B20" s="107">
        <v>4807594.8236906</v>
      </c>
      <c r="C20" s="108">
        <v>36.2</v>
      </c>
      <c r="D20" s="108">
        <v>70</v>
      </c>
      <c r="E20" s="9">
        <v>30</v>
      </c>
      <c r="F20" s="50">
        <v>0</v>
      </c>
      <c r="G20" s="181">
        <v>0</v>
      </c>
      <c r="H20" s="104">
        <v>1706.4876208165117</v>
      </c>
      <c r="I20" s="9">
        <f t="shared" si="2"/>
        <v>4640518.160859896</v>
      </c>
      <c r="J20" s="55">
        <f t="shared" si="0"/>
        <v>-167076.6628307039</v>
      </c>
      <c r="K20" s="98">
        <f t="shared" si="1"/>
        <v>-0.03475265053689482</v>
      </c>
      <c r="L20" s="29" t="s">
        <v>1</v>
      </c>
      <c r="M20" s="29">
        <v>2114.8002478623284</v>
      </c>
      <c r="N20" s="29">
        <v>174.32289923733921</v>
      </c>
      <c r="O20" s="29">
        <v>12.131511448665416</v>
      </c>
      <c r="P20" s="29">
        <v>7.811618907532639E-25</v>
      </c>
      <c r="Q20" s="29">
        <v>1770.6983580800502</v>
      </c>
      <c r="R20" s="29">
        <v>2458.9021376446067</v>
      </c>
      <c r="S20" s="29">
        <v>1770.6983580800502</v>
      </c>
      <c r="T20" s="29">
        <v>2458.9021376446067</v>
      </c>
      <c r="X20"/>
      <c r="Y20" s="8"/>
      <c r="Z20" s="8"/>
      <c r="AA20" s="8"/>
      <c r="AG20" s="6"/>
    </row>
    <row r="21" spans="1:33" ht="12.75" customHeight="1">
      <c r="A21" s="3">
        <v>37438</v>
      </c>
      <c r="B21" s="107">
        <v>5397852.978224151</v>
      </c>
      <c r="C21" s="108">
        <v>0</v>
      </c>
      <c r="D21" s="108">
        <v>192.39999999999998</v>
      </c>
      <c r="E21" s="9">
        <v>31</v>
      </c>
      <c r="F21" s="50">
        <v>0</v>
      </c>
      <c r="G21" s="181">
        <v>0</v>
      </c>
      <c r="H21" s="104">
        <v>1707.5712954688536</v>
      </c>
      <c r="I21" s="9">
        <f t="shared" si="2"/>
        <v>5448740.632543592</v>
      </c>
      <c r="J21" s="55">
        <f t="shared" si="0"/>
        <v>50887.654319440946</v>
      </c>
      <c r="K21" s="98">
        <f t="shared" si="1"/>
        <v>0.009427387986432815</v>
      </c>
      <c r="L21" s="29" t="s">
        <v>2</v>
      </c>
      <c r="M21" s="29">
        <v>6667.030738940228</v>
      </c>
      <c r="N21" s="29">
        <v>1036.8350496329294</v>
      </c>
      <c r="O21" s="29">
        <v>6.430174926378652</v>
      </c>
      <c r="P21" s="29">
        <v>1.2273650738943577E-09</v>
      </c>
      <c r="Q21" s="29">
        <v>4620.38682966561</v>
      </c>
      <c r="R21" s="29">
        <v>8713.674648214845</v>
      </c>
      <c r="S21" s="29">
        <v>4620.38682966561</v>
      </c>
      <c r="T21" s="29">
        <v>8713.674648214845</v>
      </c>
      <c r="X21"/>
      <c r="Y21" s="8"/>
      <c r="Z21" s="8"/>
      <c r="AA21" s="8"/>
      <c r="AG21" s="6"/>
    </row>
    <row r="22" spans="1:33" ht="12.75" customHeight="1">
      <c r="A22" s="3">
        <v>37469</v>
      </c>
      <c r="B22" s="107">
        <v>5262495.7747879</v>
      </c>
      <c r="C22" s="108">
        <v>0.2</v>
      </c>
      <c r="D22" s="108">
        <v>142.70000000000002</v>
      </c>
      <c r="E22" s="9">
        <v>31</v>
      </c>
      <c r="F22" s="50">
        <v>0</v>
      </c>
      <c r="G22" s="181">
        <v>0</v>
      </c>
      <c r="H22" s="104">
        <v>1708.6556582895348</v>
      </c>
      <c r="I22" s="9">
        <f t="shared" si="2"/>
        <v>5121130.827184062</v>
      </c>
      <c r="J22" s="55">
        <f t="shared" si="0"/>
        <v>-141364.9476038376</v>
      </c>
      <c r="K22" s="98">
        <f t="shared" si="1"/>
        <v>-0.026862719449790944</v>
      </c>
      <c r="L22" s="29" t="s">
        <v>3</v>
      </c>
      <c r="M22" s="29">
        <v>65417.122013903536</v>
      </c>
      <c r="N22" s="29">
        <v>33959.92350473946</v>
      </c>
      <c r="O22" s="29">
        <v>1.926303573822064</v>
      </c>
      <c r="P22" s="29">
        <v>0.05572494345484705</v>
      </c>
      <c r="Q22" s="29">
        <v>-1617.5240708458077</v>
      </c>
      <c r="R22" s="29">
        <v>132451.7680986529</v>
      </c>
      <c r="S22" s="29">
        <v>-1617.5240708458077</v>
      </c>
      <c r="T22" s="29">
        <v>132451.7680986529</v>
      </c>
      <c r="X22"/>
      <c r="Y22" s="8"/>
      <c r="Z22" s="8"/>
      <c r="AA22" s="8"/>
      <c r="AG22" s="6"/>
    </row>
    <row r="23" spans="1:33" ht="12.75" customHeight="1">
      <c r="A23" s="3">
        <v>37500</v>
      </c>
      <c r="B23" s="107">
        <v>4744805.10345544</v>
      </c>
      <c r="C23" s="108">
        <v>21.8</v>
      </c>
      <c r="D23" s="108">
        <v>87.60000000000001</v>
      </c>
      <c r="E23" s="9">
        <v>30</v>
      </c>
      <c r="F23" s="50">
        <v>1</v>
      </c>
      <c r="G23" s="181">
        <v>0</v>
      </c>
      <c r="H23" s="104">
        <v>1709.7407097155644</v>
      </c>
      <c r="I23" s="9">
        <f t="shared" si="2"/>
        <v>4515133.950568508</v>
      </c>
      <c r="J23" s="55">
        <f t="shared" si="0"/>
        <v>-229671.15288693178</v>
      </c>
      <c r="K23" s="98">
        <f t="shared" si="1"/>
        <v>-0.048404760128012855</v>
      </c>
      <c r="L23" s="29" t="s">
        <v>20</v>
      </c>
      <c r="M23" s="29">
        <v>-222226.81601365402</v>
      </c>
      <c r="N23" s="29">
        <v>74270.14360535172</v>
      </c>
      <c r="O23" s="29">
        <v>-2.9921419998121683</v>
      </c>
      <c r="P23" s="29">
        <v>0.003180275680381858</v>
      </c>
      <c r="Q23" s="29">
        <v>-368831.1742523714</v>
      </c>
      <c r="R23" s="29">
        <v>-75622.45777493666</v>
      </c>
      <c r="S23" s="29">
        <v>-368831.1742523714</v>
      </c>
      <c r="T23" s="29">
        <v>-75622.45777493666</v>
      </c>
      <c r="X23"/>
      <c r="Y23" s="8"/>
      <c r="Z23" s="8"/>
      <c r="AA23" s="8"/>
      <c r="AG23" s="6"/>
    </row>
    <row r="24" spans="1:33" ht="12.75" customHeight="1">
      <c r="A24" s="3">
        <v>37530</v>
      </c>
      <c r="B24" s="107">
        <v>4705098.007717479</v>
      </c>
      <c r="C24" s="108">
        <v>292.2</v>
      </c>
      <c r="D24" s="108">
        <v>10</v>
      </c>
      <c r="E24" s="9">
        <v>31</v>
      </c>
      <c r="F24" s="50">
        <v>1</v>
      </c>
      <c r="G24" s="181">
        <v>0</v>
      </c>
      <c r="H24" s="104">
        <v>1710.826450184229</v>
      </c>
      <c r="I24" s="9">
        <f t="shared" si="2"/>
        <v>4638354.352832268</v>
      </c>
      <c r="J24" s="55">
        <f t="shared" si="0"/>
        <v>-66743.65488521103</v>
      </c>
      <c r="K24" s="98">
        <f t="shared" si="1"/>
        <v>-0.014185390989887048</v>
      </c>
      <c r="L24" s="29" t="s">
        <v>147</v>
      </c>
      <c r="M24" s="29">
        <v>-185815.6722155694</v>
      </c>
      <c r="N24" s="29">
        <v>365150.5371160941</v>
      </c>
      <c r="O24" s="29">
        <v>-0.5088741582666552</v>
      </c>
      <c r="P24" s="29">
        <v>0.6114963906998965</v>
      </c>
      <c r="Q24" s="29">
        <v>-906598.7157880135</v>
      </c>
      <c r="R24" s="29">
        <v>534967.3713568747</v>
      </c>
      <c r="S24" s="29">
        <v>-906598.7157880135</v>
      </c>
      <c r="T24" s="29">
        <v>534967.3713568747</v>
      </c>
      <c r="X24"/>
      <c r="Y24" s="8"/>
      <c r="Z24" s="8"/>
      <c r="AA24" s="8"/>
      <c r="AG24" s="6"/>
    </row>
    <row r="25" spans="1:40" ht="12.75" customHeight="1" thickBot="1">
      <c r="A25" s="3">
        <v>37561</v>
      </c>
      <c r="B25" s="107">
        <v>5029100.504942206</v>
      </c>
      <c r="C25" s="108">
        <v>445</v>
      </c>
      <c r="D25" s="108">
        <v>0</v>
      </c>
      <c r="E25" s="9">
        <v>30</v>
      </c>
      <c r="F25" s="50">
        <v>1</v>
      </c>
      <c r="G25" s="181">
        <v>0</v>
      </c>
      <c r="H25" s="104">
        <v>1711.912880133093</v>
      </c>
      <c r="I25" s="9">
        <f t="shared" si="2"/>
        <v>4832733.390006983</v>
      </c>
      <c r="J25" s="55">
        <f t="shared" si="0"/>
        <v>-196367.114935223</v>
      </c>
      <c r="K25" s="98">
        <f t="shared" si="1"/>
        <v>-0.03904617033249759</v>
      </c>
      <c r="L25" s="42" t="s">
        <v>70</v>
      </c>
      <c r="M25" s="42">
        <v>3060.4722450208915</v>
      </c>
      <c r="N25" s="42">
        <v>93.51519040161541</v>
      </c>
      <c r="O25" s="42">
        <v>32.72700650960792</v>
      </c>
      <c r="P25" s="42">
        <v>1.5439737238847557E-75</v>
      </c>
      <c r="Q25" s="42">
        <v>2875.879435462726</v>
      </c>
      <c r="R25" s="42">
        <v>3245.065054579057</v>
      </c>
      <c r="S25" s="42">
        <v>2875.879435462726</v>
      </c>
      <c r="T25" s="42">
        <v>3245.065054579057</v>
      </c>
      <c r="X25" s="3">
        <v>38353</v>
      </c>
      <c r="Y25" s="150">
        <f>+AG6</f>
        <v>0</v>
      </c>
      <c r="Z25" s="151"/>
      <c r="AA25" s="163"/>
      <c r="AB25" s="3">
        <v>39448</v>
      </c>
      <c r="AC25" s="149">
        <f>+Y60+$AG$9</f>
        <v>0</v>
      </c>
      <c r="AF25" s="3">
        <v>40544</v>
      </c>
      <c r="AG25" s="164">
        <f>+AC60+$AG$12</f>
        <v>0</v>
      </c>
      <c r="AH25" s="164"/>
      <c r="AI25" s="164"/>
      <c r="AJ25" s="3">
        <v>41640</v>
      </c>
      <c r="AK25" s="164">
        <f>+AG60+$AG$15</f>
        <v>0</v>
      </c>
      <c r="AL25" s="164"/>
      <c r="AM25" s="6"/>
      <c r="AN25" s="176"/>
    </row>
    <row r="26" spans="1:40" ht="12.75" customHeight="1">
      <c r="A26" s="3">
        <v>37591</v>
      </c>
      <c r="B26" s="107">
        <v>5709418.363390135</v>
      </c>
      <c r="C26" s="108">
        <v>619.4000000000001</v>
      </c>
      <c r="D26" s="108">
        <v>0</v>
      </c>
      <c r="E26" s="9">
        <v>31</v>
      </c>
      <c r="F26" s="51">
        <v>0</v>
      </c>
      <c r="G26" s="181">
        <v>0</v>
      </c>
      <c r="H26" s="104">
        <v>1713</v>
      </c>
      <c r="I26" s="9">
        <f t="shared" si="2"/>
        <v>5492525.591441411</v>
      </c>
      <c r="J26" s="55">
        <f t="shared" si="0"/>
        <v>-216892.77194872405</v>
      </c>
      <c r="K26" s="98">
        <f t="shared" si="1"/>
        <v>-0.03798859325837485</v>
      </c>
      <c r="X26" s="3">
        <v>38384</v>
      </c>
      <c r="Y26" s="150">
        <f>+Y25+$AG$6</f>
        <v>0</v>
      </c>
      <c r="Z26" s="151"/>
      <c r="AA26" s="163"/>
      <c r="AB26" s="3">
        <v>39479</v>
      </c>
      <c r="AC26" s="149">
        <f>+AC25+$AG$9</f>
        <v>0</v>
      </c>
      <c r="AF26" s="3">
        <v>40575</v>
      </c>
      <c r="AG26" s="164">
        <f>+AG25+$AG$12</f>
        <v>0</v>
      </c>
      <c r="AH26" s="164"/>
      <c r="AI26" s="164"/>
      <c r="AJ26" s="3">
        <v>41671</v>
      </c>
      <c r="AK26" s="164">
        <f>+AK25+$AG$15</f>
        <v>0</v>
      </c>
      <c r="AL26" s="164"/>
      <c r="AM26" s="6"/>
      <c r="AN26" s="176"/>
    </row>
    <row r="27" spans="1:40" ht="12.75" customHeight="1">
      <c r="A27" s="3">
        <v>37622</v>
      </c>
      <c r="B27" s="107">
        <v>5976895.270335993</v>
      </c>
      <c r="C27" s="108">
        <v>814.4999999999999</v>
      </c>
      <c r="D27" s="108">
        <v>0</v>
      </c>
      <c r="E27" s="9">
        <v>31</v>
      </c>
      <c r="F27" s="50">
        <v>0</v>
      </c>
      <c r="G27" s="181">
        <v>0</v>
      </c>
      <c r="H27" s="104">
        <v>1716.8682594765753</v>
      </c>
      <c r="I27" s="9">
        <f t="shared" si="2"/>
        <v>5916961.820563949</v>
      </c>
      <c r="J27" s="55">
        <f t="shared" si="0"/>
        <v>-59933.449772044085</v>
      </c>
      <c r="K27" s="98">
        <f t="shared" si="1"/>
        <v>-0.010027522160125604</v>
      </c>
      <c r="X27" s="3">
        <v>38412</v>
      </c>
      <c r="Y27" s="150">
        <f aca="true" t="shared" si="7" ref="Y27:Y36">+Y26+$AG$6</f>
        <v>0</v>
      </c>
      <c r="Z27" s="165"/>
      <c r="AA27" s="163"/>
      <c r="AB27" s="3">
        <v>39508</v>
      </c>
      <c r="AC27" s="149">
        <f aca="true" t="shared" si="8" ref="AC27:AC36">+AC26+$AG$9</f>
        <v>0</v>
      </c>
      <c r="AF27" s="3">
        <v>40603</v>
      </c>
      <c r="AG27" s="164">
        <f aca="true" t="shared" si="9" ref="AG27:AG36">+AG26+$AG$12</f>
        <v>0</v>
      </c>
      <c r="AH27" s="166"/>
      <c r="AI27" s="166"/>
      <c r="AJ27" s="3">
        <v>41699</v>
      </c>
      <c r="AK27" s="164">
        <f aca="true" t="shared" si="10" ref="AK27:AK36">+AK26+$AG$15</f>
        <v>0</v>
      </c>
      <c r="AL27" s="166"/>
      <c r="AM27" s="6"/>
      <c r="AN27" s="176"/>
    </row>
    <row r="28" spans="1:40" ht="12.75">
      <c r="A28" s="3">
        <v>37653</v>
      </c>
      <c r="B28" s="107">
        <v>5598208.092402425</v>
      </c>
      <c r="C28" s="108">
        <v>699.0000000000001</v>
      </c>
      <c r="D28" s="108">
        <v>0</v>
      </c>
      <c r="E28" s="9">
        <v>28</v>
      </c>
      <c r="F28" s="50">
        <v>0</v>
      </c>
      <c r="G28" s="181">
        <v>0</v>
      </c>
      <c r="H28" s="104">
        <v>1720.7452541728694</v>
      </c>
      <c r="I28" s="9">
        <f t="shared" si="2"/>
        <v>5488316.460556241</v>
      </c>
      <c r="J28" s="55">
        <f t="shared" si="0"/>
        <v>-109891.63184618391</v>
      </c>
      <c r="K28" s="98">
        <f t="shared" si="1"/>
        <v>-0.019629786894724884</v>
      </c>
      <c r="X28" s="3">
        <v>38443</v>
      </c>
      <c r="Y28" s="150">
        <f t="shared" si="7"/>
        <v>0</v>
      </c>
      <c r="Z28" s="151"/>
      <c r="AA28" s="163"/>
      <c r="AB28" s="3">
        <v>39539</v>
      </c>
      <c r="AC28" s="149">
        <f t="shared" si="8"/>
        <v>0</v>
      </c>
      <c r="AF28" s="3">
        <v>40634</v>
      </c>
      <c r="AG28" s="164">
        <f t="shared" si="9"/>
        <v>0</v>
      </c>
      <c r="AH28" s="166"/>
      <c r="AI28" s="166"/>
      <c r="AJ28" s="3">
        <v>41730</v>
      </c>
      <c r="AK28" s="164">
        <f t="shared" si="10"/>
        <v>0</v>
      </c>
      <c r="AL28" s="166"/>
      <c r="AM28" s="6"/>
      <c r="AN28" s="176"/>
    </row>
    <row r="29" spans="1:40" ht="12.75">
      <c r="A29" s="3">
        <v>37681</v>
      </c>
      <c r="B29" s="107">
        <v>5611630.056714614</v>
      </c>
      <c r="C29" s="108">
        <v>581.0999999999999</v>
      </c>
      <c r="D29" s="108">
        <v>0</v>
      </c>
      <c r="E29" s="9">
        <v>31</v>
      </c>
      <c r="F29" s="50">
        <v>1</v>
      </c>
      <c r="G29" s="181">
        <v>0</v>
      </c>
      <c r="H29" s="104">
        <v>1724.631003814566</v>
      </c>
      <c r="I29" s="9">
        <f t="shared" si="2"/>
        <v>5224898.290290841</v>
      </c>
      <c r="J29" s="55">
        <f t="shared" si="0"/>
        <v>-386731.766423773</v>
      </c>
      <c r="K29" s="98">
        <f t="shared" si="1"/>
        <v>-0.06891611929425531</v>
      </c>
      <c r="X29" s="3">
        <v>38473</v>
      </c>
      <c r="Y29" s="150">
        <f t="shared" si="7"/>
        <v>0</v>
      </c>
      <c r="Z29" s="151"/>
      <c r="AA29" s="163"/>
      <c r="AB29" s="3">
        <v>39569</v>
      </c>
      <c r="AC29" s="149">
        <f t="shared" si="8"/>
        <v>0</v>
      </c>
      <c r="AF29" s="3">
        <v>40664</v>
      </c>
      <c r="AG29" s="164">
        <f t="shared" si="9"/>
        <v>0</v>
      </c>
      <c r="AH29" s="6"/>
      <c r="AI29" s="6"/>
      <c r="AJ29" s="3">
        <v>41760</v>
      </c>
      <c r="AK29" s="164">
        <f t="shared" si="10"/>
        <v>0</v>
      </c>
      <c r="AL29" s="6"/>
      <c r="AM29" s="6"/>
      <c r="AN29" s="176"/>
    </row>
    <row r="30" spans="1:40" ht="12.75">
      <c r="A30" s="3">
        <v>37712</v>
      </c>
      <c r="B30" s="107">
        <v>4744479.318645824</v>
      </c>
      <c r="C30" s="108">
        <v>372.5000000000001</v>
      </c>
      <c r="D30" s="108">
        <v>2.4</v>
      </c>
      <c r="E30" s="9">
        <v>30</v>
      </c>
      <c r="F30" s="50">
        <v>1</v>
      </c>
      <c r="G30" s="181">
        <v>0</v>
      </c>
      <c r="H30" s="104">
        <v>1728.525528171893</v>
      </c>
      <c r="I30" s="9">
        <f t="shared" si="2"/>
        <v>4746253.79404947</v>
      </c>
      <c r="J30" s="55">
        <f t="shared" si="0"/>
        <v>1774.4754036460072</v>
      </c>
      <c r="K30" s="98">
        <f t="shared" si="1"/>
        <v>0.0003740084600373979</v>
      </c>
      <c r="L30" s="28"/>
      <c r="M30" s="28"/>
      <c r="N30" s="28"/>
      <c r="O30" s="28"/>
      <c r="P30" s="28"/>
      <c r="Q30" s="28"/>
      <c r="R30" s="28"/>
      <c r="S30" s="28"/>
      <c r="T30" s="28"/>
      <c r="X30" s="3">
        <v>38504</v>
      </c>
      <c r="Y30" s="150">
        <f t="shared" si="7"/>
        <v>0</v>
      </c>
      <c r="Z30" s="165"/>
      <c r="AA30" s="163"/>
      <c r="AB30" s="3">
        <v>39600</v>
      </c>
      <c r="AC30" s="149">
        <f t="shared" si="8"/>
        <v>0</v>
      </c>
      <c r="AF30" s="3">
        <v>40695</v>
      </c>
      <c r="AG30" s="164">
        <f t="shared" si="9"/>
        <v>0</v>
      </c>
      <c r="AH30" s="6"/>
      <c r="AI30" s="6"/>
      <c r="AJ30" s="3">
        <v>41791</v>
      </c>
      <c r="AK30" s="164">
        <f t="shared" si="10"/>
        <v>0</v>
      </c>
      <c r="AL30" s="6"/>
      <c r="AM30" s="6"/>
      <c r="AN30" s="176"/>
    </row>
    <row r="31" spans="1:40" ht="12.75">
      <c r="A31" s="3">
        <v>37742</v>
      </c>
      <c r="B31" s="107">
        <v>4528528.898838561</v>
      </c>
      <c r="C31" s="108">
        <v>177.90000000000003</v>
      </c>
      <c r="D31" s="108">
        <v>0</v>
      </c>
      <c r="E31" s="9">
        <v>31</v>
      </c>
      <c r="F31" s="50">
        <v>1</v>
      </c>
      <c r="G31" s="181">
        <v>0</v>
      </c>
      <c r="H31" s="104">
        <v>1732.4288470597232</v>
      </c>
      <c r="I31" s="9">
        <f t="shared" si="2"/>
        <v>4396075.913175577</v>
      </c>
      <c r="J31" s="55">
        <f t="shared" si="0"/>
        <v>-132452.98566298373</v>
      </c>
      <c r="K31" s="98">
        <f t="shared" si="1"/>
        <v>-0.02924856804975986</v>
      </c>
      <c r="L31" s="28"/>
      <c r="M31" s="28"/>
      <c r="N31" s="28"/>
      <c r="O31" s="28"/>
      <c r="P31" s="28"/>
      <c r="Q31" s="28"/>
      <c r="R31" s="28"/>
      <c r="S31" s="28"/>
      <c r="T31" s="28"/>
      <c r="X31" s="3">
        <v>38534</v>
      </c>
      <c r="Y31" s="150">
        <f t="shared" si="7"/>
        <v>0</v>
      </c>
      <c r="Z31" s="151"/>
      <c r="AA31" s="163"/>
      <c r="AB31" s="3">
        <v>39630</v>
      </c>
      <c r="AC31" s="149">
        <f t="shared" si="8"/>
        <v>0</v>
      </c>
      <c r="AF31" s="3">
        <v>40725</v>
      </c>
      <c r="AG31" s="164">
        <f t="shared" si="9"/>
        <v>0</v>
      </c>
      <c r="AH31" s="6"/>
      <c r="AI31" s="6"/>
      <c r="AJ31" s="3">
        <v>41821</v>
      </c>
      <c r="AK31" s="164">
        <f t="shared" si="10"/>
        <v>0</v>
      </c>
      <c r="AL31" s="6"/>
      <c r="AM31" s="6"/>
      <c r="AN31" s="176"/>
    </row>
    <row r="32" spans="1:40" ht="12.75">
      <c r="A32" s="3">
        <v>37773</v>
      </c>
      <c r="B32" s="107">
        <v>4703097.737003483</v>
      </c>
      <c r="C32" s="108">
        <v>43.39999999999999</v>
      </c>
      <c r="D32" s="108">
        <v>52.9</v>
      </c>
      <c r="E32" s="9">
        <v>30</v>
      </c>
      <c r="F32" s="50">
        <v>0</v>
      </c>
      <c r="G32" s="181">
        <v>0</v>
      </c>
      <c r="H32" s="104">
        <v>1736.3409803376749</v>
      </c>
      <c r="I32" s="9">
        <f t="shared" si="2"/>
        <v>4633103.8752437765</v>
      </c>
      <c r="J32" s="55">
        <f t="shared" si="0"/>
        <v>-69993.8617597064</v>
      </c>
      <c r="K32" s="98">
        <f t="shared" si="1"/>
        <v>-0.014882502060078826</v>
      </c>
      <c r="L32" s="28"/>
      <c r="M32" s="28"/>
      <c r="N32" s="28"/>
      <c r="O32" s="28"/>
      <c r="P32" s="28"/>
      <c r="Q32" s="28"/>
      <c r="R32" s="28"/>
      <c r="S32" s="28"/>
      <c r="T32" s="28"/>
      <c r="X32" s="3">
        <v>38565</v>
      </c>
      <c r="Y32" s="150">
        <f t="shared" si="7"/>
        <v>0</v>
      </c>
      <c r="Z32" s="151"/>
      <c r="AA32" s="163"/>
      <c r="AB32" s="3">
        <v>39661</v>
      </c>
      <c r="AC32" s="149">
        <f t="shared" si="8"/>
        <v>0</v>
      </c>
      <c r="AF32" s="3">
        <v>40756</v>
      </c>
      <c r="AG32" s="164">
        <f t="shared" si="9"/>
        <v>0</v>
      </c>
      <c r="AH32" s="6"/>
      <c r="AI32" s="6"/>
      <c r="AJ32" s="3">
        <v>41852</v>
      </c>
      <c r="AK32" s="164">
        <f t="shared" si="10"/>
        <v>0</v>
      </c>
      <c r="AL32" s="6"/>
      <c r="AM32" s="6"/>
      <c r="AN32" s="176"/>
    </row>
    <row r="33" spans="1:40" ht="12.75">
      <c r="A33" s="3">
        <v>37803</v>
      </c>
      <c r="B33" s="107">
        <v>5168772.533575764</v>
      </c>
      <c r="C33" s="108">
        <v>0.2</v>
      </c>
      <c r="D33" s="108">
        <v>118.30000000000004</v>
      </c>
      <c r="E33" s="9">
        <v>31</v>
      </c>
      <c r="F33" s="50">
        <v>0</v>
      </c>
      <c r="G33" s="138">
        <v>0</v>
      </c>
      <c r="H33" s="104">
        <v>1740.2619479102127</v>
      </c>
      <c r="I33" s="9">
        <f t="shared" si="2"/>
        <v>5055185.449306097</v>
      </c>
      <c r="J33" s="55">
        <f t="shared" si="0"/>
        <v>-113587.08426966704</v>
      </c>
      <c r="K33" s="98">
        <f t="shared" si="1"/>
        <v>-0.021975639967094344</v>
      </c>
      <c r="L33" s="28"/>
      <c r="M33" s="28"/>
      <c r="N33" s="28"/>
      <c r="O33" s="28"/>
      <c r="P33" s="28"/>
      <c r="Q33" s="28"/>
      <c r="R33" s="28"/>
      <c r="S33" s="28"/>
      <c r="T33" s="28"/>
      <c r="X33" s="3">
        <v>38596</v>
      </c>
      <c r="Y33" s="150">
        <f t="shared" si="7"/>
        <v>0</v>
      </c>
      <c r="Z33" s="165"/>
      <c r="AA33" s="163"/>
      <c r="AB33" s="3">
        <v>39692</v>
      </c>
      <c r="AC33" s="149">
        <f t="shared" si="8"/>
        <v>0</v>
      </c>
      <c r="AF33" s="3">
        <v>40787</v>
      </c>
      <c r="AG33" s="164">
        <f t="shared" si="9"/>
        <v>0</v>
      </c>
      <c r="AH33" s="6"/>
      <c r="AI33" s="6"/>
      <c r="AJ33" s="3">
        <v>41883</v>
      </c>
      <c r="AK33" s="164">
        <f t="shared" si="10"/>
        <v>0</v>
      </c>
      <c r="AL33" s="6"/>
      <c r="AM33" s="6"/>
      <c r="AN33" s="176"/>
    </row>
    <row r="34" spans="1:40" ht="12.75">
      <c r="A34" s="3">
        <v>37834</v>
      </c>
      <c r="B34" s="107">
        <v>4949873.726301789</v>
      </c>
      <c r="C34" s="108">
        <v>2</v>
      </c>
      <c r="D34" s="108">
        <v>128</v>
      </c>
      <c r="E34" s="9">
        <v>31</v>
      </c>
      <c r="F34" s="50">
        <v>0</v>
      </c>
      <c r="G34" s="138">
        <v>1</v>
      </c>
      <c r="H34" s="104">
        <v>1744.1917697267493</v>
      </c>
      <c r="I34" s="9">
        <f t="shared" si="2"/>
        <v>4949873.726301788</v>
      </c>
      <c r="J34" s="55">
        <f t="shared" si="0"/>
        <v>0</v>
      </c>
      <c r="K34" s="98">
        <f t="shared" si="1"/>
        <v>0</v>
      </c>
      <c r="L34" s="28"/>
      <c r="M34" s="28"/>
      <c r="N34" s="28"/>
      <c r="O34" s="28"/>
      <c r="P34" s="28"/>
      <c r="Q34" s="28"/>
      <c r="R34" s="28"/>
      <c r="S34" s="28"/>
      <c r="T34" s="28"/>
      <c r="X34" s="3">
        <v>38626</v>
      </c>
      <c r="Y34" s="150">
        <f t="shared" si="7"/>
        <v>0</v>
      </c>
      <c r="Z34" s="151"/>
      <c r="AA34" s="163"/>
      <c r="AB34" s="3">
        <v>39722</v>
      </c>
      <c r="AC34" s="149">
        <f t="shared" si="8"/>
        <v>0</v>
      </c>
      <c r="AF34" s="3">
        <v>40817</v>
      </c>
      <c r="AG34" s="164">
        <f t="shared" si="9"/>
        <v>0</v>
      </c>
      <c r="AH34" s="6"/>
      <c r="AI34" s="6"/>
      <c r="AJ34" s="3">
        <v>41913</v>
      </c>
      <c r="AK34" s="164">
        <f t="shared" si="10"/>
        <v>0</v>
      </c>
      <c r="AL34" s="6"/>
      <c r="AM34" s="6"/>
      <c r="AN34" s="176"/>
    </row>
    <row r="35" spans="1:40" ht="12.75">
      <c r="A35" s="3">
        <v>37865</v>
      </c>
      <c r="B35" s="107">
        <v>4546583.647919758</v>
      </c>
      <c r="C35" s="108">
        <v>54.9</v>
      </c>
      <c r="D35" s="108">
        <v>24</v>
      </c>
      <c r="E35" s="9">
        <v>30</v>
      </c>
      <c r="F35" s="50">
        <v>1</v>
      </c>
      <c r="G35" s="138">
        <v>0</v>
      </c>
      <c r="H35" s="104">
        <v>1748.1304657817464</v>
      </c>
      <c r="I35" s="9">
        <f t="shared" si="2"/>
        <v>4278601.466709825</v>
      </c>
      <c r="J35" s="55">
        <f aca="true" t="shared" si="11" ref="J35:J66">+I35-B35</f>
        <v>-267982.181209933</v>
      </c>
      <c r="K35" s="98">
        <f aca="true" t="shared" si="12" ref="K35:K66">+J35/B35</f>
        <v>-0.0589414386629718</v>
      </c>
      <c r="L35" s="28"/>
      <c r="M35" s="28"/>
      <c r="N35" s="28"/>
      <c r="O35" s="28"/>
      <c r="P35" s="28"/>
      <c r="Q35" s="28"/>
      <c r="R35" s="28"/>
      <c r="S35" s="28"/>
      <c r="T35" s="28"/>
      <c r="X35" s="3">
        <v>38657</v>
      </c>
      <c r="Y35" s="150">
        <f t="shared" si="7"/>
        <v>0</v>
      </c>
      <c r="Z35" s="151"/>
      <c r="AA35" s="163"/>
      <c r="AB35" s="3">
        <v>39753</v>
      </c>
      <c r="AC35" s="149">
        <f t="shared" si="8"/>
        <v>0</v>
      </c>
      <c r="AF35" s="3">
        <v>40848</v>
      </c>
      <c r="AG35" s="164">
        <f t="shared" si="9"/>
        <v>0</v>
      </c>
      <c r="AH35" s="6"/>
      <c r="AI35" s="6"/>
      <c r="AJ35" s="3">
        <v>41944</v>
      </c>
      <c r="AK35" s="164">
        <f t="shared" si="10"/>
        <v>0</v>
      </c>
      <c r="AL35" s="6"/>
      <c r="AM35" s="6"/>
      <c r="AN35" s="176"/>
    </row>
    <row r="36" spans="1:40" ht="12.75">
      <c r="A36" s="3">
        <v>37895</v>
      </c>
      <c r="B36" s="107">
        <v>4697341.944094592</v>
      </c>
      <c r="C36" s="108">
        <v>276</v>
      </c>
      <c r="D36" s="108">
        <v>0</v>
      </c>
      <c r="E36" s="9">
        <v>31</v>
      </c>
      <c r="F36" s="50">
        <v>1</v>
      </c>
      <c r="G36" s="138">
        <v>0</v>
      </c>
      <c r="H36" s="104">
        <v>1752.0780561148172</v>
      </c>
      <c r="I36" s="9">
        <f t="shared" si="2"/>
        <v>4663673.6764406</v>
      </c>
      <c r="J36" s="55">
        <f t="shared" si="11"/>
        <v>-33668.26765399147</v>
      </c>
      <c r="K36" s="98">
        <f t="shared" si="12"/>
        <v>-0.0071675147465724886</v>
      </c>
      <c r="L36" s="28"/>
      <c r="M36" s="28"/>
      <c r="N36" s="28"/>
      <c r="O36" s="28"/>
      <c r="P36" s="28"/>
      <c r="Q36" s="28"/>
      <c r="R36" s="28"/>
      <c r="S36" s="28"/>
      <c r="T36" s="28"/>
      <c r="X36" s="3">
        <v>38687</v>
      </c>
      <c r="Y36" s="150">
        <f t="shared" si="7"/>
        <v>0</v>
      </c>
      <c r="Z36" s="6">
        <f>SUM(Y25:Y36)</f>
        <v>0</v>
      </c>
      <c r="AA36" s="163">
        <f>+Y36*12</f>
        <v>0</v>
      </c>
      <c r="AB36" s="3">
        <v>39783</v>
      </c>
      <c r="AC36" s="149">
        <f t="shared" si="8"/>
        <v>0</v>
      </c>
      <c r="AD36" s="6">
        <f>SUM(AC25:AC36)</f>
        <v>0</v>
      </c>
      <c r="AE36" s="6">
        <f>+AC36*12</f>
        <v>0</v>
      </c>
      <c r="AF36" s="3">
        <v>40878</v>
      </c>
      <c r="AG36" s="164">
        <f t="shared" si="9"/>
        <v>0</v>
      </c>
      <c r="AH36" s="6">
        <f>SUM(AG25:AG36)</f>
        <v>0</v>
      </c>
      <c r="AI36" s="6">
        <f>+AG36*12</f>
        <v>0</v>
      </c>
      <c r="AJ36" s="3">
        <v>41974</v>
      </c>
      <c r="AK36" s="164">
        <f t="shared" si="10"/>
        <v>0</v>
      </c>
      <c r="AL36" s="6">
        <f>SUM(AK25:AK36)</f>
        <v>0</v>
      </c>
      <c r="AM36" s="6">
        <f>+AK36*12</f>
        <v>0</v>
      </c>
      <c r="AN36" s="176"/>
    </row>
    <row r="37" spans="1:41" ht="12.75">
      <c r="A37" s="3">
        <v>37926</v>
      </c>
      <c r="B37" s="107">
        <v>5070244.216664959</v>
      </c>
      <c r="C37" s="108">
        <v>398.5</v>
      </c>
      <c r="D37" s="108">
        <v>0</v>
      </c>
      <c r="E37" s="9">
        <v>30</v>
      </c>
      <c r="F37" s="50">
        <v>1</v>
      </c>
      <c r="G37" s="138">
        <v>0</v>
      </c>
      <c r="H37" s="104">
        <v>1756.0345608108275</v>
      </c>
      <c r="I37" s="9">
        <f t="shared" si="2"/>
        <v>4869428.357599267</v>
      </c>
      <c r="J37" s="55">
        <f t="shared" si="11"/>
        <v>-200815.85906569194</v>
      </c>
      <c r="K37" s="98">
        <f t="shared" si="12"/>
        <v>-0.03960674288738345</v>
      </c>
      <c r="L37" s="28"/>
      <c r="M37" s="28"/>
      <c r="N37" s="28"/>
      <c r="O37" s="28"/>
      <c r="P37" s="28"/>
      <c r="Q37" s="28"/>
      <c r="R37" s="28"/>
      <c r="S37" s="28"/>
      <c r="T37" s="28"/>
      <c r="X37" s="3">
        <v>38718</v>
      </c>
      <c r="Y37" s="6">
        <f>+Y36+$AG$7</f>
        <v>0</v>
      </c>
      <c r="AB37" s="3">
        <v>39814</v>
      </c>
      <c r="AC37" s="6">
        <f>+AC36+$AG$10</f>
        <v>0</v>
      </c>
      <c r="AF37" s="3">
        <v>40909</v>
      </c>
      <c r="AG37" s="167">
        <f>+AG36+$AG$13</f>
        <v>0</v>
      </c>
      <c r="AH37" s="6"/>
      <c r="AI37" s="6"/>
      <c r="AJ37" s="168">
        <v>42005</v>
      </c>
      <c r="AK37" s="169"/>
      <c r="AL37" s="6"/>
      <c r="AM37" s="6"/>
      <c r="AN37" s="40">
        <f>+$AG$16</f>
        <v>2487.780052497702</v>
      </c>
      <c r="AO37" s="40">
        <f>+AN37</f>
        <v>2487.780052497702</v>
      </c>
    </row>
    <row r="38" spans="1:41" ht="12.75">
      <c r="A38" s="3">
        <v>37956</v>
      </c>
      <c r="B38" s="107">
        <v>5659984.678652809</v>
      </c>
      <c r="C38" s="108">
        <v>561.5000000000001</v>
      </c>
      <c r="D38" s="108">
        <v>0</v>
      </c>
      <c r="E38" s="9">
        <v>31</v>
      </c>
      <c r="F38" s="50">
        <v>0</v>
      </c>
      <c r="G38" s="138">
        <v>0</v>
      </c>
      <c r="H38" s="104">
        <v>1760</v>
      </c>
      <c r="I38" s="9">
        <f t="shared" si="2"/>
        <v>5513920.852606164</v>
      </c>
      <c r="J38" s="55">
        <f t="shared" si="11"/>
        <v>-146063.8260466447</v>
      </c>
      <c r="K38" s="98">
        <f t="shared" si="12"/>
        <v>-0.02580639954689963</v>
      </c>
      <c r="L38" s="28"/>
      <c r="M38" s="28"/>
      <c r="N38" s="28"/>
      <c r="O38" s="28"/>
      <c r="P38" s="28"/>
      <c r="Q38" s="28"/>
      <c r="R38" s="28"/>
      <c r="S38" s="28"/>
      <c r="T38" s="28"/>
      <c r="X38" s="3">
        <v>38749</v>
      </c>
      <c r="Y38" s="6">
        <f aca="true" t="shared" si="13" ref="Y38:Y48">+Y37+$AG$7</f>
        <v>0</v>
      </c>
      <c r="AB38" s="3">
        <v>39845</v>
      </c>
      <c r="AC38" s="6">
        <f aca="true" t="shared" si="14" ref="AC38:AC48">+AC37+$AG$10</f>
        <v>0</v>
      </c>
      <c r="AF38" s="3">
        <v>40940</v>
      </c>
      <c r="AG38" s="167">
        <f aca="true" t="shared" si="15" ref="AG38:AG48">+AG37+$AG$13</f>
        <v>0</v>
      </c>
      <c r="AH38" s="6"/>
      <c r="AI38" s="6"/>
      <c r="AJ38" s="170">
        <v>42036</v>
      </c>
      <c r="AK38" s="171"/>
      <c r="AL38" s="6"/>
      <c r="AM38" s="6"/>
      <c r="AN38" s="40">
        <f aca="true" t="shared" si="16" ref="AN38:AN48">+$AG$16</f>
        <v>2487.780052497702</v>
      </c>
      <c r="AO38" s="40">
        <f>+AN37+AN38</f>
        <v>4975.560104995404</v>
      </c>
    </row>
    <row r="39" spans="1:41" ht="12.75">
      <c r="A39" s="3">
        <v>37987</v>
      </c>
      <c r="B39" s="107">
        <v>6122581.26560567</v>
      </c>
      <c r="C39" s="108">
        <v>849.0999999999999</v>
      </c>
      <c r="D39" s="108">
        <v>0</v>
      </c>
      <c r="E39" s="9">
        <v>31</v>
      </c>
      <c r="F39" s="50">
        <v>0</v>
      </c>
      <c r="G39" s="138">
        <v>0</v>
      </c>
      <c r="H39" s="104">
        <v>1763.543822849977</v>
      </c>
      <c r="I39" s="9">
        <f t="shared" si="2"/>
        <v>6132983.175364994</v>
      </c>
      <c r="J39" s="55">
        <f t="shared" si="11"/>
        <v>10401.909759324044</v>
      </c>
      <c r="K39" s="98">
        <f t="shared" si="12"/>
        <v>0.001698941885468799</v>
      </c>
      <c r="L39" s="28"/>
      <c r="M39" s="28"/>
      <c r="N39" s="28"/>
      <c r="O39" s="28"/>
      <c r="P39" s="28"/>
      <c r="Q39" s="28"/>
      <c r="R39" s="28"/>
      <c r="S39" s="28"/>
      <c r="T39" s="28"/>
      <c r="X39" s="3">
        <v>38777</v>
      </c>
      <c r="Y39" s="6">
        <f t="shared" si="13"/>
        <v>0</v>
      </c>
      <c r="AB39" s="3">
        <v>39873</v>
      </c>
      <c r="AC39" s="6">
        <f t="shared" si="14"/>
        <v>0</v>
      </c>
      <c r="AF39" s="3">
        <v>40969</v>
      </c>
      <c r="AG39" s="167">
        <f t="shared" si="15"/>
        <v>0</v>
      </c>
      <c r="AH39" s="6"/>
      <c r="AI39" s="6"/>
      <c r="AJ39" s="170">
        <v>42064</v>
      </c>
      <c r="AK39" s="171"/>
      <c r="AL39" s="6"/>
      <c r="AM39" s="6"/>
      <c r="AN39" s="40">
        <f t="shared" si="16"/>
        <v>2487.780052497702</v>
      </c>
      <c r="AO39" s="40">
        <f>+AO38+AN39</f>
        <v>7463.340157493106</v>
      </c>
    </row>
    <row r="40" spans="1:41" ht="12.75">
      <c r="A40" s="3">
        <v>38018</v>
      </c>
      <c r="B40" s="107">
        <v>5760952.840000893</v>
      </c>
      <c r="C40" s="108">
        <v>631.7</v>
      </c>
      <c r="D40" s="108">
        <v>0</v>
      </c>
      <c r="E40" s="9">
        <v>29</v>
      </c>
      <c r="F40" s="50">
        <v>0</v>
      </c>
      <c r="G40" s="138">
        <v>0</v>
      </c>
      <c r="H40" s="104">
        <v>1767.0947813138132</v>
      </c>
      <c r="I40" s="9">
        <f t="shared" si="2"/>
        <v>5553258.96727371</v>
      </c>
      <c r="J40" s="55">
        <f t="shared" si="11"/>
        <v>-207693.8727271827</v>
      </c>
      <c r="K40" s="98">
        <f t="shared" si="12"/>
        <v>-0.03605200016307554</v>
      </c>
      <c r="L40" s="28"/>
      <c r="M40" s="28"/>
      <c r="N40" s="28"/>
      <c r="O40" s="28"/>
      <c r="P40" s="28"/>
      <c r="Q40" s="28"/>
      <c r="R40" s="28"/>
      <c r="S40" s="28"/>
      <c r="T40" s="28"/>
      <c r="X40" s="3">
        <v>38808</v>
      </c>
      <c r="Y40" s="6">
        <f t="shared" si="13"/>
        <v>0</v>
      </c>
      <c r="AB40" s="3">
        <v>39904</v>
      </c>
      <c r="AC40" s="6">
        <f t="shared" si="14"/>
        <v>0</v>
      </c>
      <c r="AF40" s="3">
        <v>41000</v>
      </c>
      <c r="AG40" s="167">
        <f t="shared" si="15"/>
        <v>0</v>
      </c>
      <c r="AH40" s="6"/>
      <c r="AI40" s="6"/>
      <c r="AJ40" s="170">
        <v>42095</v>
      </c>
      <c r="AK40" s="171"/>
      <c r="AL40" s="6"/>
      <c r="AM40" s="6"/>
      <c r="AN40" s="40">
        <f t="shared" si="16"/>
        <v>2487.780052497702</v>
      </c>
      <c r="AO40" s="40">
        <f aca="true" t="shared" si="17" ref="AO40:AO48">+AO39+AN40</f>
        <v>9951.120209990808</v>
      </c>
    </row>
    <row r="41" spans="1:41" ht="12.75">
      <c r="A41" s="3">
        <v>38047</v>
      </c>
      <c r="B41" s="107">
        <v>5515351.6710101245</v>
      </c>
      <c r="C41" s="108">
        <v>487.29999999999995</v>
      </c>
      <c r="D41" s="108">
        <v>0</v>
      </c>
      <c r="E41" s="9">
        <v>31</v>
      </c>
      <c r="F41" s="50">
        <v>1</v>
      </c>
      <c r="G41" s="138">
        <v>0</v>
      </c>
      <c r="H41" s="104">
        <v>1770.6528897593219</v>
      </c>
      <c r="I41" s="9">
        <f t="shared" si="2"/>
        <v>5167378.731638797</v>
      </c>
      <c r="J41" s="55">
        <f t="shared" si="11"/>
        <v>-347972.93937132787</v>
      </c>
      <c r="K41" s="98">
        <f t="shared" si="12"/>
        <v>-0.06309170477747567</v>
      </c>
      <c r="L41" s="28"/>
      <c r="M41" s="28"/>
      <c r="N41" s="28"/>
      <c r="O41" s="28"/>
      <c r="P41" s="28"/>
      <c r="Q41" s="28"/>
      <c r="R41" s="28"/>
      <c r="S41" s="28"/>
      <c r="T41" s="28"/>
      <c r="X41" s="3">
        <v>38838</v>
      </c>
      <c r="Y41" s="6">
        <f t="shared" si="13"/>
        <v>0</v>
      </c>
      <c r="AB41" s="3">
        <v>39934</v>
      </c>
      <c r="AC41" s="6">
        <f t="shared" si="14"/>
        <v>0</v>
      </c>
      <c r="AF41" s="3">
        <v>41030</v>
      </c>
      <c r="AG41" s="167">
        <f t="shared" si="15"/>
        <v>0</v>
      </c>
      <c r="AH41" s="6"/>
      <c r="AI41" s="6"/>
      <c r="AJ41" s="170">
        <v>42125</v>
      </c>
      <c r="AK41" s="171"/>
      <c r="AL41" s="6"/>
      <c r="AM41" s="6"/>
      <c r="AN41" s="40">
        <f t="shared" si="16"/>
        <v>2487.780052497702</v>
      </c>
      <c r="AO41" s="40">
        <f t="shared" si="17"/>
        <v>12438.90026248851</v>
      </c>
    </row>
    <row r="42" spans="1:41" ht="12.75">
      <c r="A42" s="3">
        <v>38078</v>
      </c>
      <c r="B42" s="107">
        <v>4790086.528464507</v>
      </c>
      <c r="C42" s="108">
        <v>331.49999999999994</v>
      </c>
      <c r="D42" s="108">
        <v>0</v>
      </c>
      <c r="E42" s="9">
        <v>30</v>
      </c>
      <c r="F42" s="50">
        <v>1</v>
      </c>
      <c r="G42" s="138">
        <v>0</v>
      </c>
      <c r="H42" s="104">
        <v>1774.2181625832463</v>
      </c>
      <c r="I42" s="9">
        <f t="shared" si="2"/>
        <v>4783387.14953149</v>
      </c>
      <c r="J42" s="55">
        <f t="shared" si="11"/>
        <v>-6699.378933017142</v>
      </c>
      <c r="K42" s="98">
        <f t="shared" si="12"/>
        <v>-0.001398592466588421</v>
      </c>
      <c r="L42" s="28"/>
      <c r="M42" s="28"/>
      <c r="N42" s="28"/>
      <c r="O42" s="28"/>
      <c r="P42" s="28"/>
      <c r="Q42" s="28"/>
      <c r="R42" s="28"/>
      <c r="S42" s="28"/>
      <c r="T42" s="28"/>
      <c r="X42" s="3">
        <v>38869</v>
      </c>
      <c r="Y42" s="6">
        <f t="shared" si="13"/>
        <v>0</v>
      </c>
      <c r="AB42" s="3">
        <v>39965</v>
      </c>
      <c r="AC42" s="6">
        <f t="shared" si="14"/>
        <v>0</v>
      </c>
      <c r="AF42" s="3">
        <v>41061</v>
      </c>
      <c r="AG42" s="167">
        <f t="shared" si="15"/>
        <v>0</v>
      </c>
      <c r="AH42" s="6"/>
      <c r="AI42" s="6"/>
      <c r="AJ42" s="170">
        <v>42156</v>
      </c>
      <c r="AK42" s="171"/>
      <c r="AL42" s="6"/>
      <c r="AM42" s="6"/>
      <c r="AN42" s="40">
        <f t="shared" si="16"/>
        <v>2487.780052497702</v>
      </c>
      <c r="AO42" s="40">
        <f t="shared" si="17"/>
        <v>14926.680314986213</v>
      </c>
    </row>
    <row r="43" spans="1:41" ht="12.75">
      <c r="A43" s="3">
        <v>38108</v>
      </c>
      <c r="B43" s="107">
        <v>4681665.92440931</v>
      </c>
      <c r="C43" s="108">
        <v>158.9</v>
      </c>
      <c r="D43" s="108">
        <v>8.6</v>
      </c>
      <c r="E43" s="9">
        <v>31</v>
      </c>
      <c r="F43" s="50">
        <v>1</v>
      </c>
      <c r="G43" s="138">
        <v>0</v>
      </c>
      <c r="H43" s="104">
        <v>1777.7906142113184</v>
      </c>
      <c r="I43" s="9">
        <f t="shared" si="2"/>
        <v>4552059.602173637</v>
      </c>
      <c r="J43" s="55">
        <f t="shared" si="11"/>
        <v>-129606.32223567367</v>
      </c>
      <c r="K43" s="98">
        <f t="shared" si="12"/>
        <v>-0.027683804083484705</v>
      </c>
      <c r="L43" s="28"/>
      <c r="M43" s="28"/>
      <c r="N43" s="28"/>
      <c r="O43" s="28"/>
      <c r="P43" s="28"/>
      <c r="Q43" s="28"/>
      <c r="R43" s="28"/>
      <c r="S43" s="28"/>
      <c r="T43" s="28"/>
      <c r="X43" s="3">
        <v>38899</v>
      </c>
      <c r="Y43" s="6">
        <f t="shared" si="13"/>
        <v>0</v>
      </c>
      <c r="AB43" s="3">
        <v>39995</v>
      </c>
      <c r="AC43" s="6">
        <f t="shared" si="14"/>
        <v>0</v>
      </c>
      <c r="AF43" s="3">
        <v>41091</v>
      </c>
      <c r="AG43" s="167">
        <f t="shared" si="15"/>
        <v>0</v>
      </c>
      <c r="AH43" s="6"/>
      <c r="AI43" s="6"/>
      <c r="AJ43" s="170">
        <v>42186</v>
      </c>
      <c r="AK43" s="171"/>
      <c r="AL43" s="6"/>
      <c r="AM43" s="6"/>
      <c r="AN43" s="40">
        <f t="shared" si="16"/>
        <v>2487.780052497702</v>
      </c>
      <c r="AO43" s="40">
        <f t="shared" si="17"/>
        <v>17414.460367483916</v>
      </c>
    </row>
    <row r="44" spans="1:41" ht="12.75">
      <c r="A44" s="3">
        <v>38139</v>
      </c>
      <c r="B44" s="107">
        <v>4630444.529365124</v>
      </c>
      <c r="C44" s="108">
        <v>44.199999999999996</v>
      </c>
      <c r="D44" s="108">
        <v>31.600000000000005</v>
      </c>
      <c r="E44" s="9">
        <v>30</v>
      </c>
      <c r="F44" s="50">
        <v>0</v>
      </c>
      <c r="G44" s="138">
        <v>0</v>
      </c>
      <c r="H44" s="104">
        <v>1781.3702590983166</v>
      </c>
      <c r="I44" s="9">
        <f t="shared" si="2"/>
        <v>4630598.818562891</v>
      </c>
      <c r="J44" s="55">
        <f t="shared" si="11"/>
        <v>154.28919776715338</v>
      </c>
      <c r="K44" s="98">
        <f t="shared" si="12"/>
        <v>3.332060168061398E-05</v>
      </c>
      <c r="L44" s="28"/>
      <c r="M44" s="28"/>
      <c r="N44" s="28"/>
      <c r="O44" s="28"/>
      <c r="P44" s="28"/>
      <c r="Q44" s="28"/>
      <c r="R44" s="28"/>
      <c r="S44" s="28"/>
      <c r="T44" s="28"/>
      <c r="X44" s="3">
        <v>38930</v>
      </c>
      <c r="Y44" s="6">
        <f t="shared" si="13"/>
        <v>0</v>
      </c>
      <c r="AB44" s="3">
        <v>40026</v>
      </c>
      <c r="AC44" s="6">
        <f t="shared" si="14"/>
        <v>0</v>
      </c>
      <c r="AF44" s="3">
        <v>41122</v>
      </c>
      <c r="AG44" s="167">
        <f t="shared" si="15"/>
        <v>0</v>
      </c>
      <c r="AH44" s="6"/>
      <c r="AI44" s="6"/>
      <c r="AJ44" s="170">
        <v>42217</v>
      </c>
      <c r="AK44" s="171"/>
      <c r="AL44" s="6"/>
      <c r="AM44" s="6"/>
      <c r="AN44" s="40">
        <f t="shared" si="16"/>
        <v>2487.780052497702</v>
      </c>
      <c r="AO44" s="40">
        <f t="shared" si="17"/>
        <v>19902.24041998162</v>
      </c>
    </row>
    <row r="45" spans="1:41" ht="12.75">
      <c r="A45" s="3">
        <v>38169</v>
      </c>
      <c r="B45" s="107">
        <v>4946387.105110263</v>
      </c>
      <c r="C45" s="108">
        <v>3.6000000000000005</v>
      </c>
      <c r="D45" s="108">
        <v>86.4</v>
      </c>
      <c r="E45" s="9">
        <v>31</v>
      </c>
      <c r="F45" s="50">
        <v>0</v>
      </c>
      <c r="G45" s="138">
        <v>0</v>
      </c>
      <c r="H45" s="104">
        <v>1784.9571117281246</v>
      </c>
      <c r="I45" s="9">
        <f t="shared" si="2"/>
        <v>4986485.797928017</v>
      </c>
      <c r="J45" s="55">
        <f t="shared" si="11"/>
        <v>40098.69281775318</v>
      </c>
      <c r="K45" s="98">
        <f t="shared" si="12"/>
        <v>0.008106662896708184</v>
      </c>
      <c r="L45" s="28"/>
      <c r="M45" s="28"/>
      <c r="N45" s="28"/>
      <c r="O45" s="28"/>
      <c r="P45" s="28"/>
      <c r="Q45" s="28"/>
      <c r="R45" s="28"/>
      <c r="S45" s="28"/>
      <c r="T45" s="28"/>
      <c r="X45" s="3">
        <v>38961</v>
      </c>
      <c r="Y45" s="6">
        <f t="shared" si="13"/>
        <v>0</v>
      </c>
      <c r="AB45" s="3">
        <v>40057</v>
      </c>
      <c r="AC45" s="6">
        <f t="shared" si="14"/>
        <v>0</v>
      </c>
      <c r="AF45" s="3">
        <v>41153</v>
      </c>
      <c r="AG45" s="167">
        <f t="shared" si="15"/>
        <v>0</v>
      </c>
      <c r="AH45" s="6"/>
      <c r="AI45" s="6"/>
      <c r="AJ45" s="170">
        <v>42248</v>
      </c>
      <c r="AK45" s="171"/>
      <c r="AL45" s="6"/>
      <c r="AM45" s="6"/>
      <c r="AN45" s="40">
        <f t="shared" si="16"/>
        <v>2487.780052497702</v>
      </c>
      <c r="AO45" s="40">
        <f t="shared" si="17"/>
        <v>22390.020472479322</v>
      </c>
    </row>
    <row r="46" spans="1:42" ht="12.75">
      <c r="A46" s="3">
        <v>38200</v>
      </c>
      <c r="B46" s="107">
        <v>4942648.463583805</v>
      </c>
      <c r="C46" s="108">
        <v>12.799999999999999</v>
      </c>
      <c r="D46" s="108">
        <v>59.6</v>
      </c>
      <c r="E46" s="9">
        <v>31</v>
      </c>
      <c r="F46" s="50">
        <v>0</v>
      </c>
      <c r="G46" s="138">
        <v>0</v>
      </c>
      <c r="H46" s="104">
        <v>1788.55118661379</v>
      </c>
      <c r="I46" s="9">
        <f t="shared" si="2"/>
        <v>4838265.102838858</v>
      </c>
      <c r="J46" s="55">
        <f t="shared" si="11"/>
        <v>-104383.36074494664</v>
      </c>
      <c r="K46" s="98">
        <f t="shared" si="12"/>
        <v>-0.02111891256560467</v>
      </c>
      <c r="L46" s="28"/>
      <c r="M46" s="28"/>
      <c r="N46" s="28"/>
      <c r="O46" s="28"/>
      <c r="P46" s="28"/>
      <c r="Q46" s="28"/>
      <c r="R46" s="28"/>
      <c r="S46" s="28"/>
      <c r="T46" s="28"/>
      <c r="X46" s="3">
        <v>38991</v>
      </c>
      <c r="Y46" s="6">
        <f t="shared" si="13"/>
        <v>0</v>
      </c>
      <c r="AB46" s="3">
        <v>40087</v>
      </c>
      <c r="AC46" s="6">
        <f t="shared" si="14"/>
        <v>0</v>
      </c>
      <c r="AF46" s="3">
        <v>41183</v>
      </c>
      <c r="AG46" s="167">
        <f t="shared" si="15"/>
        <v>0</v>
      </c>
      <c r="AH46" s="6"/>
      <c r="AI46" s="6"/>
      <c r="AJ46" s="170">
        <v>42278</v>
      </c>
      <c r="AK46" s="171"/>
      <c r="AL46" s="6"/>
      <c r="AM46" s="6"/>
      <c r="AN46" s="40">
        <f t="shared" si="16"/>
        <v>2487.780052497702</v>
      </c>
      <c r="AO46" s="40">
        <f t="shared" si="17"/>
        <v>24877.800524977025</v>
      </c>
      <c r="AP46" s="40">
        <f>SUM(AO37:AO46)</f>
        <v>136827.90288737364</v>
      </c>
    </row>
    <row r="47" spans="1:41" ht="12.75">
      <c r="A47" s="3">
        <v>38231</v>
      </c>
      <c r="B47" s="107">
        <v>4725736.411722053</v>
      </c>
      <c r="C47" s="108">
        <v>30.000000000000004</v>
      </c>
      <c r="D47" s="108">
        <v>41.2</v>
      </c>
      <c r="E47" s="9">
        <v>30</v>
      </c>
      <c r="F47" s="50">
        <v>1</v>
      </c>
      <c r="G47" s="138">
        <v>0</v>
      </c>
      <c r="H47" s="104">
        <v>1792.1524982975827</v>
      </c>
      <c r="I47" s="9">
        <f t="shared" si="2"/>
        <v>4475344.077931949</v>
      </c>
      <c r="J47" s="55">
        <f t="shared" si="11"/>
        <v>-250392.3337901039</v>
      </c>
      <c r="K47" s="98">
        <f t="shared" si="12"/>
        <v>-0.052984828601318715</v>
      </c>
      <c r="L47" s="28"/>
      <c r="M47" s="28"/>
      <c r="N47" s="28"/>
      <c r="O47" s="28"/>
      <c r="P47" s="28"/>
      <c r="Q47" s="28"/>
      <c r="R47" s="28"/>
      <c r="S47" s="28"/>
      <c r="T47" s="28"/>
      <c r="X47" s="3">
        <v>39022</v>
      </c>
      <c r="Y47" s="6">
        <f t="shared" si="13"/>
        <v>0</v>
      </c>
      <c r="AB47" s="3">
        <v>40118</v>
      </c>
      <c r="AC47" s="6">
        <f t="shared" si="14"/>
        <v>0</v>
      </c>
      <c r="AF47" s="3">
        <v>41214</v>
      </c>
      <c r="AG47" s="167">
        <f t="shared" si="15"/>
        <v>0</v>
      </c>
      <c r="AH47" s="6"/>
      <c r="AI47" s="6"/>
      <c r="AJ47" s="170">
        <v>42309</v>
      </c>
      <c r="AK47" s="171">
        <f>+AG16*11</f>
        <v>27365.58057747472</v>
      </c>
      <c r="AL47" s="6"/>
      <c r="AM47" s="6"/>
      <c r="AN47" s="40">
        <f t="shared" si="16"/>
        <v>2487.780052497702</v>
      </c>
      <c r="AO47" s="40">
        <f t="shared" si="17"/>
        <v>27365.580577474728</v>
      </c>
    </row>
    <row r="48" spans="1:41" ht="12.75">
      <c r="A48" s="3">
        <v>38261</v>
      </c>
      <c r="B48" s="107">
        <v>4763751.173751312</v>
      </c>
      <c r="C48" s="108">
        <v>226.3</v>
      </c>
      <c r="D48" s="108">
        <v>1.5</v>
      </c>
      <c r="E48" s="9">
        <v>31</v>
      </c>
      <c r="F48" s="50">
        <v>1</v>
      </c>
      <c r="G48" s="138">
        <v>0</v>
      </c>
      <c r="H48" s="104">
        <v>1795.7610613510547</v>
      </c>
      <c r="I48" s="9">
        <f t="shared" si="2"/>
        <v>4702259.27533486</v>
      </c>
      <c r="J48" s="55">
        <f t="shared" si="11"/>
        <v>-61491.89841645211</v>
      </c>
      <c r="K48" s="98">
        <f t="shared" si="12"/>
        <v>-0.01290829352197862</v>
      </c>
      <c r="L48" s="28"/>
      <c r="M48" s="28"/>
      <c r="N48" s="28"/>
      <c r="O48" s="28"/>
      <c r="P48" s="28"/>
      <c r="Q48" s="28"/>
      <c r="R48" s="28"/>
      <c r="S48" s="28"/>
      <c r="T48" s="28"/>
      <c r="X48" s="3">
        <v>39052</v>
      </c>
      <c r="Y48" s="6">
        <f t="shared" si="13"/>
        <v>0</v>
      </c>
      <c r="Z48" s="6">
        <f>SUM(Y37:Y48)</f>
        <v>0</v>
      </c>
      <c r="AA48" s="6">
        <f>+Y48*12</f>
        <v>0</v>
      </c>
      <c r="AB48" s="3">
        <v>40148</v>
      </c>
      <c r="AC48" s="6">
        <f t="shared" si="14"/>
        <v>0</v>
      </c>
      <c r="AD48" s="6">
        <f>SUM(AC37:AC48)</f>
        <v>0</v>
      </c>
      <c r="AE48" s="6">
        <f>+AC48*12</f>
        <v>0</v>
      </c>
      <c r="AF48" s="3">
        <v>41244</v>
      </c>
      <c r="AG48" s="167">
        <f t="shared" si="15"/>
        <v>0</v>
      </c>
      <c r="AH48" s="6">
        <f>SUM(AG37:AG48)</f>
        <v>0</v>
      </c>
      <c r="AI48" s="6">
        <f>+AG48*12</f>
        <v>0</v>
      </c>
      <c r="AJ48" s="170">
        <v>42339</v>
      </c>
      <c r="AK48" s="171">
        <f>+AK47+$AG$16</f>
        <v>29853.360629972423</v>
      </c>
      <c r="AL48" s="6">
        <f>SUM(AK37:AK48)</f>
        <v>57218.94120744715</v>
      </c>
      <c r="AM48" s="6">
        <f>+AK48*12</f>
        <v>358240.3275596691</v>
      </c>
      <c r="AN48" s="40">
        <f t="shared" si="16"/>
        <v>2487.780052497702</v>
      </c>
      <c r="AO48" s="40">
        <f t="shared" si="17"/>
        <v>29853.36062997243</v>
      </c>
    </row>
    <row r="49" spans="1:41" ht="12.75">
      <c r="A49" s="3">
        <v>38292</v>
      </c>
      <c r="B49" s="107">
        <v>5004535.593219811</v>
      </c>
      <c r="C49" s="108">
        <v>379.1</v>
      </c>
      <c r="D49" s="108">
        <v>0</v>
      </c>
      <c r="E49" s="9">
        <v>30</v>
      </c>
      <c r="F49" s="50">
        <v>1</v>
      </c>
      <c r="G49" s="138">
        <v>0</v>
      </c>
      <c r="H49" s="104">
        <v>1799.3768903750972</v>
      </c>
      <c r="I49" s="9">
        <f t="shared" si="2"/>
        <v>4961049.229456733</v>
      </c>
      <c r="J49" s="55">
        <f t="shared" si="11"/>
        <v>-43486.363763078116</v>
      </c>
      <c r="K49" s="98">
        <f t="shared" si="12"/>
        <v>-0.008689390444538715</v>
      </c>
      <c r="L49" s="28"/>
      <c r="M49" s="28"/>
      <c r="N49" s="28"/>
      <c r="O49" s="28"/>
      <c r="P49" s="28"/>
      <c r="Q49" s="28"/>
      <c r="R49" s="28"/>
      <c r="S49" s="28"/>
      <c r="T49" s="28"/>
      <c r="X49" s="3">
        <v>39083</v>
      </c>
      <c r="Y49" s="6">
        <f>+Y48+$AG$8</f>
        <v>0</v>
      </c>
      <c r="AB49" s="3">
        <v>40179</v>
      </c>
      <c r="AC49" s="6">
        <f>+AC48+$AG$11</f>
        <v>0</v>
      </c>
      <c r="AF49" s="3">
        <v>41275</v>
      </c>
      <c r="AG49" s="167">
        <f>+AG48+$AG$14</f>
        <v>0</v>
      </c>
      <c r="AH49" s="6"/>
      <c r="AI49" s="6"/>
      <c r="AJ49" s="170">
        <v>42370</v>
      </c>
      <c r="AK49" s="171">
        <f>+AK48+$AG$17</f>
        <v>29161.271455234273</v>
      </c>
      <c r="AL49" s="6"/>
      <c r="AM49" s="6"/>
      <c r="AN49" s="40">
        <f>+AN50</f>
        <v>-692.0891747381502</v>
      </c>
      <c r="AO49" s="40">
        <f>+AN49</f>
        <v>-692.0891747381502</v>
      </c>
    </row>
    <row r="50" spans="1:41" ht="12.75">
      <c r="A50" s="3">
        <v>38322</v>
      </c>
      <c r="B50" s="107">
        <v>5766370.666731407</v>
      </c>
      <c r="C50" s="108">
        <v>643.4000000000001</v>
      </c>
      <c r="D50" s="108">
        <v>0</v>
      </c>
      <c r="E50" s="9">
        <v>31</v>
      </c>
      <c r="F50" s="50">
        <v>0</v>
      </c>
      <c r="G50" s="138">
        <v>0</v>
      </c>
      <c r="H50" s="104">
        <v>1803</v>
      </c>
      <c r="I50" s="9">
        <f t="shared" si="2"/>
        <v>5818723.299441988</v>
      </c>
      <c r="J50" s="55">
        <f t="shared" si="11"/>
        <v>52352.632710580714</v>
      </c>
      <c r="K50" s="98">
        <f t="shared" si="12"/>
        <v>0.009078957239538008</v>
      </c>
      <c r="L50" s="28"/>
      <c r="M50" s="28"/>
      <c r="N50" s="28"/>
      <c r="O50" s="28"/>
      <c r="P50" s="28"/>
      <c r="Q50" s="28"/>
      <c r="R50" s="28"/>
      <c r="S50" s="28"/>
      <c r="T50" s="28"/>
      <c r="X50" s="3">
        <v>39114</v>
      </c>
      <c r="Y50" s="6">
        <f aca="true" t="shared" si="18" ref="Y50:Y60">+Y49+$AG$8</f>
        <v>0</v>
      </c>
      <c r="AB50" s="3">
        <v>40210</v>
      </c>
      <c r="AC50" s="6">
        <f aca="true" t="shared" si="19" ref="AC50:AC60">+AC49+$AG$11</f>
        <v>0</v>
      </c>
      <c r="AF50" s="3">
        <v>41306</v>
      </c>
      <c r="AG50" s="167">
        <f aca="true" t="shared" si="20" ref="AG50:AG60">+AG49+$AG$14</f>
        <v>0</v>
      </c>
      <c r="AH50" s="6"/>
      <c r="AI50" s="6"/>
      <c r="AJ50" s="170">
        <v>42401</v>
      </c>
      <c r="AK50" s="171">
        <f aca="true" t="shared" si="21" ref="AK50:AK60">+AK49+$AG$17</f>
        <v>28469.182280496123</v>
      </c>
      <c r="AL50" s="6"/>
      <c r="AM50" s="6"/>
      <c r="AN50" s="40">
        <f aca="true" t="shared" si="22" ref="AN50:AN60">+AK50-AK49</f>
        <v>-692.0891747381502</v>
      </c>
      <c r="AO50" s="40">
        <f>+AN49+AN50</f>
        <v>-1384.1783494763004</v>
      </c>
    </row>
    <row r="51" spans="1:41" ht="12.75">
      <c r="A51" s="3">
        <v>38353</v>
      </c>
      <c r="B51" s="107">
        <v>6183056.965355447</v>
      </c>
      <c r="C51" s="108">
        <v>770</v>
      </c>
      <c r="D51" s="108">
        <v>0</v>
      </c>
      <c r="E51" s="9">
        <v>31</v>
      </c>
      <c r="F51" s="50">
        <v>0</v>
      </c>
      <c r="G51" s="138">
        <v>0</v>
      </c>
      <c r="H51" s="104">
        <v>1817.8882079673356</v>
      </c>
      <c r="I51" s="9">
        <f t="shared" si="2"/>
        <v>6132021.958083486</v>
      </c>
      <c r="J51" s="55">
        <f t="shared" si="11"/>
        <v>-51035.00727196038</v>
      </c>
      <c r="K51" s="98">
        <f t="shared" si="12"/>
        <v>-0.008254008908201368</v>
      </c>
      <c r="L51" s="28"/>
      <c r="M51" s="28"/>
      <c r="N51" s="28"/>
      <c r="O51" s="28"/>
      <c r="P51" s="28"/>
      <c r="Q51" s="28"/>
      <c r="R51" s="28"/>
      <c r="S51" s="28"/>
      <c r="T51" s="28"/>
      <c r="X51" s="3">
        <v>39142</v>
      </c>
      <c r="Y51" s="6">
        <f t="shared" si="18"/>
        <v>0</v>
      </c>
      <c r="AB51" s="3">
        <v>40238</v>
      </c>
      <c r="AC51" s="6">
        <f t="shared" si="19"/>
        <v>0</v>
      </c>
      <c r="AF51" s="3">
        <v>41334</v>
      </c>
      <c r="AG51" s="167">
        <f t="shared" si="20"/>
        <v>0</v>
      </c>
      <c r="AH51" s="6"/>
      <c r="AI51" s="6"/>
      <c r="AJ51" s="170">
        <v>42430</v>
      </c>
      <c r="AK51" s="171">
        <f t="shared" si="21"/>
        <v>27777.093105757973</v>
      </c>
      <c r="AL51" s="6"/>
      <c r="AM51" s="6"/>
      <c r="AN51" s="40">
        <f t="shared" si="22"/>
        <v>-692.0891747381502</v>
      </c>
      <c r="AO51" s="40">
        <f>+AO50+AN51</f>
        <v>-2076.2675242144505</v>
      </c>
    </row>
    <row r="52" spans="1:41" ht="12.75">
      <c r="A52" s="3">
        <v>38384</v>
      </c>
      <c r="B52" s="107">
        <v>5588169.492864261</v>
      </c>
      <c r="C52" s="108">
        <v>616.3999999999999</v>
      </c>
      <c r="D52" s="108">
        <v>0</v>
      </c>
      <c r="E52" s="9">
        <v>28</v>
      </c>
      <c r="F52" s="50">
        <v>0</v>
      </c>
      <c r="G52" s="138">
        <v>0</v>
      </c>
      <c r="H52" s="104">
        <v>1832.8993547790851</v>
      </c>
      <c r="I52" s="9">
        <f t="shared" si="2"/>
        <v>5656878.472153416</v>
      </c>
      <c r="J52" s="55">
        <f t="shared" si="11"/>
        <v>68708.97928915452</v>
      </c>
      <c r="K52" s="98">
        <f t="shared" si="12"/>
        <v>0.012295435808969564</v>
      </c>
      <c r="L52" s="28"/>
      <c r="M52" s="28"/>
      <c r="N52" s="28"/>
      <c r="O52" s="28"/>
      <c r="P52" s="28"/>
      <c r="Q52" s="28"/>
      <c r="R52" s="28"/>
      <c r="S52" s="28"/>
      <c r="T52" s="28"/>
      <c r="X52" s="3">
        <v>39173</v>
      </c>
      <c r="Y52" s="6">
        <f t="shared" si="18"/>
        <v>0</v>
      </c>
      <c r="AB52" s="3">
        <v>40269</v>
      </c>
      <c r="AC52" s="6">
        <f t="shared" si="19"/>
        <v>0</v>
      </c>
      <c r="AF52" s="3">
        <v>41365</v>
      </c>
      <c r="AG52" s="167">
        <f t="shared" si="20"/>
        <v>0</v>
      </c>
      <c r="AH52" s="6"/>
      <c r="AI52" s="6"/>
      <c r="AJ52" s="170">
        <v>42461</v>
      </c>
      <c r="AK52" s="171">
        <f t="shared" si="21"/>
        <v>27085.003931019823</v>
      </c>
      <c r="AL52" s="6"/>
      <c r="AM52" s="6"/>
      <c r="AN52" s="40">
        <f t="shared" si="22"/>
        <v>-692.0891747381502</v>
      </c>
      <c r="AO52" s="40">
        <f aca="true" t="shared" si="23" ref="AO52:AO60">+AO51+AN52</f>
        <v>-2768.3566989526007</v>
      </c>
    </row>
    <row r="53" spans="1:41" ht="12.75">
      <c r="A53" s="3">
        <v>38412</v>
      </c>
      <c r="B53" s="107">
        <v>5764325.975838449</v>
      </c>
      <c r="C53" s="108">
        <v>608.6</v>
      </c>
      <c r="D53" s="108">
        <v>0</v>
      </c>
      <c r="E53" s="9">
        <v>31</v>
      </c>
      <c r="F53" s="50">
        <v>1</v>
      </c>
      <c r="G53" s="138">
        <v>0</v>
      </c>
      <c r="H53" s="104">
        <v>1848.0344555983563</v>
      </c>
      <c r="I53" s="9">
        <f t="shared" si="2"/>
        <v>5660728.136231119</v>
      </c>
      <c r="J53" s="55">
        <f t="shared" si="11"/>
        <v>-103597.83960733004</v>
      </c>
      <c r="K53" s="98">
        <f t="shared" si="12"/>
        <v>-0.017972238218582223</v>
      </c>
      <c r="L53" s="28"/>
      <c r="M53" s="28"/>
      <c r="N53" s="28"/>
      <c r="O53" s="28"/>
      <c r="P53" s="28"/>
      <c r="Q53" s="28"/>
      <c r="R53" s="28"/>
      <c r="S53" s="28"/>
      <c r="T53" s="28"/>
      <c r="X53" s="3">
        <v>39203</v>
      </c>
      <c r="Y53" s="6">
        <f t="shared" si="18"/>
        <v>0</v>
      </c>
      <c r="AB53" s="3">
        <v>40299</v>
      </c>
      <c r="AC53" s="6">
        <f t="shared" si="19"/>
        <v>0</v>
      </c>
      <c r="AF53" s="3">
        <v>41395</v>
      </c>
      <c r="AG53" s="167">
        <f t="shared" si="20"/>
        <v>0</v>
      </c>
      <c r="AH53" s="6"/>
      <c r="AI53" s="6"/>
      <c r="AJ53" s="170">
        <v>42491</v>
      </c>
      <c r="AK53" s="171">
        <f t="shared" si="21"/>
        <v>26392.914756281672</v>
      </c>
      <c r="AL53" s="6"/>
      <c r="AM53" s="6"/>
      <c r="AN53" s="40">
        <f t="shared" si="22"/>
        <v>-692.0891747381502</v>
      </c>
      <c r="AO53" s="40">
        <f t="shared" si="23"/>
        <v>-3460.445873690751</v>
      </c>
    </row>
    <row r="54" spans="1:41" ht="12.75">
      <c r="A54" s="3">
        <v>38443</v>
      </c>
      <c r="B54" s="107">
        <v>4898503.046633264</v>
      </c>
      <c r="C54" s="108">
        <v>306.8</v>
      </c>
      <c r="D54" s="108">
        <v>0</v>
      </c>
      <c r="E54" s="9">
        <v>30</v>
      </c>
      <c r="F54" s="50">
        <v>1</v>
      </c>
      <c r="G54" s="138">
        <v>0</v>
      </c>
      <c r="H54" s="104">
        <v>1863.2945339709297</v>
      </c>
      <c r="I54" s="9">
        <f t="shared" si="2"/>
        <v>5003767.345728469</v>
      </c>
      <c r="J54" s="55">
        <f t="shared" si="11"/>
        <v>105264.29909520503</v>
      </c>
      <c r="K54" s="98">
        <f t="shared" si="12"/>
        <v>0.021489074946590688</v>
      </c>
      <c r="L54" s="28"/>
      <c r="M54" s="28"/>
      <c r="N54" s="28"/>
      <c r="O54" s="28"/>
      <c r="P54" s="28"/>
      <c r="Q54" s="28"/>
      <c r="R54" s="28"/>
      <c r="S54" s="28"/>
      <c r="T54" s="28"/>
      <c r="X54" s="3">
        <v>39234</v>
      </c>
      <c r="Y54" s="6">
        <f t="shared" si="18"/>
        <v>0</v>
      </c>
      <c r="AB54" s="3">
        <v>40330</v>
      </c>
      <c r="AC54" s="6">
        <f t="shared" si="19"/>
        <v>0</v>
      </c>
      <c r="AF54" s="3">
        <v>41426</v>
      </c>
      <c r="AG54" s="167">
        <f t="shared" si="20"/>
        <v>0</v>
      </c>
      <c r="AH54" s="6"/>
      <c r="AI54" s="6"/>
      <c r="AJ54" s="170">
        <v>42522</v>
      </c>
      <c r="AK54" s="171">
        <f t="shared" si="21"/>
        <v>25700.825581543522</v>
      </c>
      <c r="AL54" s="6"/>
      <c r="AM54" s="6"/>
      <c r="AN54" s="40">
        <f t="shared" si="22"/>
        <v>-692.0891747381502</v>
      </c>
      <c r="AO54" s="40">
        <f t="shared" si="23"/>
        <v>-4152.535048428901</v>
      </c>
    </row>
    <row r="55" spans="1:41" ht="12.75">
      <c r="A55" s="3">
        <v>38473</v>
      </c>
      <c r="B55" s="107">
        <v>4926309.832657102</v>
      </c>
      <c r="C55" s="108">
        <v>189.40000000000003</v>
      </c>
      <c r="D55" s="108">
        <v>0.8</v>
      </c>
      <c r="E55" s="9">
        <v>31</v>
      </c>
      <c r="F55" s="50">
        <v>1</v>
      </c>
      <c r="G55" s="138">
        <v>0</v>
      </c>
      <c r="H55" s="104">
        <v>1878.6806218944787</v>
      </c>
      <c r="I55" s="9">
        <f t="shared" si="2"/>
        <v>4873329.23828396</v>
      </c>
      <c r="J55" s="55">
        <f t="shared" si="11"/>
        <v>-52980.594373141415</v>
      </c>
      <c r="K55" s="98">
        <f t="shared" si="12"/>
        <v>-0.010754620836457883</v>
      </c>
      <c r="L55" s="28"/>
      <c r="M55" s="28"/>
      <c r="N55" s="28"/>
      <c r="O55" s="28"/>
      <c r="P55" s="28"/>
      <c r="Q55" s="28"/>
      <c r="R55" s="28"/>
      <c r="S55" s="28"/>
      <c r="T55" s="28"/>
      <c r="X55" s="3">
        <v>39264</v>
      </c>
      <c r="Y55" s="6">
        <f t="shared" si="18"/>
        <v>0</v>
      </c>
      <c r="AB55" s="3">
        <v>40360</v>
      </c>
      <c r="AC55" s="6">
        <f t="shared" si="19"/>
        <v>0</v>
      </c>
      <c r="AF55" s="3">
        <v>41456</v>
      </c>
      <c r="AG55" s="167">
        <f t="shared" si="20"/>
        <v>0</v>
      </c>
      <c r="AH55" s="6"/>
      <c r="AI55" s="6"/>
      <c r="AJ55" s="170">
        <v>42552</v>
      </c>
      <c r="AK55" s="171">
        <f t="shared" si="21"/>
        <v>25008.736406805372</v>
      </c>
      <c r="AL55" s="6"/>
      <c r="AM55" s="6"/>
      <c r="AN55" s="40">
        <f t="shared" si="22"/>
        <v>-692.0891747381502</v>
      </c>
      <c r="AO55" s="40">
        <f t="shared" si="23"/>
        <v>-4844.624223167051</v>
      </c>
    </row>
    <row r="56" spans="1:41" ht="12.75">
      <c r="A56" s="3">
        <v>38504</v>
      </c>
      <c r="B56" s="107">
        <v>5290585.639133438</v>
      </c>
      <c r="C56" s="108">
        <v>8.9</v>
      </c>
      <c r="D56" s="108">
        <v>146.3</v>
      </c>
      <c r="E56" s="9">
        <v>30</v>
      </c>
      <c r="F56" s="50">
        <v>0</v>
      </c>
      <c r="G56" s="138">
        <v>0</v>
      </c>
      <c r="H56" s="104">
        <v>1894.19375988836</v>
      </c>
      <c r="I56" s="9">
        <f t="shared" si="2"/>
        <v>5665947.988323817</v>
      </c>
      <c r="J56" s="55">
        <f t="shared" si="11"/>
        <v>375362.3491903795</v>
      </c>
      <c r="K56" s="98">
        <f t="shared" si="12"/>
        <v>0.07094911126925096</v>
      </c>
      <c r="X56" s="3">
        <v>39295</v>
      </c>
      <c r="Y56" s="6">
        <f t="shared" si="18"/>
        <v>0</v>
      </c>
      <c r="AB56" s="3">
        <v>40391</v>
      </c>
      <c r="AC56" s="6">
        <f t="shared" si="19"/>
        <v>0</v>
      </c>
      <c r="AF56" s="3">
        <v>41487</v>
      </c>
      <c r="AG56" s="167">
        <f t="shared" si="20"/>
        <v>0</v>
      </c>
      <c r="AH56" s="6"/>
      <c r="AI56" s="6"/>
      <c r="AJ56" s="170">
        <v>42583</v>
      </c>
      <c r="AK56" s="171">
        <f t="shared" si="21"/>
        <v>24316.647232067222</v>
      </c>
      <c r="AL56" s="6"/>
      <c r="AM56" s="6"/>
      <c r="AN56" s="40">
        <f t="shared" si="22"/>
        <v>-692.0891747381502</v>
      </c>
      <c r="AO56" s="40">
        <f t="shared" si="23"/>
        <v>-5536.713397905201</v>
      </c>
    </row>
    <row r="57" spans="1:41" ht="12.75">
      <c r="A57" s="3">
        <v>38534</v>
      </c>
      <c r="B57" s="107">
        <v>5849229.264170035</v>
      </c>
      <c r="C57" s="108">
        <v>0</v>
      </c>
      <c r="D57" s="108">
        <v>188.7</v>
      </c>
      <c r="E57" s="9">
        <v>31</v>
      </c>
      <c r="F57" s="50">
        <v>0</v>
      </c>
      <c r="G57" s="138">
        <v>0</v>
      </c>
      <c r="H57" s="104">
        <v>1909.8349970639824</v>
      </c>
      <c r="I57" s="9">
        <f t="shared" si="2"/>
        <v>6043095.063716592</v>
      </c>
      <c r="J57" s="55">
        <f t="shared" si="11"/>
        <v>193865.79954655748</v>
      </c>
      <c r="K57" s="98">
        <f t="shared" si="12"/>
        <v>0.03314381960271234</v>
      </c>
      <c r="X57" s="3">
        <v>39326</v>
      </c>
      <c r="Y57" s="6">
        <f t="shared" si="18"/>
        <v>0</v>
      </c>
      <c r="AB57" s="3">
        <v>40422</v>
      </c>
      <c r="AC57" s="6">
        <f t="shared" si="19"/>
        <v>0</v>
      </c>
      <c r="AF57" s="3">
        <v>41518</v>
      </c>
      <c r="AG57" s="167">
        <f t="shared" si="20"/>
        <v>0</v>
      </c>
      <c r="AH57" s="6"/>
      <c r="AI57" s="6"/>
      <c r="AJ57" s="170">
        <v>42614</v>
      </c>
      <c r="AK57" s="171">
        <f t="shared" si="21"/>
        <v>23624.55805732907</v>
      </c>
      <c r="AL57" s="6"/>
      <c r="AM57" s="6"/>
      <c r="AN57" s="40">
        <f t="shared" si="22"/>
        <v>-692.0891747381502</v>
      </c>
      <c r="AO57" s="40">
        <f t="shared" si="23"/>
        <v>-6228.802572643352</v>
      </c>
    </row>
    <row r="58" spans="1:41" ht="12.75">
      <c r="A58" s="3">
        <v>38565</v>
      </c>
      <c r="B58" s="107">
        <v>5546694.744518889</v>
      </c>
      <c r="C58" s="108">
        <v>0.2</v>
      </c>
      <c r="D58" s="108">
        <v>140.70000000000002</v>
      </c>
      <c r="E58" s="9">
        <v>31</v>
      </c>
      <c r="F58" s="50">
        <v>0</v>
      </c>
      <c r="G58" s="138">
        <v>0</v>
      </c>
      <c r="H58" s="104">
        <v>1925.605391195754</v>
      </c>
      <c r="I58" s="9">
        <f t="shared" si="2"/>
        <v>5771765.40183036</v>
      </c>
      <c r="J58" s="55">
        <f t="shared" si="11"/>
        <v>225070.65731147118</v>
      </c>
      <c r="K58" s="98">
        <f t="shared" si="12"/>
        <v>0.0405774371365723</v>
      </c>
      <c r="X58" s="3">
        <v>39356</v>
      </c>
      <c r="Y58" s="6">
        <f t="shared" si="18"/>
        <v>0</v>
      </c>
      <c r="AB58" s="3">
        <v>40452</v>
      </c>
      <c r="AC58" s="6">
        <f t="shared" si="19"/>
        <v>0</v>
      </c>
      <c r="AF58" s="3">
        <v>41548</v>
      </c>
      <c r="AG58" s="167">
        <f t="shared" si="20"/>
        <v>0</v>
      </c>
      <c r="AH58" s="6"/>
      <c r="AI58" s="6"/>
      <c r="AJ58" s="170">
        <v>42644</v>
      </c>
      <c r="AK58" s="171">
        <f t="shared" si="21"/>
        <v>22932.46888259092</v>
      </c>
      <c r="AL58" s="6"/>
      <c r="AM58" s="6"/>
      <c r="AN58" s="40">
        <f t="shared" si="22"/>
        <v>-692.0891747381502</v>
      </c>
      <c r="AO58" s="40">
        <f t="shared" si="23"/>
        <v>-6920.891747381502</v>
      </c>
    </row>
    <row r="59" spans="1:41" ht="12.75">
      <c r="A59" s="3">
        <v>38596</v>
      </c>
      <c r="B59" s="107">
        <v>5040696.64640822</v>
      </c>
      <c r="C59" s="108">
        <v>22.6</v>
      </c>
      <c r="D59" s="108">
        <v>52.099999999999994</v>
      </c>
      <c r="E59" s="9">
        <v>30</v>
      </c>
      <c r="F59" s="50">
        <v>1</v>
      </c>
      <c r="G59" s="138">
        <v>0</v>
      </c>
      <c r="H59" s="104">
        <v>1941.5060087926174</v>
      </c>
      <c r="I59" s="9">
        <f t="shared" si="2"/>
        <v>4989457.464718707</v>
      </c>
      <c r="J59" s="55">
        <f t="shared" si="11"/>
        <v>-51239.181689512916</v>
      </c>
      <c r="K59" s="98">
        <f t="shared" si="12"/>
        <v>-0.010165099247942984</v>
      </c>
      <c r="X59" s="3">
        <v>39387</v>
      </c>
      <c r="Y59" s="6">
        <f t="shared" si="18"/>
        <v>0</v>
      </c>
      <c r="AB59" s="3">
        <v>40483</v>
      </c>
      <c r="AC59" s="6">
        <f t="shared" si="19"/>
        <v>0</v>
      </c>
      <c r="AF59" s="3">
        <v>41579</v>
      </c>
      <c r="AG59" s="167">
        <f t="shared" si="20"/>
        <v>0</v>
      </c>
      <c r="AH59" s="6"/>
      <c r="AI59" s="6"/>
      <c r="AJ59" s="170">
        <v>42675</v>
      </c>
      <c r="AK59" s="171">
        <f t="shared" si="21"/>
        <v>22240.37970785277</v>
      </c>
      <c r="AL59" s="6"/>
      <c r="AM59" s="6"/>
      <c r="AN59" s="40">
        <f t="shared" si="22"/>
        <v>-692.0891747381502</v>
      </c>
      <c r="AO59" s="40">
        <f t="shared" si="23"/>
        <v>-7612.980922119652</v>
      </c>
    </row>
    <row r="60" spans="1:41" ht="12.75">
      <c r="A60" s="3">
        <v>38626</v>
      </c>
      <c r="B60" s="107">
        <v>5022879.067785979</v>
      </c>
      <c r="C60" s="108">
        <v>220.2</v>
      </c>
      <c r="D60" s="108">
        <v>7.6000000000000005</v>
      </c>
      <c r="E60" s="9">
        <v>31</v>
      </c>
      <c r="F60" s="50">
        <v>1</v>
      </c>
      <c r="G60" s="138">
        <v>0</v>
      </c>
      <c r="H60" s="104">
        <v>1957.5379251701747</v>
      </c>
      <c r="I60" s="9">
        <f t="shared" si="2"/>
        <v>5225141.482935376</v>
      </c>
      <c r="J60" s="55">
        <f t="shared" si="11"/>
        <v>202262.41514939722</v>
      </c>
      <c r="K60" s="98">
        <f t="shared" si="12"/>
        <v>0.040268223148472476</v>
      </c>
      <c r="X60" s="3">
        <v>39417</v>
      </c>
      <c r="Y60" s="6">
        <f t="shared" si="18"/>
        <v>0</v>
      </c>
      <c r="Z60" s="6">
        <f>SUM(Y49:Y60)</f>
        <v>0</v>
      </c>
      <c r="AA60" s="6">
        <f>+Y60*12</f>
        <v>0</v>
      </c>
      <c r="AB60" s="3">
        <v>40513</v>
      </c>
      <c r="AC60" s="6">
        <f t="shared" si="19"/>
        <v>0</v>
      </c>
      <c r="AD60" s="6">
        <f>SUM(AC49:AC60)</f>
        <v>0</v>
      </c>
      <c r="AE60" s="6">
        <f>+AC60*12</f>
        <v>0</v>
      </c>
      <c r="AF60" s="3">
        <v>41609</v>
      </c>
      <c r="AG60" s="167">
        <f t="shared" si="20"/>
        <v>0</v>
      </c>
      <c r="AH60" s="6">
        <f>SUM(AG49:AG60)</f>
        <v>0</v>
      </c>
      <c r="AI60" s="6">
        <f>+AG60*12</f>
        <v>0</v>
      </c>
      <c r="AJ60" s="172">
        <v>42705</v>
      </c>
      <c r="AK60" s="173">
        <f t="shared" si="21"/>
        <v>21548.29053311462</v>
      </c>
      <c r="AL60" s="6">
        <f>SUM(AK49:AK60)</f>
        <v>304257.37193009333</v>
      </c>
      <c r="AM60" s="6">
        <f>+AK60*12</f>
        <v>258579.48639737547</v>
      </c>
      <c r="AN60" s="40">
        <f t="shared" si="22"/>
        <v>-692.0891747381502</v>
      </c>
      <c r="AO60" s="40">
        <f t="shared" si="23"/>
        <v>-8305.070096857802</v>
      </c>
    </row>
    <row r="61" spans="1:41" ht="12.75">
      <c r="A61" s="3">
        <v>38657</v>
      </c>
      <c r="B61" s="107">
        <v>5348478.235587479</v>
      </c>
      <c r="C61" s="108">
        <v>388.4</v>
      </c>
      <c r="D61" s="108">
        <v>0</v>
      </c>
      <c r="E61" s="9">
        <v>30</v>
      </c>
      <c r="F61" s="50">
        <v>1</v>
      </c>
      <c r="G61" s="138">
        <v>0</v>
      </c>
      <c r="H61" s="104">
        <v>1973.7022245234082</v>
      </c>
      <c r="I61" s="9">
        <f t="shared" si="2"/>
        <v>5514234.718526751</v>
      </c>
      <c r="J61" s="55">
        <f t="shared" si="11"/>
        <v>165756.4829392722</v>
      </c>
      <c r="K61" s="98">
        <f t="shared" si="12"/>
        <v>0.030991335411326665</v>
      </c>
      <c r="X61" s="3"/>
      <c r="AG61" s="6"/>
      <c r="AH61" s="6"/>
      <c r="AI61" s="6"/>
      <c r="AJ61" s="6"/>
      <c r="AK61" s="174">
        <f>SUM(AK37:AK60)</f>
        <v>361476.3131375406</v>
      </c>
      <c r="AL61" s="6"/>
      <c r="AN61" s="40">
        <f>SUM(AN49:AN60)</f>
        <v>-8305.070096857802</v>
      </c>
      <c r="AO61" s="40">
        <f>SUM(AO49:AO60)</f>
        <v>-53982.95562957571</v>
      </c>
    </row>
    <row r="62" spans="1:40" ht="12.75">
      <c r="A62" s="3">
        <v>38687</v>
      </c>
      <c r="B62" s="107">
        <v>6033288.373846349</v>
      </c>
      <c r="C62" s="108">
        <v>665.2999999999998</v>
      </c>
      <c r="D62" s="108">
        <v>0</v>
      </c>
      <c r="E62" s="9">
        <v>31</v>
      </c>
      <c r="F62" s="50">
        <v>0</v>
      </c>
      <c r="G62" s="138">
        <v>0</v>
      </c>
      <c r="H62" s="104">
        <v>1990</v>
      </c>
      <c r="I62" s="9">
        <f t="shared" si="2"/>
        <v>6437345.734689078</v>
      </c>
      <c r="J62" s="55">
        <f t="shared" si="11"/>
        <v>404057.360842729</v>
      </c>
      <c r="K62" s="98">
        <f t="shared" si="12"/>
        <v>0.06697133234908409</v>
      </c>
      <c r="X62" s="176"/>
      <c r="Y62" s="166"/>
      <c r="Z62" s="166"/>
      <c r="AA62" s="166"/>
      <c r="AB62" s="166"/>
      <c r="AC62" s="166"/>
      <c r="AD62" s="166"/>
      <c r="AE62" s="166"/>
      <c r="AF62" s="166"/>
      <c r="AG62" s="166"/>
      <c r="AH62" s="176"/>
      <c r="AI62" s="176"/>
      <c r="AJ62" s="176"/>
      <c r="AK62" s="176"/>
      <c r="AL62" s="176"/>
      <c r="AM62" s="176"/>
      <c r="AN62" s="176"/>
    </row>
    <row r="63" spans="1:11" ht="12.75">
      <c r="A63" s="3">
        <v>38718</v>
      </c>
      <c r="B63" s="107">
        <v>5948335.746354557</v>
      </c>
      <c r="C63" s="108">
        <v>551.8</v>
      </c>
      <c r="D63" s="108">
        <v>0</v>
      </c>
      <c r="E63" s="9">
        <v>31</v>
      </c>
      <c r="F63" s="50">
        <v>0</v>
      </c>
      <c r="G63" s="138">
        <v>0</v>
      </c>
      <c r="H63" s="104">
        <v>1990.6654414483326</v>
      </c>
      <c r="I63" s="9">
        <f t="shared" si="2"/>
        <v>6199352.471640012</v>
      </c>
      <c r="J63" s="55">
        <f t="shared" si="11"/>
        <v>251016.72528545558</v>
      </c>
      <c r="K63" s="98">
        <f t="shared" si="12"/>
        <v>0.04219948839291585</v>
      </c>
    </row>
    <row r="64" spans="1:11" ht="12.75">
      <c r="A64" s="3">
        <v>38749</v>
      </c>
      <c r="B64" s="107">
        <v>5516607.902330128</v>
      </c>
      <c r="C64" s="108">
        <v>604.3000000000001</v>
      </c>
      <c r="D64" s="108">
        <v>0</v>
      </c>
      <c r="E64" s="9">
        <v>28</v>
      </c>
      <c r="F64" s="50">
        <v>0</v>
      </c>
      <c r="G64" s="138">
        <v>0</v>
      </c>
      <c r="H64" s="104">
        <v>1991.3311054154194</v>
      </c>
      <c r="I64" s="9">
        <f t="shared" si="2"/>
        <v>6116165.364706853</v>
      </c>
      <c r="J64" s="55">
        <f t="shared" si="11"/>
        <v>599557.4623767259</v>
      </c>
      <c r="K64" s="98">
        <f t="shared" si="12"/>
        <v>0.10868226870419453</v>
      </c>
    </row>
    <row r="65" spans="1:11" ht="12.75">
      <c r="A65" s="3">
        <v>38777</v>
      </c>
      <c r="B65" s="107">
        <v>5663960.341842029</v>
      </c>
      <c r="C65" s="108">
        <v>516.6</v>
      </c>
      <c r="D65" s="108">
        <v>0</v>
      </c>
      <c r="E65" s="9">
        <v>31</v>
      </c>
      <c r="F65" s="50">
        <v>1</v>
      </c>
      <c r="G65" s="138">
        <v>0</v>
      </c>
      <c r="H65" s="104">
        <v>1991.9969919756693</v>
      </c>
      <c r="I65" s="9">
        <f t="shared" si="2"/>
        <v>5906759.860333362</v>
      </c>
      <c r="J65" s="55">
        <f t="shared" si="11"/>
        <v>242799.51849133242</v>
      </c>
      <c r="K65" s="98">
        <f t="shared" si="12"/>
        <v>0.04286744677530163</v>
      </c>
    </row>
    <row r="66" spans="1:11" ht="12.75">
      <c r="A66" s="3">
        <v>38808</v>
      </c>
      <c r="B66" s="107">
        <v>4828532.96911204</v>
      </c>
      <c r="C66" s="108">
        <v>293.2999999999999</v>
      </c>
      <c r="D66" s="108">
        <v>0</v>
      </c>
      <c r="E66" s="9">
        <v>30</v>
      </c>
      <c r="F66" s="50">
        <v>1</v>
      </c>
      <c r="G66" s="138">
        <v>0</v>
      </c>
      <c r="H66" s="104">
        <v>1992.6631012035157</v>
      </c>
      <c r="I66" s="9">
        <f t="shared" si="2"/>
        <v>5371146.451775776</v>
      </c>
      <c r="J66" s="55">
        <f t="shared" si="11"/>
        <v>542613.4826637367</v>
      </c>
      <c r="K66" s="98">
        <f t="shared" si="12"/>
        <v>0.11237646840868988</v>
      </c>
    </row>
    <row r="67" spans="1:11" ht="12.75">
      <c r="A67" s="3">
        <v>38838</v>
      </c>
      <c r="B67" s="107">
        <v>5084315.511726718</v>
      </c>
      <c r="C67" s="108">
        <v>136.9</v>
      </c>
      <c r="D67" s="108">
        <v>26</v>
      </c>
      <c r="E67" s="9">
        <v>31</v>
      </c>
      <c r="F67" s="50">
        <v>1</v>
      </c>
      <c r="G67" s="138">
        <v>0</v>
      </c>
      <c r="H67" s="104">
        <v>1993.3294331734169</v>
      </c>
      <c r="I67" s="9">
        <f t="shared" si="2"/>
        <v>5281190.904736311</v>
      </c>
      <c r="J67" s="55">
        <f aca="true" t="shared" si="24" ref="J67:J98">+I67-B67</f>
        <v>196875.39300959278</v>
      </c>
      <c r="K67" s="98">
        <f aca="true" t="shared" si="25" ref="K67:K98">+J67/B67</f>
        <v>0.03872210380247047</v>
      </c>
    </row>
    <row r="68" spans="1:11" ht="12.75">
      <c r="A68" s="3">
        <v>38869</v>
      </c>
      <c r="B68" s="107">
        <v>5286634.688963227</v>
      </c>
      <c r="C68" s="108">
        <v>19.5</v>
      </c>
      <c r="D68" s="108">
        <v>73.60000000000001</v>
      </c>
      <c r="E68" s="9">
        <v>30</v>
      </c>
      <c r="F68" s="50">
        <v>0</v>
      </c>
      <c r="G68" s="138">
        <v>0</v>
      </c>
      <c r="H68" s="104">
        <v>1993.9959879598564</v>
      </c>
      <c r="I68" s="9">
        <f aca="true" t="shared" si="26" ref="I68:I131">$M$19+C68*$M$20+D68*$M$21+E68*$M$22+F68*$M$23+G68*$M$24+H68*$M$25</f>
        <v>5509113.685234263</v>
      </c>
      <c r="J68" s="55">
        <f t="shared" si="24"/>
        <v>222478.99627103563</v>
      </c>
      <c r="K68" s="98">
        <f t="shared" si="25"/>
        <v>0.04208329293784936</v>
      </c>
    </row>
    <row r="69" spans="1:11" ht="12.75">
      <c r="A69" s="3">
        <v>38899</v>
      </c>
      <c r="B69" s="107">
        <v>5671478.180328327</v>
      </c>
      <c r="C69" s="108">
        <v>0</v>
      </c>
      <c r="D69" s="108">
        <v>167.3</v>
      </c>
      <c r="E69" s="9">
        <v>31</v>
      </c>
      <c r="F69" s="50">
        <v>0</v>
      </c>
      <c r="G69" s="138">
        <v>0</v>
      </c>
      <c r="H69" s="104">
        <v>1994.6627656373423</v>
      </c>
      <c r="I69" s="9">
        <f t="shared" si="26"/>
        <v>6160033.637229095</v>
      </c>
      <c r="J69" s="55">
        <f t="shared" si="24"/>
        <v>488555.456900768</v>
      </c>
      <c r="K69" s="98">
        <f t="shared" si="25"/>
        <v>0.08614252605173296</v>
      </c>
    </row>
    <row r="70" spans="1:11" ht="12.75">
      <c r="A70" s="3">
        <v>38930</v>
      </c>
      <c r="B70" s="107">
        <v>5446039.524483161</v>
      </c>
      <c r="C70" s="108">
        <v>4.2</v>
      </c>
      <c r="D70" s="108">
        <v>101.60000000000001</v>
      </c>
      <c r="E70" s="9">
        <v>31</v>
      </c>
      <c r="F70" s="50">
        <v>0</v>
      </c>
      <c r="G70" s="138">
        <v>0</v>
      </c>
      <c r="H70" s="104">
        <v>1995.329766280408</v>
      </c>
      <c r="I70" s="9">
        <f t="shared" si="26"/>
        <v>5732933.215677258</v>
      </c>
      <c r="J70" s="55">
        <f t="shared" si="24"/>
        <v>286893.6911940966</v>
      </c>
      <c r="K70" s="98">
        <f t="shared" si="25"/>
        <v>0.052679325940316844</v>
      </c>
    </row>
    <row r="71" spans="1:11" ht="12.75">
      <c r="A71" s="3">
        <v>38961</v>
      </c>
      <c r="B71" s="107">
        <v>4754881.647936862</v>
      </c>
      <c r="C71" s="108">
        <v>80.9</v>
      </c>
      <c r="D71" s="108">
        <v>12.9</v>
      </c>
      <c r="E71" s="9">
        <v>30</v>
      </c>
      <c r="F71" s="50">
        <v>1</v>
      </c>
      <c r="G71" s="138">
        <v>0</v>
      </c>
      <c r="H71" s="104">
        <v>1995.9969899636112</v>
      </c>
      <c r="I71" s="9">
        <f t="shared" si="26"/>
        <v>5018170.849680406</v>
      </c>
      <c r="J71" s="55">
        <f t="shared" si="24"/>
        <v>263289.2017435441</v>
      </c>
      <c r="K71" s="98">
        <f t="shared" si="25"/>
        <v>0.05537239856596325</v>
      </c>
    </row>
    <row r="72" spans="1:11" ht="12.75">
      <c r="A72" s="3">
        <v>38991</v>
      </c>
      <c r="B72" s="107">
        <v>5064665.463914145</v>
      </c>
      <c r="C72" s="108">
        <v>288.3</v>
      </c>
      <c r="D72" s="108">
        <v>1.1</v>
      </c>
      <c r="E72" s="9">
        <v>31</v>
      </c>
      <c r="F72" s="50">
        <v>1</v>
      </c>
      <c r="G72" s="138">
        <v>0</v>
      </c>
      <c r="H72" s="104">
        <v>1996.6644367615352</v>
      </c>
      <c r="I72" s="9">
        <f t="shared" si="26"/>
        <v>5445569.282781537</v>
      </c>
      <c r="J72" s="55">
        <f t="shared" si="24"/>
        <v>380903.8188673919</v>
      </c>
      <c r="K72" s="98">
        <f t="shared" si="25"/>
        <v>0.07520809056024336</v>
      </c>
    </row>
    <row r="73" spans="1:11" ht="12.75">
      <c r="A73" s="3">
        <v>39022</v>
      </c>
      <c r="B73" s="107">
        <v>5303099.305001897</v>
      </c>
      <c r="C73" s="108">
        <v>382.2000000000001</v>
      </c>
      <c r="D73" s="108">
        <v>0</v>
      </c>
      <c r="E73" s="9">
        <v>30</v>
      </c>
      <c r="F73" s="50">
        <v>1</v>
      </c>
      <c r="G73" s="138">
        <v>0</v>
      </c>
      <c r="H73" s="104">
        <v>1997.3321067487877</v>
      </c>
      <c r="I73" s="9">
        <f t="shared" si="26"/>
        <v>5573441.555693891</v>
      </c>
      <c r="J73" s="55">
        <f t="shared" si="24"/>
        <v>270342.2506919941</v>
      </c>
      <c r="K73" s="98">
        <f t="shared" si="25"/>
        <v>0.05097816109854979</v>
      </c>
    </row>
    <row r="74" spans="1:11" ht="12.75">
      <c r="A74" s="3">
        <v>39052</v>
      </c>
      <c r="B74" s="107">
        <v>5787387.323860489</v>
      </c>
      <c r="C74" s="108">
        <v>500.4999999999999</v>
      </c>
      <c r="D74" s="108">
        <v>0</v>
      </c>
      <c r="E74" s="9">
        <v>31</v>
      </c>
      <c r="F74" s="50">
        <v>0</v>
      </c>
      <c r="G74" s="138">
        <v>0</v>
      </c>
      <c r="H74" s="104">
        <v>1998</v>
      </c>
      <c r="I74" s="9">
        <f t="shared" si="26"/>
        <v>6113310.431801534</v>
      </c>
      <c r="J74" s="55">
        <f t="shared" si="24"/>
        <v>325923.1079410454</v>
      </c>
      <c r="K74" s="98">
        <f t="shared" si="25"/>
        <v>0.05631610426302654</v>
      </c>
    </row>
    <row r="75" spans="1:11" ht="12.75">
      <c r="A75" s="3">
        <v>39083</v>
      </c>
      <c r="B75" s="107">
        <v>6199449.943351142</v>
      </c>
      <c r="C75" s="108">
        <v>647.1</v>
      </c>
      <c r="D75" s="108">
        <v>0</v>
      </c>
      <c r="E75" s="9">
        <v>31</v>
      </c>
      <c r="F75" s="50">
        <v>0</v>
      </c>
      <c r="G75" s="138">
        <v>0</v>
      </c>
      <c r="H75" s="104">
        <v>2002.1548633207883</v>
      </c>
      <c r="I75" s="9">
        <f t="shared" si="26"/>
        <v>6436055.992013279</v>
      </c>
      <c r="J75" s="55">
        <f t="shared" si="24"/>
        <v>236606.04866213724</v>
      </c>
      <c r="K75" s="98">
        <f t="shared" si="25"/>
        <v>0.0381656519246349</v>
      </c>
    </row>
    <row r="76" spans="1:11" ht="12.75">
      <c r="A76" s="3">
        <v>39114</v>
      </c>
      <c r="B76" s="107">
        <v>6183799.547302829</v>
      </c>
      <c r="C76" s="108">
        <v>740.1</v>
      </c>
      <c r="D76" s="108">
        <v>0</v>
      </c>
      <c r="E76" s="9">
        <v>28</v>
      </c>
      <c r="F76" s="50">
        <v>0</v>
      </c>
      <c r="G76" s="138">
        <v>0</v>
      </c>
      <c r="H76" s="104">
        <v>2006.3183667262686</v>
      </c>
      <c r="I76" s="9">
        <f t="shared" si="26"/>
        <v>6449223.335637288</v>
      </c>
      <c r="J76" s="55">
        <f t="shared" si="24"/>
        <v>265423.78833445907</v>
      </c>
      <c r="K76" s="98">
        <f t="shared" si="25"/>
        <v>0.04292244376683074</v>
      </c>
    </row>
    <row r="77" spans="1:11" ht="12.75">
      <c r="A77" s="3">
        <v>39142</v>
      </c>
      <c r="B77" s="107">
        <v>6121758.599711826</v>
      </c>
      <c r="C77" s="108">
        <v>546.6999999999999</v>
      </c>
      <c r="D77" s="108">
        <v>0</v>
      </c>
      <c r="E77" s="9">
        <v>31</v>
      </c>
      <c r="F77" s="50">
        <v>1</v>
      </c>
      <c r="G77" s="138">
        <v>0</v>
      </c>
      <c r="H77" s="104">
        <v>2010.4905281835931</v>
      </c>
      <c r="I77" s="9">
        <f t="shared" si="26"/>
        <v>6027014.302070658</v>
      </c>
      <c r="J77" s="55">
        <f t="shared" si="24"/>
        <v>-94744.29764116835</v>
      </c>
      <c r="K77" s="98">
        <f t="shared" si="25"/>
        <v>-0.015476647126469232</v>
      </c>
    </row>
    <row r="78" spans="1:11" ht="12.75">
      <c r="A78" s="3">
        <v>39173</v>
      </c>
      <c r="B78" s="107">
        <v>5331514.13323473</v>
      </c>
      <c r="C78" s="108">
        <v>356.3999999999999</v>
      </c>
      <c r="D78" s="108">
        <v>0</v>
      </c>
      <c r="E78" s="9">
        <v>30</v>
      </c>
      <c r="F78" s="50">
        <v>1</v>
      </c>
      <c r="G78" s="138">
        <v>0</v>
      </c>
      <c r="H78" s="104">
        <v>2014.671365697278</v>
      </c>
      <c r="I78" s="9">
        <f t="shared" si="26"/>
        <v>5571946.030060126</v>
      </c>
      <c r="J78" s="55">
        <f t="shared" si="24"/>
        <v>240431.89682539646</v>
      </c>
      <c r="K78" s="98">
        <f t="shared" si="25"/>
        <v>0.04509636302502342</v>
      </c>
    </row>
    <row r="79" spans="1:11" ht="12.75">
      <c r="A79" s="3">
        <v>39203</v>
      </c>
      <c r="B79" s="107">
        <v>5257700.462524943</v>
      </c>
      <c r="C79" s="108">
        <v>136.39999999999998</v>
      </c>
      <c r="D79" s="108">
        <v>22.4</v>
      </c>
      <c r="E79" s="9">
        <v>31</v>
      </c>
      <c r="F79" s="50">
        <v>1</v>
      </c>
      <c r="G79" s="138">
        <v>0</v>
      </c>
      <c r="H79" s="104">
        <v>2018.860897309279</v>
      </c>
      <c r="I79" s="9">
        <f t="shared" si="26"/>
        <v>5334270.5313147465</v>
      </c>
      <c r="J79" s="55">
        <f t="shared" si="24"/>
        <v>76570.06878980342</v>
      </c>
      <c r="K79" s="98">
        <f t="shared" si="25"/>
        <v>0.0145634140506041</v>
      </c>
    </row>
    <row r="80" spans="1:11" ht="12.75">
      <c r="A80" s="3">
        <v>39234</v>
      </c>
      <c r="B80" s="107">
        <v>5481159.824771816</v>
      </c>
      <c r="C80" s="108">
        <v>16.5</v>
      </c>
      <c r="D80" s="108">
        <v>99.2</v>
      </c>
      <c r="E80" s="9">
        <v>30</v>
      </c>
      <c r="F80" s="50">
        <v>0</v>
      </c>
      <c r="G80" s="138">
        <v>0</v>
      </c>
      <c r="H80" s="104">
        <v>2023.0591410990708</v>
      </c>
      <c r="I80" s="9">
        <f t="shared" si="26"/>
        <v>5762392.244942903</v>
      </c>
      <c r="J80" s="55">
        <f t="shared" si="24"/>
        <v>281232.4201710867</v>
      </c>
      <c r="K80" s="98">
        <f t="shared" si="25"/>
        <v>0.051308925330013445</v>
      </c>
    </row>
    <row r="81" spans="1:11" ht="12.75">
      <c r="A81" s="3">
        <v>39264</v>
      </c>
      <c r="B81" s="107">
        <v>5681533.8233437</v>
      </c>
      <c r="C81" s="108">
        <v>3.1999999999999997</v>
      </c>
      <c r="D81" s="108">
        <v>106.10000000000001</v>
      </c>
      <c r="E81" s="9">
        <v>31</v>
      </c>
      <c r="F81" s="50">
        <v>0</v>
      </c>
      <c r="G81" s="138">
        <v>0</v>
      </c>
      <c r="H81" s="104">
        <v>2027.2661151837244</v>
      </c>
      <c r="I81" s="9">
        <f t="shared" si="26"/>
        <v>5858560.363180529</v>
      </c>
      <c r="J81" s="55">
        <f t="shared" si="24"/>
        <v>177026.53983682953</v>
      </c>
      <c r="K81" s="98">
        <f t="shared" si="25"/>
        <v>0.031158230390089584</v>
      </c>
    </row>
    <row r="82" spans="1:11" ht="12.75">
      <c r="A82" s="3">
        <v>39295</v>
      </c>
      <c r="B82" s="107">
        <v>5675274.068091131</v>
      </c>
      <c r="C82" s="108">
        <v>5.2</v>
      </c>
      <c r="D82" s="108">
        <v>140.99999999999997</v>
      </c>
      <c r="E82" s="9">
        <v>31</v>
      </c>
      <c r="F82" s="50">
        <v>0</v>
      </c>
      <c r="G82" s="138">
        <v>0</v>
      </c>
      <c r="H82" s="104">
        <v>2031.4818377179856</v>
      </c>
      <c r="I82" s="9">
        <f t="shared" si="26"/>
        <v>6108371.438274084</v>
      </c>
      <c r="J82" s="55">
        <f t="shared" si="24"/>
        <v>433097.37018295284</v>
      </c>
      <c r="K82" s="98">
        <f t="shared" si="25"/>
        <v>0.07631303175612529</v>
      </c>
    </row>
    <row r="83" spans="1:11" ht="12.75">
      <c r="A83" s="3">
        <v>39326</v>
      </c>
      <c r="B83" s="107">
        <v>5210070.934220375</v>
      </c>
      <c r="C83" s="108">
        <v>36.9</v>
      </c>
      <c r="D83" s="108">
        <v>47.5</v>
      </c>
      <c r="E83" s="9">
        <v>30</v>
      </c>
      <c r="F83" s="50">
        <v>1</v>
      </c>
      <c r="G83" s="138">
        <v>0</v>
      </c>
      <c r="H83" s="104">
        <v>2035.706326894353</v>
      </c>
      <c r="I83" s="9">
        <f t="shared" si="26"/>
        <v>5277328.225886514</v>
      </c>
      <c r="J83" s="55">
        <f t="shared" si="24"/>
        <v>67257.29166613985</v>
      </c>
      <c r="K83" s="98">
        <f t="shared" si="25"/>
        <v>0.012909093276328705</v>
      </c>
    </row>
    <row r="84" spans="1:11" ht="12.75">
      <c r="A84" s="3">
        <v>39356</v>
      </c>
      <c r="B84" s="107">
        <v>5239872.609100611</v>
      </c>
      <c r="C84" s="108">
        <v>137.7</v>
      </c>
      <c r="D84" s="108">
        <v>19.800000000000004</v>
      </c>
      <c r="E84" s="9">
        <v>31</v>
      </c>
      <c r="F84" s="50">
        <v>1</v>
      </c>
      <c r="G84" s="138">
        <v>0</v>
      </c>
      <c r="H84" s="104">
        <v>2039.9396009431566</v>
      </c>
      <c r="I84" s="9">
        <f t="shared" si="26"/>
        <v>5384196.279148226</v>
      </c>
      <c r="J84" s="55">
        <f t="shared" si="24"/>
        <v>144323.67004761472</v>
      </c>
      <c r="K84" s="98">
        <f t="shared" si="25"/>
        <v>0.02754335473670741</v>
      </c>
    </row>
    <row r="85" spans="1:11" ht="12.75">
      <c r="A85" s="3">
        <v>39387</v>
      </c>
      <c r="B85" s="107">
        <v>5677228.972742261</v>
      </c>
      <c r="C85" s="108">
        <v>462.4999999999999</v>
      </c>
      <c r="D85" s="108">
        <v>0</v>
      </c>
      <c r="E85" s="9">
        <v>30</v>
      </c>
      <c r="F85" s="50">
        <v>1</v>
      </c>
      <c r="G85" s="138">
        <v>0</v>
      </c>
      <c r="H85" s="104">
        <v>2044.1816781326372</v>
      </c>
      <c r="I85" s="9">
        <f t="shared" si="26"/>
        <v>5886641.828508632</v>
      </c>
      <c r="J85" s="55">
        <f t="shared" si="24"/>
        <v>209412.8557663709</v>
      </c>
      <c r="K85" s="98">
        <f t="shared" si="25"/>
        <v>0.036886455834670796</v>
      </c>
    </row>
    <row r="86" spans="1:11" ht="12.75">
      <c r="A86" s="3">
        <v>39417</v>
      </c>
      <c r="B86" s="107">
        <v>6403267.7720240215</v>
      </c>
      <c r="C86" s="108">
        <v>630.7</v>
      </c>
      <c r="D86" s="108">
        <v>0</v>
      </c>
      <c r="E86" s="9">
        <v>31</v>
      </c>
      <c r="F86" s="50">
        <v>0</v>
      </c>
      <c r="G86" s="138">
        <v>0</v>
      </c>
      <c r="H86" s="104">
        <v>2048.432576769025</v>
      </c>
      <c r="I86" s="9">
        <f t="shared" si="26"/>
        <v>6543004.9255196955</v>
      </c>
      <c r="J86" s="55">
        <f t="shared" si="24"/>
        <v>139737.15349567402</v>
      </c>
      <c r="K86" s="98">
        <f t="shared" si="25"/>
        <v>0.021822787750059098</v>
      </c>
    </row>
    <row r="87" spans="1:11" ht="12.75">
      <c r="A87" s="3">
        <v>39448</v>
      </c>
      <c r="B87" s="107">
        <v>6647299.133339294</v>
      </c>
      <c r="C87" s="109">
        <v>623.4999999999999</v>
      </c>
      <c r="D87" s="109">
        <v>0</v>
      </c>
      <c r="E87" s="9">
        <v>31</v>
      </c>
      <c r="F87" s="50">
        <v>0</v>
      </c>
      <c r="G87" s="138">
        <v>0</v>
      </c>
      <c r="H87" s="104">
        <v>2055.5559467115345</v>
      </c>
      <c r="I87" s="9">
        <f t="shared" si="26"/>
        <v>6549579.239735153</v>
      </c>
      <c r="J87" s="55">
        <f t="shared" si="24"/>
        <v>-97719.89360414166</v>
      </c>
      <c r="K87" s="98">
        <f t="shared" si="25"/>
        <v>-0.014700691460390429</v>
      </c>
    </row>
    <row r="88" spans="1:11" ht="12.75">
      <c r="A88" s="3">
        <v>39479</v>
      </c>
      <c r="B88" s="107">
        <v>6365802.3154521575</v>
      </c>
      <c r="C88" s="109">
        <v>674.7</v>
      </c>
      <c r="D88" s="109">
        <v>0</v>
      </c>
      <c r="E88" s="9">
        <v>29</v>
      </c>
      <c r="F88" s="50">
        <v>0</v>
      </c>
      <c r="G88" s="138">
        <v>0</v>
      </c>
      <c r="H88" s="104">
        <v>2062.704087984042</v>
      </c>
      <c r="I88" s="9">
        <f t="shared" si="26"/>
        <v>6548899.4563658945</v>
      </c>
      <c r="J88" s="55">
        <f t="shared" si="24"/>
        <v>183097.140913737</v>
      </c>
      <c r="K88" s="98">
        <f t="shared" si="25"/>
        <v>0.028762618102244945</v>
      </c>
    </row>
    <row r="89" spans="1:11" ht="12.75">
      <c r="A89" s="3">
        <v>39508</v>
      </c>
      <c r="B89" s="107">
        <v>6460775.257625012</v>
      </c>
      <c r="C89" s="109">
        <v>610.1999999999999</v>
      </c>
      <c r="D89" s="109">
        <v>0</v>
      </c>
      <c r="E89" s="9">
        <v>31</v>
      </c>
      <c r="F89" s="50">
        <v>1</v>
      </c>
      <c r="G89" s="138">
        <v>0</v>
      </c>
      <c r="H89" s="104">
        <v>2069.87708672819</v>
      </c>
      <c r="I89" s="9">
        <f t="shared" si="26"/>
        <v>6343055.031962962</v>
      </c>
      <c r="J89" s="55">
        <f t="shared" si="24"/>
        <v>-117720.22566204984</v>
      </c>
      <c r="K89" s="98">
        <f t="shared" si="25"/>
        <v>-0.018220758495370405</v>
      </c>
    </row>
    <row r="90" spans="1:11" ht="12.75">
      <c r="A90" s="3">
        <v>39539</v>
      </c>
      <c r="B90" s="107">
        <v>5561688.689635825</v>
      </c>
      <c r="C90" s="109">
        <v>253.90000000000003</v>
      </c>
      <c r="D90" s="109">
        <v>0</v>
      </c>
      <c r="E90" s="9">
        <v>30</v>
      </c>
      <c r="F90" s="50">
        <v>1</v>
      </c>
      <c r="G90" s="138">
        <v>0</v>
      </c>
      <c r="H90" s="104">
        <v>2077.0750293851775</v>
      </c>
      <c r="I90" s="9">
        <f t="shared" si="26"/>
        <v>5546163.685358672</v>
      </c>
      <c r="J90" s="55">
        <f t="shared" si="24"/>
        <v>-15525.00427715294</v>
      </c>
      <c r="K90" s="98">
        <f t="shared" si="25"/>
        <v>-0.0027914191432691473</v>
      </c>
    </row>
    <row r="91" spans="1:11" ht="12.75">
      <c r="A91" s="3">
        <v>39569</v>
      </c>
      <c r="B91" s="107">
        <v>5422340.582519802</v>
      </c>
      <c r="C91" s="109">
        <v>193.5</v>
      </c>
      <c r="D91" s="109">
        <v>2.5</v>
      </c>
      <c r="E91" s="9">
        <v>31</v>
      </c>
      <c r="F91" s="50">
        <v>1</v>
      </c>
      <c r="G91" s="138">
        <v>0</v>
      </c>
      <c r="H91" s="104">
        <v>2084.298002696799</v>
      </c>
      <c r="I91" s="9">
        <f t="shared" si="26"/>
        <v>5522620.158595786</v>
      </c>
      <c r="J91" s="55">
        <f t="shared" si="24"/>
        <v>100279.57607598417</v>
      </c>
      <c r="K91" s="98">
        <f t="shared" si="25"/>
        <v>0.01849378041638681</v>
      </c>
    </row>
    <row r="92" spans="1:11" ht="12.75">
      <c r="A92" s="3">
        <v>39600</v>
      </c>
      <c r="B92" s="107">
        <v>5537560.751321048</v>
      </c>
      <c r="C92" s="109">
        <v>22.7</v>
      </c>
      <c r="D92" s="109">
        <v>71.5</v>
      </c>
      <c r="E92" s="9">
        <v>30</v>
      </c>
      <c r="F92" s="50">
        <v>0</v>
      </c>
      <c r="G92" s="138">
        <v>0</v>
      </c>
      <c r="H92" s="104">
        <v>2091.5460937064922</v>
      </c>
      <c r="I92" s="9">
        <f t="shared" si="26"/>
        <v>5800429.672612079</v>
      </c>
      <c r="J92" s="55">
        <f t="shared" si="24"/>
        <v>262868.9212910319</v>
      </c>
      <c r="K92" s="98">
        <f t="shared" si="25"/>
        <v>0.04747016477034975</v>
      </c>
    </row>
    <row r="93" spans="1:11" ht="12.75">
      <c r="A93" s="3">
        <v>39630</v>
      </c>
      <c r="B93" s="107">
        <v>5950633.482776271</v>
      </c>
      <c r="C93" s="109">
        <v>1</v>
      </c>
      <c r="D93" s="109">
        <v>111.00000000000001</v>
      </c>
      <c r="E93" s="9">
        <v>31</v>
      </c>
      <c r="F93" s="50">
        <v>0</v>
      </c>
      <c r="G93" s="138">
        <v>0</v>
      </c>
      <c r="H93" s="104">
        <v>2098.819389760386</v>
      </c>
      <c r="I93" s="9">
        <f t="shared" si="26"/>
        <v>6105563.064138271</v>
      </c>
      <c r="J93" s="55">
        <f t="shared" si="24"/>
        <v>154929.58136199974</v>
      </c>
      <c r="K93" s="98">
        <f t="shared" si="25"/>
        <v>0.026035813129884997</v>
      </c>
    </row>
    <row r="94" spans="1:11" ht="12.75">
      <c r="A94" s="3">
        <v>39661</v>
      </c>
      <c r="B94" s="107">
        <v>5760191.022717845</v>
      </c>
      <c r="C94" s="109">
        <v>12.700000000000001</v>
      </c>
      <c r="D94" s="109">
        <v>64</v>
      </c>
      <c r="E94" s="9">
        <v>31</v>
      </c>
      <c r="F94" s="50">
        <v>0</v>
      </c>
      <c r="G94" s="138">
        <v>0</v>
      </c>
      <c r="H94" s="104">
        <v>2106.1179785083527</v>
      </c>
      <c r="I94" s="9">
        <f t="shared" si="26"/>
        <v>5839292.910599044</v>
      </c>
      <c r="J94" s="55">
        <f t="shared" si="24"/>
        <v>79101.8878811989</v>
      </c>
      <c r="K94" s="98">
        <f t="shared" si="25"/>
        <v>0.013732511225621831</v>
      </c>
    </row>
    <row r="95" spans="1:11" ht="12.75">
      <c r="A95" s="3">
        <v>39692</v>
      </c>
      <c r="B95" s="107">
        <v>5318216.215370851</v>
      </c>
      <c r="C95" s="110">
        <v>59.000000000000014</v>
      </c>
      <c r="D95" s="110">
        <v>26.7</v>
      </c>
      <c r="E95" s="9">
        <v>30</v>
      </c>
      <c r="F95" s="50">
        <v>1</v>
      </c>
      <c r="G95" s="138">
        <v>0</v>
      </c>
      <c r="H95" s="104">
        <v>2113.441947905065</v>
      </c>
      <c r="I95" s="9">
        <f t="shared" si="26"/>
        <v>5423298.782547061</v>
      </c>
      <c r="J95" s="55">
        <f t="shared" si="24"/>
        <v>105082.5671762107</v>
      </c>
      <c r="K95" s="98">
        <f t="shared" si="25"/>
        <v>0.01975898739740935</v>
      </c>
    </row>
    <row r="96" spans="1:11" ht="12.75">
      <c r="A96" s="3">
        <v>39722</v>
      </c>
      <c r="B96" s="107">
        <v>5490846.976633765</v>
      </c>
      <c r="C96" s="110">
        <v>278.6</v>
      </c>
      <c r="D96" s="110">
        <v>0</v>
      </c>
      <c r="E96" s="9">
        <v>31</v>
      </c>
      <c r="F96" s="50">
        <v>1</v>
      </c>
      <c r="G96" s="138">
        <v>0</v>
      </c>
      <c r="H96" s="104">
        <v>2120.7913862110554</v>
      </c>
      <c r="I96" s="9">
        <f t="shared" si="26"/>
        <v>5797609.070213805</v>
      </c>
      <c r="J96" s="55">
        <f t="shared" si="24"/>
        <v>306762.09358004015</v>
      </c>
      <c r="K96" s="98">
        <f t="shared" si="25"/>
        <v>0.055867900687355275</v>
      </c>
    </row>
    <row r="97" spans="1:11" ht="12.75">
      <c r="A97" s="3">
        <v>39753</v>
      </c>
      <c r="B97" s="107">
        <v>5989830.591582727</v>
      </c>
      <c r="C97" s="110">
        <v>451.60000000000014</v>
      </c>
      <c r="D97" s="110">
        <v>0</v>
      </c>
      <c r="E97" s="9">
        <v>30</v>
      </c>
      <c r="F97" s="50">
        <v>1</v>
      </c>
      <c r="G97" s="138">
        <v>0</v>
      </c>
      <c r="H97" s="104">
        <v>2128.1663819937803</v>
      </c>
      <c r="I97" s="9">
        <f t="shared" si="26"/>
        <v>6120623.36098026</v>
      </c>
      <c r="J97" s="55">
        <f t="shared" si="24"/>
        <v>130792.7693975335</v>
      </c>
      <c r="K97" s="98">
        <f t="shared" si="25"/>
        <v>0.021835804435159055</v>
      </c>
    </row>
    <row r="98" spans="1:11" ht="12.75">
      <c r="A98" s="3">
        <v>39783</v>
      </c>
      <c r="B98" s="107">
        <v>6805207.626099542</v>
      </c>
      <c r="C98" s="110">
        <v>654.6000000000003</v>
      </c>
      <c r="D98" s="110">
        <v>0</v>
      </c>
      <c r="E98" s="9">
        <v>31</v>
      </c>
      <c r="F98" s="50">
        <v>0</v>
      </c>
      <c r="G98" s="138">
        <v>0</v>
      </c>
      <c r="H98" s="104">
        <v>2135.567024128686</v>
      </c>
      <c r="I98" s="9">
        <f t="shared" si="26"/>
        <v>6860221.209173082</v>
      </c>
      <c r="J98" s="55">
        <f t="shared" si="24"/>
        <v>55013.58307354059</v>
      </c>
      <c r="K98" s="98">
        <f t="shared" si="25"/>
        <v>0.008084041824462608</v>
      </c>
    </row>
    <row r="99" spans="1:32" s="13" customFormat="1" ht="12.75">
      <c r="A99" s="3">
        <v>39814</v>
      </c>
      <c r="B99" s="107">
        <v>7079297.771165945</v>
      </c>
      <c r="C99" s="110">
        <v>830.2</v>
      </c>
      <c r="D99" s="110">
        <v>0</v>
      </c>
      <c r="E99" s="9">
        <v>31</v>
      </c>
      <c r="F99" s="50">
        <v>0</v>
      </c>
      <c r="G99" s="138">
        <v>0</v>
      </c>
      <c r="H99" s="104">
        <v>2141.1067161534866</v>
      </c>
      <c r="I99" s="9">
        <f t="shared" si="26"/>
        <v>7248534.2063855715</v>
      </c>
      <c r="J99" s="55">
        <f aca="true" t="shared" si="27" ref="J99:J130">+I99-B99</f>
        <v>169236.43521962687</v>
      </c>
      <c r="K99" s="98">
        <f aca="true" t="shared" si="28" ref="K99:K130">+J99/B99</f>
        <v>0.023905822397940184</v>
      </c>
      <c r="L99"/>
      <c r="M99"/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11" ht="12.75">
      <c r="A100" s="3">
        <v>39845</v>
      </c>
      <c r="B100" s="107">
        <v>6307871.23791636</v>
      </c>
      <c r="C100" s="110">
        <v>606.4</v>
      </c>
      <c r="D100" s="110">
        <v>0</v>
      </c>
      <c r="E100" s="9">
        <v>28</v>
      </c>
      <c r="F100" s="50">
        <v>0</v>
      </c>
      <c r="G100" s="138">
        <v>0</v>
      </c>
      <c r="H100" s="104">
        <v>2146.6607782202395</v>
      </c>
      <c r="I100" s="9">
        <f t="shared" si="26"/>
        <v>6595988.597674693</v>
      </c>
      <c r="J100" s="55">
        <f t="shared" si="27"/>
        <v>288117.3597583333</v>
      </c>
      <c r="K100" s="98">
        <f t="shared" si="28"/>
        <v>0.04567584671457329</v>
      </c>
    </row>
    <row r="101" spans="1:11" ht="12.75">
      <c r="A101" s="3">
        <v>39873</v>
      </c>
      <c r="B101" s="107">
        <v>6443896.696355584</v>
      </c>
      <c r="C101" s="110">
        <v>533.8</v>
      </c>
      <c r="D101" s="110">
        <v>0</v>
      </c>
      <c r="E101" s="9">
        <v>31</v>
      </c>
      <c r="F101" s="50">
        <v>1</v>
      </c>
      <c r="G101" s="138">
        <v>0</v>
      </c>
      <c r="H101" s="104">
        <v>2152.229247605044</v>
      </c>
      <c r="I101" s="9">
        <f t="shared" si="26"/>
        <v>6433520.795707387</v>
      </c>
      <c r="J101" s="55">
        <f t="shared" si="27"/>
        <v>-10375.90064819716</v>
      </c>
      <c r="K101" s="98">
        <f t="shared" si="28"/>
        <v>-0.0016101904076248402</v>
      </c>
    </row>
    <row r="102" spans="1:11" ht="12.75">
      <c r="A102" s="3">
        <v>39904</v>
      </c>
      <c r="B102" s="107">
        <v>5610063.140641673</v>
      </c>
      <c r="C102" s="110">
        <v>305.8</v>
      </c>
      <c r="D102" s="110">
        <v>1.2</v>
      </c>
      <c r="E102" s="9">
        <v>30</v>
      </c>
      <c r="F102" s="50">
        <v>1</v>
      </c>
      <c r="G102" s="138">
        <v>0</v>
      </c>
      <c r="H102" s="104">
        <v>2157.8121616806925</v>
      </c>
      <c r="I102" s="9">
        <f t="shared" si="26"/>
        <v>5911016.007642459</v>
      </c>
      <c r="J102" s="55">
        <f t="shared" si="27"/>
        <v>300952.8670007866</v>
      </c>
      <c r="K102" s="98">
        <f t="shared" si="28"/>
        <v>0.053645183566751076</v>
      </c>
    </row>
    <row r="103" spans="1:11" ht="12.75">
      <c r="A103" s="3">
        <v>39934</v>
      </c>
      <c r="B103" s="107">
        <v>5596845.263654121</v>
      </c>
      <c r="C103" s="110">
        <v>158.79999999999998</v>
      </c>
      <c r="D103" s="110">
        <v>6.9</v>
      </c>
      <c r="E103" s="9">
        <v>31</v>
      </c>
      <c r="F103" s="50">
        <v>1</v>
      </c>
      <c r="G103" s="138">
        <v>0</v>
      </c>
      <c r="H103" s="104">
        <v>2163.4095579169248</v>
      </c>
      <c r="I103" s="9">
        <f t="shared" si="26"/>
        <v>5720690.244257933</v>
      </c>
      <c r="J103" s="55">
        <f t="shared" si="27"/>
        <v>123844.98060381226</v>
      </c>
      <c r="K103" s="98">
        <f t="shared" si="28"/>
        <v>0.022127640620701237</v>
      </c>
    </row>
    <row r="104" spans="1:11" ht="12.75">
      <c r="A104" s="3">
        <v>39965</v>
      </c>
      <c r="B104" s="107">
        <v>5647173.821469112</v>
      </c>
      <c r="C104" s="110">
        <v>49.30000000000001</v>
      </c>
      <c r="D104" s="110">
        <v>34.2</v>
      </c>
      <c r="E104" s="9">
        <v>30</v>
      </c>
      <c r="F104" s="50">
        <v>0</v>
      </c>
      <c r="G104" s="138">
        <v>0</v>
      </c>
      <c r="H104" s="104">
        <v>2169.0214738806762</v>
      </c>
      <c r="I104" s="9">
        <f t="shared" si="26"/>
        <v>5845114.363338278</v>
      </c>
      <c r="J104" s="55">
        <f t="shared" si="27"/>
        <v>197940.54186916538</v>
      </c>
      <c r="K104" s="98">
        <f t="shared" si="28"/>
        <v>0.035051257164538836</v>
      </c>
    </row>
    <row r="105" spans="1:11" ht="12.75">
      <c r="A105" s="3">
        <v>39995</v>
      </c>
      <c r="B105" s="107">
        <v>5997707.715107825</v>
      </c>
      <c r="C105" s="110">
        <v>6.200000000000001</v>
      </c>
      <c r="D105" s="110">
        <v>43.699999999999996</v>
      </c>
      <c r="E105" s="9">
        <v>31</v>
      </c>
      <c r="F105" s="50">
        <v>0</v>
      </c>
      <c r="G105" s="138">
        <v>0</v>
      </c>
      <c r="H105" s="104">
        <v>2174.647947236332</v>
      </c>
      <c r="I105" s="9">
        <f t="shared" si="26"/>
        <v>5899940.052231582</v>
      </c>
      <c r="J105" s="55">
        <f t="shared" si="27"/>
        <v>-97767.66287624277</v>
      </c>
      <c r="K105" s="98">
        <f t="shared" si="28"/>
        <v>-0.01630083817355297</v>
      </c>
    </row>
    <row r="106" spans="1:11" ht="12.75">
      <c r="A106" s="3">
        <v>40026</v>
      </c>
      <c r="B106" s="107">
        <v>6177211.309765772</v>
      </c>
      <c r="C106" s="110">
        <v>9.8</v>
      </c>
      <c r="D106" s="110">
        <v>91.00000000000001</v>
      </c>
      <c r="E106" s="9">
        <v>31</v>
      </c>
      <c r="F106" s="50">
        <v>0</v>
      </c>
      <c r="G106" s="138">
        <v>0</v>
      </c>
      <c r="H106" s="104">
        <v>2180.289015745979</v>
      </c>
      <c r="I106" s="9">
        <f t="shared" si="26"/>
        <v>6240168.220681796</v>
      </c>
      <c r="J106" s="55">
        <f t="shared" si="27"/>
        <v>62956.91091602389</v>
      </c>
      <c r="K106" s="98">
        <f t="shared" si="28"/>
        <v>0.01019180140664657</v>
      </c>
    </row>
    <row r="107" spans="1:11" ht="12.75">
      <c r="A107" s="3">
        <v>40057</v>
      </c>
      <c r="B107" s="107">
        <v>5634245.127807793</v>
      </c>
      <c r="C107" s="110">
        <v>55.19999999999999</v>
      </c>
      <c r="D107" s="110">
        <v>20.9</v>
      </c>
      <c r="E107" s="9">
        <v>30</v>
      </c>
      <c r="F107" s="50">
        <v>1</v>
      </c>
      <c r="G107" s="138">
        <v>0</v>
      </c>
      <c r="H107" s="104">
        <v>2185.94471726966</v>
      </c>
      <c r="I107" s="9">
        <f t="shared" si="26"/>
        <v>5598486.476646826</v>
      </c>
      <c r="J107" s="55">
        <f t="shared" si="27"/>
        <v>-35758.651160967536</v>
      </c>
      <c r="K107" s="98">
        <f t="shared" si="28"/>
        <v>-0.0063466623034345564</v>
      </c>
    </row>
    <row r="108" spans="1:11" ht="12.75">
      <c r="A108" s="3">
        <v>40087</v>
      </c>
      <c r="B108" s="107">
        <v>5829665.4044996835</v>
      </c>
      <c r="C108" s="110">
        <v>287.8</v>
      </c>
      <c r="D108" s="110">
        <v>0</v>
      </c>
      <c r="E108" s="9">
        <v>31</v>
      </c>
      <c r="F108" s="50">
        <v>1</v>
      </c>
      <c r="G108" s="138">
        <v>0</v>
      </c>
      <c r="H108" s="104">
        <v>2191.6150897656266</v>
      </c>
      <c r="I108" s="9">
        <f t="shared" si="26"/>
        <v>6033819.211512491</v>
      </c>
      <c r="J108" s="55">
        <f t="shared" si="27"/>
        <v>204153.80701280758</v>
      </c>
      <c r="K108" s="98">
        <f t="shared" si="28"/>
        <v>0.03501981552066942</v>
      </c>
    </row>
    <row r="109" spans="1:11" ht="12.75">
      <c r="A109" s="3">
        <v>40118</v>
      </c>
      <c r="B109" s="107">
        <v>6096451.23389619</v>
      </c>
      <c r="C109" s="110">
        <v>361.2</v>
      </c>
      <c r="D109" s="110">
        <v>0</v>
      </c>
      <c r="E109" s="9">
        <v>30</v>
      </c>
      <c r="F109" s="50">
        <v>1</v>
      </c>
      <c r="G109" s="138">
        <v>0</v>
      </c>
      <c r="H109" s="104">
        <v>2197.3001712905952</v>
      </c>
      <c r="I109" s="9">
        <f t="shared" si="26"/>
        <v>6141027.46190953</v>
      </c>
      <c r="J109" s="55">
        <f t="shared" si="27"/>
        <v>44576.22801333945</v>
      </c>
      <c r="K109" s="98">
        <f t="shared" si="28"/>
        <v>0.00731183213038697</v>
      </c>
    </row>
    <row r="110" spans="1:32" s="28" customFormat="1" ht="12.75">
      <c r="A110" s="3">
        <v>40148</v>
      </c>
      <c r="B110" s="107">
        <v>7197794.202334984</v>
      </c>
      <c r="C110" s="110">
        <v>631.3</v>
      </c>
      <c r="D110" s="110">
        <v>0</v>
      </c>
      <c r="E110" s="9">
        <v>31</v>
      </c>
      <c r="F110" s="50">
        <v>0</v>
      </c>
      <c r="G110" s="138">
        <v>0</v>
      </c>
      <c r="H110" s="104">
        <v>2203</v>
      </c>
      <c r="I110" s="9">
        <f t="shared" si="26"/>
        <v>7017323.114451209</v>
      </c>
      <c r="J110" s="55">
        <f t="shared" si="27"/>
        <v>-180471.08788377512</v>
      </c>
      <c r="K110" s="98">
        <f t="shared" si="28"/>
        <v>-0.025073110290542874</v>
      </c>
      <c r="L110"/>
      <c r="M110"/>
      <c r="N110"/>
      <c r="O110"/>
      <c r="P110"/>
      <c r="Q110"/>
      <c r="R110"/>
      <c r="S110"/>
      <c r="T110"/>
      <c r="U110"/>
      <c r="V110"/>
      <c r="W110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1:26" ht="12.75">
      <c r="A111" s="3">
        <v>40179</v>
      </c>
      <c r="B111" s="54">
        <v>5751618.210000005</v>
      </c>
      <c r="C111" s="111">
        <v>719.9999999999999</v>
      </c>
      <c r="D111" s="110">
        <v>0</v>
      </c>
      <c r="E111" s="9">
        <v>31</v>
      </c>
      <c r="F111" s="50">
        <v>0</v>
      </c>
      <c r="G111" s="138">
        <v>0</v>
      </c>
      <c r="H111" s="51">
        <v>2214</v>
      </c>
      <c r="I111" s="9">
        <f t="shared" si="26"/>
        <v>7238571.091131828</v>
      </c>
      <c r="J111" s="55">
        <f t="shared" si="27"/>
        <v>1486952.8811318232</v>
      </c>
      <c r="K111" s="98">
        <f t="shared" si="28"/>
        <v>0.2585277441653802</v>
      </c>
      <c r="X111" s="10"/>
      <c r="Y111" s="10"/>
      <c r="Z111" s="10"/>
    </row>
    <row r="112" spans="1:11" ht="12.75">
      <c r="A112" s="3">
        <v>40210</v>
      </c>
      <c r="B112" s="54">
        <v>7544417.74</v>
      </c>
      <c r="C112" s="110">
        <v>598.3</v>
      </c>
      <c r="D112" s="110">
        <v>0</v>
      </c>
      <c r="E112" s="9">
        <v>28</v>
      </c>
      <c r="F112" s="50">
        <v>0</v>
      </c>
      <c r="G112" s="138">
        <v>0</v>
      </c>
      <c r="H112" s="51">
        <v>2217</v>
      </c>
      <c r="I112" s="9">
        <f t="shared" si="26"/>
        <v>6794129.951660334</v>
      </c>
      <c r="J112" s="55">
        <f t="shared" si="27"/>
        <v>-750287.7883396661</v>
      </c>
      <c r="K112" s="98">
        <f t="shared" si="28"/>
        <v>-0.0994493961226047</v>
      </c>
    </row>
    <row r="113" spans="1:11" ht="12.75">
      <c r="A113" s="3">
        <v>40238</v>
      </c>
      <c r="B113" s="54">
        <v>6514802.369999998</v>
      </c>
      <c r="C113" s="110">
        <v>422.8</v>
      </c>
      <c r="D113" s="110">
        <v>0</v>
      </c>
      <c r="E113" s="9">
        <v>31</v>
      </c>
      <c r="F113" s="50">
        <v>1</v>
      </c>
      <c r="G113" s="138">
        <v>0</v>
      </c>
      <c r="H113" s="51">
        <v>2218</v>
      </c>
      <c r="I113" s="9">
        <f t="shared" si="26"/>
        <v>6400067.530433573</v>
      </c>
      <c r="J113" s="55">
        <f t="shared" si="27"/>
        <v>-114734.83956642542</v>
      </c>
      <c r="K113" s="98">
        <f t="shared" si="28"/>
        <v>-0.01761140753781998</v>
      </c>
    </row>
    <row r="114" spans="1:11" ht="12.75">
      <c r="A114" s="3">
        <v>40269</v>
      </c>
      <c r="B114" s="54">
        <v>6159265.509999999</v>
      </c>
      <c r="C114" s="110">
        <v>225.1</v>
      </c>
      <c r="D114" s="110">
        <v>0</v>
      </c>
      <c r="E114" s="9">
        <v>30</v>
      </c>
      <c r="F114" s="50">
        <v>1</v>
      </c>
      <c r="G114" s="138">
        <v>0</v>
      </c>
      <c r="H114" s="51">
        <v>2211</v>
      </c>
      <c r="I114" s="9">
        <f t="shared" si="26"/>
        <v>5895131.09370214</v>
      </c>
      <c r="J114" s="55">
        <f t="shared" si="27"/>
        <v>-264134.4162978586</v>
      </c>
      <c r="K114" s="98">
        <f t="shared" si="28"/>
        <v>-0.04288407698434462</v>
      </c>
    </row>
    <row r="115" spans="1:11" ht="12.75">
      <c r="A115" s="3">
        <v>40299</v>
      </c>
      <c r="B115" s="54">
        <v>6148607.880000004</v>
      </c>
      <c r="C115" s="110">
        <v>107.9</v>
      </c>
      <c r="D115" s="110">
        <v>45.7</v>
      </c>
      <c r="E115" s="9">
        <v>31</v>
      </c>
      <c r="F115" s="50">
        <v>1</v>
      </c>
      <c r="G115" s="138">
        <v>0</v>
      </c>
      <c r="H115" s="51">
        <v>2217</v>
      </c>
      <c r="I115" s="9">
        <f t="shared" si="26"/>
        <v>6035739.764906273</v>
      </c>
      <c r="J115" s="55">
        <f t="shared" si="27"/>
        <v>-112868.11509373039</v>
      </c>
      <c r="K115" s="98">
        <f t="shared" si="28"/>
        <v>-0.01835669427885688</v>
      </c>
    </row>
    <row r="116" spans="1:11" ht="12.75">
      <c r="A116" s="3">
        <v>40330</v>
      </c>
      <c r="B116" s="54">
        <v>6428748.269999999</v>
      </c>
      <c r="C116" s="112">
        <v>21.7</v>
      </c>
      <c r="D116" s="112">
        <v>58.7</v>
      </c>
      <c r="E116" s="9">
        <v>30</v>
      </c>
      <c r="F116" s="50">
        <v>0</v>
      </c>
      <c r="G116" s="138">
        <v>0</v>
      </c>
      <c r="H116" s="51">
        <v>2245</v>
      </c>
      <c r="I116" s="9">
        <f t="shared" si="26"/>
        <v>6182618.300007099</v>
      </c>
      <c r="J116" s="55">
        <f t="shared" si="27"/>
        <v>-246129.96999289934</v>
      </c>
      <c r="K116" s="98">
        <f t="shared" si="28"/>
        <v>-0.03828583102895385</v>
      </c>
    </row>
    <row r="117" spans="1:11" ht="12.75">
      <c r="A117" s="3">
        <v>40360</v>
      </c>
      <c r="B117" s="54">
        <v>7529705.419999996</v>
      </c>
      <c r="C117" s="112">
        <v>1.8</v>
      </c>
      <c r="D117" s="112">
        <v>164.9</v>
      </c>
      <c r="E117" s="9">
        <v>31</v>
      </c>
      <c r="F117" s="50">
        <v>0</v>
      </c>
      <c r="G117" s="138">
        <v>0</v>
      </c>
      <c r="H117" s="51">
        <v>2252</v>
      </c>
      <c r="I117" s="9">
        <f t="shared" si="26"/>
        <v>6935412.86727914</v>
      </c>
      <c r="J117" s="55">
        <f t="shared" si="27"/>
        <v>-594292.5527208559</v>
      </c>
      <c r="K117" s="98">
        <f t="shared" si="28"/>
        <v>-0.07892640144225671</v>
      </c>
    </row>
    <row r="118" spans="1:11" ht="12.75">
      <c r="A118" s="3">
        <v>40391</v>
      </c>
      <c r="B118" s="54">
        <v>7006818.809999997</v>
      </c>
      <c r="C118" s="112">
        <v>2.1</v>
      </c>
      <c r="D118" s="112">
        <v>138.8</v>
      </c>
      <c r="E118" s="9">
        <v>31</v>
      </c>
      <c r="F118" s="50">
        <v>0</v>
      </c>
      <c r="G118" s="138">
        <v>0</v>
      </c>
      <c r="H118" s="51">
        <v>2253</v>
      </c>
      <c r="I118" s="9">
        <f t="shared" si="26"/>
        <v>6765098.27731218</v>
      </c>
      <c r="J118" s="55">
        <f t="shared" si="27"/>
        <v>-241720.53268781677</v>
      </c>
      <c r="K118" s="98">
        <f t="shared" si="28"/>
        <v>-0.03449789972345765</v>
      </c>
    </row>
    <row r="119" spans="1:11" ht="12.75">
      <c r="A119" s="3">
        <v>40422</v>
      </c>
      <c r="B119" s="54">
        <v>6277436.970000002</v>
      </c>
      <c r="C119" s="112">
        <v>78.2</v>
      </c>
      <c r="D119" s="112">
        <v>31.5</v>
      </c>
      <c r="E119" s="9">
        <v>30</v>
      </c>
      <c r="F119" s="50">
        <v>1</v>
      </c>
      <c r="G119" s="138">
        <v>0</v>
      </c>
      <c r="H119" s="51">
        <v>2254</v>
      </c>
      <c r="I119" s="9">
        <f t="shared" si="26"/>
        <v>5926078.712103681</v>
      </c>
      <c r="J119" s="55">
        <f t="shared" si="27"/>
        <v>-351358.2578963209</v>
      </c>
      <c r="K119" s="98">
        <f t="shared" si="28"/>
        <v>-0.05597161063909827</v>
      </c>
    </row>
    <row r="120" spans="1:11" ht="12.75">
      <c r="A120" s="3">
        <v>40452</v>
      </c>
      <c r="B120" s="54">
        <v>5785213.060000004</v>
      </c>
      <c r="C120" s="115">
        <v>241.6</v>
      </c>
      <c r="D120" s="115">
        <v>0</v>
      </c>
      <c r="E120" s="9">
        <v>31</v>
      </c>
      <c r="F120" s="50">
        <v>1</v>
      </c>
      <c r="G120" s="138">
        <v>0</v>
      </c>
      <c r="H120" s="51">
        <v>2264</v>
      </c>
      <c r="I120" s="9">
        <f t="shared" si="26"/>
        <v>6157647.44879188</v>
      </c>
      <c r="J120" s="55">
        <f t="shared" si="27"/>
        <v>372434.3887918759</v>
      </c>
      <c r="K120" s="98">
        <f t="shared" si="28"/>
        <v>0.06437695291932354</v>
      </c>
    </row>
    <row r="121" spans="1:11" ht="12.75">
      <c r="A121" s="3">
        <v>40483</v>
      </c>
      <c r="B121" s="54">
        <v>6255320.910000002</v>
      </c>
      <c r="C121" s="113">
        <v>405.3</v>
      </c>
      <c r="D121" s="113">
        <v>0</v>
      </c>
      <c r="E121" s="9">
        <v>30</v>
      </c>
      <c r="F121" s="50">
        <v>1</v>
      </c>
      <c r="G121" s="138">
        <v>0</v>
      </c>
      <c r="H121" s="51">
        <v>2276</v>
      </c>
      <c r="I121" s="9">
        <f t="shared" si="26"/>
        <v>6475148.79429329</v>
      </c>
      <c r="J121" s="55">
        <f t="shared" si="27"/>
        <v>219827.884293288</v>
      </c>
      <c r="K121" s="98">
        <f t="shared" si="28"/>
        <v>0.03514254303753825</v>
      </c>
    </row>
    <row r="122" spans="1:11" ht="12.75">
      <c r="A122" s="3">
        <v>40513</v>
      </c>
      <c r="B122" s="54">
        <v>8465226.299999997</v>
      </c>
      <c r="C122" s="113">
        <v>676.2</v>
      </c>
      <c r="D122" s="113">
        <v>0</v>
      </c>
      <c r="E122" s="9">
        <v>31</v>
      </c>
      <c r="F122" s="50">
        <v>0</v>
      </c>
      <c r="G122" s="138">
        <v>0</v>
      </c>
      <c r="H122" s="51">
        <v>2283</v>
      </c>
      <c r="I122" s="9">
        <f t="shared" si="26"/>
        <v>7357115.425181899</v>
      </c>
      <c r="J122" s="55">
        <f t="shared" si="27"/>
        <v>-1108110.8748180978</v>
      </c>
      <c r="K122" s="98">
        <f t="shared" si="28"/>
        <v>-0.1309015064154987</v>
      </c>
    </row>
    <row r="123" spans="1:11" ht="12.75">
      <c r="A123" s="3">
        <v>40544</v>
      </c>
      <c r="B123" s="24">
        <v>6855369.940000002</v>
      </c>
      <c r="C123" s="113">
        <v>775.3</v>
      </c>
      <c r="D123" s="113">
        <v>0</v>
      </c>
      <c r="E123" s="9">
        <v>31</v>
      </c>
      <c r="F123" s="50">
        <v>0</v>
      </c>
      <c r="G123" s="138">
        <v>0</v>
      </c>
      <c r="H123" s="51">
        <v>2283</v>
      </c>
      <c r="I123" s="9">
        <f t="shared" si="26"/>
        <v>7566692.129745056</v>
      </c>
      <c r="J123" s="55">
        <f t="shared" si="27"/>
        <v>711322.1897450536</v>
      </c>
      <c r="K123" s="98">
        <f t="shared" si="28"/>
        <v>0.1037613135353354</v>
      </c>
    </row>
    <row r="124" spans="1:11" ht="12.75">
      <c r="A124" s="3">
        <v>40575</v>
      </c>
      <c r="B124" s="24">
        <v>7477521.380000003</v>
      </c>
      <c r="C124" s="113">
        <v>654.2</v>
      </c>
      <c r="D124" s="113">
        <v>0</v>
      </c>
      <c r="E124" s="9">
        <v>28</v>
      </c>
      <c r="F124" s="50">
        <v>0</v>
      </c>
      <c r="G124" s="138">
        <v>0</v>
      </c>
      <c r="H124" s="51">
        <v>2302</v>
      </c>
      <c r="I124" s="9">
        <f t="shared" si="26"/>
        <v>7172487.426342614</v>
      </c>
      <c r="J124" s="55">
        <f t="shared" si="27"/>
        <v>-305033.9536573887</v>
      </c>
      <c r="K124" s="98">
        <f t="shared" si="28"/>
        <v>-0.04079345790615293</v>
      </c>
    </row>
    <row r="125" spans="1:11" ht="12.75">
      <c r="A125" s="3">
        <v>40603</v>
      </c>
      <c r="B125" s="24">
        <v>7152568.590000003</v>
      </c>
      <c r="C125" s="113">
        <v>572.8</v>
      </c>
      <c r="D125" s="113">
        <v>0</v>
      </c>
      <c r="E125" s="9">
        <v>31</v>
      </c>
      <c r="F125" s="50">
        <v>1</v>
      </c>
      <c r="G125" s="138">
        <v>0</v>
      </c>
      <c r="H125" s="51">
        <v>2305</v>
      </c>
      <c r="I125" s="9">
        <f t="shared" si="26"/>
        <v>6983548.652929739</v>
      </c>
      <c r="J125" s="55">
        <f t="shared" si="27"/>
        <v>-169019.93707026355</v>
      </c>
      <c r="K125" s="98">
        <f t="shared" si="28"/>
        <v>-0.023630662879146676</v>
      </c>
    </row>
    <row r="126" spans="1:11" ht="12.75">
      <c r="A126" s="3">
        <v>40634</v>
      </c>
      <c r="B126" s="24">
        <v>6467080.240000006</v>
      </c>
      <c r="C126" s="113">
        <v>332.3</v>
      </c>
      <c r="D126" s="113">
        <v>0</v>
      </c>
      <c r="E126" s="9">
        <v>30</v>
      </c>
      <c r="F126" s="50">
        <v>1</v>
      </c>
      <c r="G126" s="138">
        <v>0</v>
      </c>
      <c r="H126" s="51">
        <v>2308</v>
      </c>
      <c r="I126" s="9">
        <f t="shared" si="26"/>
        <v>6418703.4880400095</v>
      </c>
      <c r="J126" s="55">
        <f t="shared" si="27"/>
        <v>-48376.7519599963</v>
      </c>
      <c r="K126" s="98">
        <f t="shared" si="28"/>
        <v>-0.0074804626144543175</v>
      </c>
    </row>
    <row r="127" spans="1:11" ht="12.75">
      <c r="A127" s="3">
        <v>40664</v>
      </c>
      <c r="B127" s="24">
        <v>6394046.870000005</v>
      </c>
      <c r="C127" s="113">
        <v>134.1</v>
      </c>
      <c r="D127" s="113">
        <v>13</v>
      </c>
      <c r="E127" s="9">
        <v>31</v>
      </c>
      <c r="F127" s="50">
        <v>1</v>
      </c>
      <c r="G127" s="138">
        <v>0</v>
      </c>
      <c r="H127" s="51">
        <v>2306</v>
      </c>
      <c r="I127" s="9">
        <f t="shared" si="26"/>
        <v>6145517.656043781</v>
      </c>
      <c r="J127" s="55">
        <f t="shared" si="27"/>
        <v>-248529.2139562238</v>
      </c>
      <c r="K127" s="98">
        <f t="shared" si="28"/>
        <v>-0.03886884456888938</v>
      </c>
    </row>
    <row r="128" spans="1:11" ht="12.75">
      <c r="A128" s="3">
        <v>40695</v>
      </c>
      <c r="B128" s="24">
        <v>6868428.520000001</v>
      </c>
      <c r="C128" s="113">
        <v>19</v>
      </c>
      <c r="D128" s="113">
        <v>52.2</v>
      </c>
      <c r="E128" s="9">
        <v>30</v>
      </c>
      <c r="F128" s="50">
        <v>0</v>
      </c>
      <c r="G128" s="138">
        <v>0</v>
      </c>
      <c r="H128" s="51">
        <v>2316</v>
      </c>
      <c r="I128" s="9">
        <f t="shared" si="26"/>
        <v>6350866.168931242</v>
      </c>
      <c r="J128" s="55">
        <f t="shared" si="27"/>
        <v>-517562.35106875934</v>
      </c>
      <c r="K128" s="98">
        <f t="shared" si="28"/>
        <v>-0.07535382359468148</v>
      </c>
    </row>
    <row r="129" spans="1:11" ht="12.75">
      <c r="A129" s="3">
        <v>40725</v>
      </c>
      <c r="B129" s="24">
        <v>7225446.560000002</v>
      </c>
      <c r="C129" s="113">
        <v>0</v>
      </c>
      <c r="D129" s="113">
        <v>198.5</v>
      </c>
      <c r="E129" s="9">
        <v>31</v>
      </c>
      <c r="F129" s="50">
        <v>0</v>
      </c>
      <c r="G129" s="138">
        <v>0</v>
      </c>
      <c r="H129" s="51">
        <v>2335</v>
      </c>
      <c r="I129" s="9">
        <f t="shared" si="26"/>
        <v>7409637.6559981145</v>
      </c>
      <c r="J129" s="55">
        <f t="shared" si="27"/>
        <v>184191.0959981121</v>
      </c>
      <c r="K129" s="98">
        <f t="shared" si="28"/>
        <v>0.02549200170101487</v>
      </c>
    </row>
    <row r="130" spans="1:11" ht="12.75">
      <c r="A130" s="3">
        <v>40756</v>
      </c>
      <c r="B130" s="24">
        <v>7335384.910000005</v>
      </c>
      <c r="C130" s="113">
        <v>0</v>
      </c>
      <c r="D130" s="113">
        <v>122.2</v>
      </c>
      <c r="E130" s="9">
        <v>31</v>
      </c>
      <c r="F130" s="50">
        <v>0</v>
      </c>
      <c r="G130" s="138">
        <v>0</v>
      </c>
      <c r="H130" s="51">
        <v>2354</v>
      </c>
      <c r="I130" s="9">
        <f t="shared" si="26"/>
        <v>6959092.183272372</v>
      </c>
      <c r="J130" s="55">
        <f t="shared" si="27"/>
        <v>-376292.7267276328</v>
      </c>
      <c r="K130" s="98">
        <f t="shared" si="28"/>
        <v>-0.051298293319911495</v>
      </c>
    </row>
    <row r="131" spans="1:11" ht="12.75">
      <c r="A131" s="3">
        <v>40787</v>
      </c>
      <c r="B131" s="24">
        <v>6365381.409999999</v>
      </c>
      <c r="C131" s="113">
        <v>48.2</v>
      </c>
      <c r="D131" s="113">
        <v>39.7</v>
      </c>
      <c r="E131" s="9">
        <v>30</v>
      </c>
      <c r="F131" s="50">
        <v>1</v>
      </c>
      <c r="G131" s="138">
        <v>0</v>
      </c>
      <c r="H131" s="51">
        <v>2360</v>
      </c>
      <c r="I131" s="9">
        <f t="shared" si="26"/>
        <v>6241714.414699335</v>
      </c>
      <c r="J131" s="55">
        <f aca="true" t="shared" si="29" ref="J131:J162">+I131-B131</f>
        <v>-123666.99530066457</v>
      </c>
      <c r="K131" s="98">
        <f aca="true" t="shared" si="30" ref="K131:K162">+J131/B131</f>
        <v>-0.019428057383393243</v>
      </c>
    </row>
    <row r="132" spans="1:11" ht="12.75">
      <c r="A132" s="3">
        <v>40817</v>
      </c>
      <c r="B132" s="24">
        <v>6187538.609999995</v>
      </c>
      <c r="C132" s="113">
        <v>235.5</v>
      </c>
      <c r="D132" s="113">
        <v>2.4</v>
      </c>
      <c r="E132" s="9">
        <v>31</v>
      </c>
      <c r="F132" s="50">
        <v>1</v>
      </c>
      <c r="G132" s="138">
        <v>0</v>
      </c>
      <c r="H132" s="51">
        <v>2364</v>
      </c>
      <c r="I132" s="9">
        <f aca="true" t="shared" si="31" ref="I132:I194">$M$19+C132*$M$20+D132*$M$21+E132*$M$22+F132*$M$23+G132*$M$24+H132*$M$25</f>
        <v>6466795.265555466</v>
      </c>
      <c r="J132" s="55">
        <f t="shared" si="29"/>
        <v>279256.65555547085</v>
      </c>
      <c r="K132" s="98">
        <f t="shared" si="30"/>
        <v>0.04513210715229316</v>
      </c>
    </row>
    <row r="133" spans="1:11" ht="12.75">
      <c r="A133" s="3">
        <v>40848</v>
      </c>
      <c r="B133" s="24">
        <v>6503187.439999999</v>
      </c>
      <c r="C133" s="113">
        <v>341.9</v>
      </c>
      <c r="D133" s="113">
        <v>0</v>
      </c>
      <c r="E133" s="9">
        <v>30</v>
      </c>
      <c r="F133" s="50">
        <v>1</v>
      </c>
      <c r="G133" s="138">
        <v>0</v>
      </c>
      <c r="H133" s="51">
        <v>2368</v>
      </c>
      <c r="I133" s="9">
        <f t="shared" si="31"/>
        <v>6622633.905120741</v>
      </c>
      <c r="J133" s="55">
        <f t="shared" si="29"/>
        <v>119446.4651207421</v>
      </c>
      <c r="K133" s="98">
        <f t="shared" si="30"/>
        <v>0.018367372342068325</v>
      </c>
    </row>
    <row r="134" spans="1:11" ht="12.75">
      <c r="A134" s="3">
        <v>40878</v>
      </c>
      <c r="B134" s="24">
        <v>8506879.07</v>
      </c>
      <c r="C134" s="113">
        <v>534</v>
      </c>
      <c r="D134" s="113">
        <v>0</v>
      </c>
      <c r="E134" s="9">
        <v>31</v>
      </c>
      <c r="F134" s="50">
        <v>0</v>
      </c>
      <c r="G134" s="138">
        <v>0</v>
      </c>
      <c r="H134" s="51">
        <v>2374</v>
      </c>
      <c r="I134" s="9">
        <f t="shared" si="31"/>
        <v>7334893.804232777</v>
      </c>
      <c r="J134" s="55">
        <f t="shared" si="29"/>
        <v>-1171985.2657672232</v>
      </c>
      <c r="K134" s="98">
        <f t="shared" si="30"/>
        <v>-0.13776912262692165</v>
      </c>
    </row>
    <row r="135" spans="1:11" ht="12.75">
      <c r="A135" s="3">
        <v>40909</v>
      </c>
      <c r="B135" s="24">
        <v>6542070.0699999975</v>
      </c>
      <c r="C135" s="113">
        <v>611.1</v>
      </c>
      <c r="D135" s="113">
        <v>0</v>
      </c>
      <c r="E135" s="103">
        <f>+Residential!E135</f>
        <v>31</v>
      </c>
      <c r="F135" s="103">
        <f>+Residential!F135</f>
        <v>0</v>
      </c>
      <c r="G135" s="138">
        <v>0</v>
      </c>
      <c r="H135" s="51">
        <v>2381</v>
      </c>
      <c r="I135" s="9">
        <f t="shared" si="31"/>
        <v>7519368.20905811</v>
      </c>
      <c r="J135" s="55">
        <f t="shared" si="29"/>
        <v>977298.1390581122</v>
      </c>
      <c r="K135" s="98">
        <f t="shared" si="30"/>
        <v>0.14938668167736585</v>
      </c>
    </row>
    <row r="136" spans="1:11" ht="12.75">
      <c r="A136" s="3">
        <v>40940</v>
      </c>
      <c r="B136" s="24">
        <v>7307980.38</v>
      </c>
      <c r="C136" s="113">
        <v>531.7</v>
      </c>
      <c r="D136" s="113">
        <v>0</v>
      </c>
      <c r="E136" s="103">
        <f>+Residential!E136</f>
        <v>29</v>
      </c>
      <c r="F136" s="103">
        <f>+Residential!F136</f>
        <v>0</v>
      </c>
      <c r="G136" s="138">
        <v>0</v>
      </c>
      <c r="H136" s="51">
        <v>2385</v>
      </c>
      <c r="I136" s="9">
        <f t="shared" si="31"/>
        <v>7232860.714330116</v>
      </c>
      <c r="J136" s="55">
        <f t="shared" si="29"/>
        <v>-75119.6656698836</v>
      </c>
      <c r="K136" s="98">
        <f t="shared" si="30"/>
        <v>-0.010279127989378046</v>
      </c>
    </row>
    <row r="137" spans="1:11" ht="12.75">
      <c r="A137" s="3">
        <v>40969</v>
      </c>
      <c r="B137" s="24">
        <v>6926363.819999995</v>
      </c>
      <c r="C137" s="113">
        <v>349.4</v>
      </c>
      <c r="D137" s="113">
        <v>0.2</v>
      </c>
      <c r="E137" s="103">
        <f>+Residential!E137</f>
        <v>31</v>
      </c>
      <c r="F137" s="103">
        <f>+Residential!F137</f>
        <v>1</v>
      </c>
      <c r="G137" s="138">
        <v>0</v>
      </c>
      <c r="H137" s="51">
        <v>2391</v>
      </c>
      <c r="I137" s="9">
        <f t="shared" si="31"/>
        <v>6775636.2967768805</v>
      </c>
      <c r="J137" s="55">
        <f t="shared" si="29"/>
        <v>-150727.5232231142</v>
      </c>
      <c r="K137" s="98">
        <f t="shared" si="30"/>
        <v>-0.021761421597272422</v>
      </c>
    </row>
    <row r="138" spans="1:11" ht="12.75">
      <c r="A138" s="3">
        <v>41000</v>
      </c>
      <c r="B138" s="24">
        <v>6496796.900000008</v>
      </c>
      <c r="C138" s="114">
        <v>321.7</v>
      </c>
      <c r="D138" s="114">
        <v>0</v>
      </c>
      <c r="E138" s="103">
        <f>+Residential!E138</f>
        <v>30</v>
      </c>
      <c r="F138" s="103">
        <f>+Residential!F138</f>
        <v>1</v>
      </c>
      <c r="G138" s="138">
        <v>0</v>
      </c>
      <c r="H138" s="51">
        <v>2398</v>
      </c>
      <c r="I138" s="9">
        <f t="shared" si="31"/>
        <v>6671729.107464548</v>
      </c>
      <c r="J138" s="55">
        <f t="shared" si="29"/>
        <v>174932.20746454038</v>
      </c>
      <c r="K138" s="98">
        <f t="shared" si="30"/>
        <v>0.02692591597938673</v>
      </c>
    </row>
    <row r="139" spans="1:11" ht="12.75">
      <c r="A139" s="3">
        <v>41030</v>
      </c>
      <c r="B139" s="24">
        <v>6393894.229999997</v>
      </c>
      <c r="C139" s="114">
        <v>80.7</v>
      </c>
      <c r="D139" s="114">
        <v>36.7</v>
      </c>
      <c r="E139" s="103">
        <f>+Residential!E139</f>
        <v>31</v>
      </c>
      <c r="F139" s="103">
        <f>+Residential!F139</f>
        <v>1</v>
      </c>
      <c r="G139" s="138">
        <v>0</v>
      </c>
      <c r="H139" s="51">
        <v>2400</v>
      </c>
      <c r="I139" s="9">
        <f t="shared" si="31"/>
        <v>6478280.34235278</v>
      </c>
      <c r="J139" s="55">
        <f t="shared" si="29"/>
        <v>84386.11235278286</v>
      </c>
      <c r="K139" s="98">
        <f t="shared" si="30"/>
        <v>0.013197921222538413</v>
      </c>
    </row>
    <row r="140" spans="1:11" ht="12.75">
      <c r="A140" s="3">
        <v>41061</v>
      </c>
      <c r="B140" s="24">
        <v>6938947.929999993</v>
      </c>
      <c r="C140" s="114">
        <v>23.2</v>
      </c>
      <c r="D140" s="114">
        <v>101.6</v>
      </c>
      <c r="E140" s="103">
        <f>+Residential!E140</f>
        <v>30</v>
      </c>
      <c r="F140" s="103">
        <f>+Residential!F140</f>
        <v>0</v>
      </c>
      <c r="G140" s="138">
        <v>0</v>
      </c>
      <c r="H140" s="51">
        <v>2403</v>
      </c>
      <c r="I140" s="9">
        <f t="shared" si="31"/>
        <v>6955360.733792729</v>
      </c>
      <c r="J140" s="55">
        <f t="shared" si="29"/>
        <v>16412.80379273556</v>
      </c>
      <c r="K140" s="98">
        <f t="shared" si="30"/>
        <v>0.00236531588913877</v>
      </c>
    </row>
    <row r="141" spans="1:11" ht="12.75">
      <c r="A141" s="3">
        <v>41091</v>
      </c>
      <c r="B141" s="24">
        <v>7684381.679999998</v>
      </c>
      <c r="C141" s="114">
        <v>0</v>
      </c>
      <c r="D141" s="114">
        <v>195.1</v>
      </c>
      <c r="E141" s="103">
        <f>+Residential!E141</f>
        <v>31</v>
      </c>
      <c r="F141" s="103">
        <f>+Residential!F141</f>
        <v>0</v>
      </c>
      <c r="G141" s="138">
        <v>0</v>
      </c>
      <c r="H141" s="51">
        <v>2401</v>
      </c>
      <c r="I141" s="9">
        <f t="shared" si="31"/>
        <v>7588960.919657096</v>
      </c>
      <c r="J141" s="55">
        <f t="shared" si="29"/>
        <v>-95420.76034290157</v>
      </c>
      <c r="K141" s="98">
        <f t="shared" si="30"/>
        <v>-0.012417493601502313</v>
      </c>
    </row>
    <row r="142" spans="1:11" ht="12.75">
      <c r="A142" s="3">
        <v>41122</v>
      </c>
      <c r="B142" s="24">
        <v>7811739.240000002</v>
      </c>
      <c r="C142" s="114">
        <v>2</v>
      </c>
      <c r="D142" s="114">
        <v>112.1</v>
      </c>
      <c r="E142" s="103">
        <f>+Residential!E142</f>
        <v>31</v>
      </c>
      <c r="F142" s="103">
        <f>+Residential!F142</f>
        <v>0</v>
      </c>
      <c r="G142" s="138">
        <v>0</v>
      </c>
      <c r="H142" s="51">
        <v>2402</v>
      </c>
      <c r="I142" s="9">
        <f t="shared" si="31"/>
        <v>7042887.441065803</v>
      </c>
      <c r="J142" s="55">
        <f t="shared" si="29"/>
        <v>-768851.7989341989</v>
      </c>
      <c r="K142" s="98">
        <f t="shared" si="30"/>
        <v>-0.09842261439005723</v>
      </c>
    </row>
    <row r="143" spans="1:11" ht="12.75">
      <c r="A143" s="3">
        <v>41153</v>
      </c>
      <c r="B143" s="24">
        <v>6409326.7700000005</v>
      </c>
      <c r="C143" s="114">
        <v>85</v>
      </c>
      <c r="D143" s="114">
        <v>35.6</v>
      </c>
      <c r="E143" s="103">
        <f>+Residential!E143</f>
        <v>30</v>
      </c>
      <c r="F143" s="103">
        <f>+Residential!F143</f>
        <v>1</v>
      </c>
      <c r="G143" s="138">
        <v>0</v>
      </c>
      <c r="H143" s="51">
        <v>2404</v>
      </c>
      <c r="I143" s="9">
        <f t="shared" si="31"/>
        <v>6426865.0165719325</v>
      </c>
      <c r="J143" s="55">
        <f t="shared" si="29"/>
        <v>17538.246571931988</v>
      </c>
      <c r="K143" s="98">
        <f t="shared" si="30"/>
        <v>0.002736363303244716</v>
      </c>
    </row>
    <row r="144" spans="1:11" ht="12.75">
      <c r="A144" s="3">
        <v>41183</v>
      </c>
      <c r="B144" s="24">
        <v>6318161.739999994</v>
      </c>
      <c r="C144" s="114">
        <v>242.5</v>
      </c>
      <c r="D144" s="114">
        <v>1.1</v>
      </c>
      <c r="E144" s="103">
        <f>+Residential!E144</f>
        <v>31</v>
      </c>
      <c r="F144" s="103">
        <f>+Residential!F144</f>
        <v>1</v>
      </c>
      <c r="G144" s="138">
        <v>0</v>
      </c>
      <c r="H144" s="51">
        <v>2413</v>
      </c>
      <c r="I144" s="9">
        <f t="shared" si="31"/>
        <v>6622894.867335903</v>
      </c>
      <c r="J144" s="55">
        <f t="shared" si="29"/>
        <v>304733.12733590975</v>
      </c>
      <c r="K144" s="98">
        <f t="shared" si="30"/>
        <v>0.04823129572746741</v>
      </c>
    </row>
    <row r="145" spans="1:11" ht="12.75">
      <c r="A145" s="3">
        <v>41214</v>
      </c>
      <c r="B145" s="24">
        <v>6992291.200000007</v>
      </c>
      <c r="C145" s="113">
        <v>434</v>
      </c>
      <c r="D145" s="113">
        <v>0</v>
      </c>
      <c r="E145" s="103">
        <f>+Residential!E145</f>
        <v>30</v>
      </c>
      <c r="F145" s="103">
        <f>+Residential!F145</f>
        <v>1</v>
      </c>
      <c r="G145" s="138">
        <v>0</v>
      </c>
      <c r="H145" s="51">
        <v>2417</v>
      </c>
      <c r="I145" s="9">
        <f t="shared" si="31"/>
        <v>6967370.147954885</v>
      </c>
      <c r="J145" s="55">
        <f t="shared" si="29"/>
        <v>-24921.05204512179</v>
      </c>
      <c r="K145" s="98">
        <f t="shared" si="30"/>
        <v>-0.003564075255493044</v>
      </c>
    </row>
    <row r="146" spans="1:11" ht="12.75">
      <c r="A146" s="3">
        <v>41244</v>
      </c>
      <c r="B146" s="24">
        <v>8346319.110000007</v>
      </c>
      <c r="C146" s="113">
        <v>533.5</v>
      </c>
      <c r="D146" s="113">
        <v>0</v>
      </c>
      <c r="E146" s="103">
        <f>+Residential!E146</f>
        <v>31</v>
      </c>
      <c r="F146" s="103">
        <f>+Residential!F146</f>
        <v>0</v>
      </c>
      <c r="G146" s="138">
        <v>0</v>
      </c>
      <c r="H146" s="51">
        <v>2425</v>
      </c>
      <c r="I146" s="9">
        <f t="shared" si="31"/>
        <v>7489920.488604911</v>
      </c>
      <c r="J146" s="55">
        <f t="shared" si="29"/>
        <v>-856398.6213950962</v>
      </c>
      <c r="K146" s="98">
        <f t="shared" si="30"/>
        <v>-0.10260794131020178</v>
      </c>
    </row>
    <row r="147" spans="1:11" ht="12.75">
      <c r="A147" s="3">
        <v>41275</v>
      </c>
      <c r="B147" s="24">
        <v>6992984.079999997</v>
      </c>
      <c r="C147" s="113">
        <v>624.4</v>
      </c>
      <c r="D147" s="113">
        <v>0</v>
      </c>
      <c r="E147" s="103">
        <f>+Residential!E147</f>
        <v>31</v>
      </c>
      <c r="F147" s="103">
        <f>+Residential!F147</f>
        <v>0</v>
      </c>
      <c r="G147" s="138">
        <v>0</v>
      </c>
      <c r="H147" s="51">
        <v>2432</v>
      </c>
      <c r="I147" s="9">
        <f t="shared" si="31"/>
        <v>7703579.136850744</v>
      </c>
      <c r="J147" s="55">
        <f t="shared" si="29"/>
        <v>710595.0568507463</v>
      </c>
      <c r="K147" s="98">
        <f t="shared" si="30"/>
        <v>0.10161542607869722</v>
      </c>
    </row>
    <row r="148" spans="1:11" ht="12.75">
      <c r="A148" s="3">
        <v>41306</v>
      </c>
      <c r="B148" s="24">
        <v>7528794.95</v>
      </c>
      <c r="C148" s="113">
        <v>631.5</v>
      </c>
      <c r="D148" s="113">
        <v>0</v>
      </c>
      <c r="E148" s="103">
        <f>+Residential!E148</f>
        <v>28</v>
      </c>
      <c r="F148" s="103">
        <f>+Residential!F148</f>
        <v>0</v>
      </c>
      <c r="G148" s="138">
        <v>0</v>
      </c>
      <c r="H148" s="51">
        <v>2441</v>
      </c>
      <c r="I148" s="9">
        <f t="shared" si="31"/>
        <v>7549887.102774044</v>
      </c>
      <c r="J148" s="55">
        <f t="shared" si="29"/>
        <v>21092.15277404338</v>
      </c>
      <c r="K148" s="98">
        <f t="shared" si="30"/>
        <v>0.0028015310436955627</v>
      </c>
    </row>
    <row r="149" spans="1:11" ht="12.75">
      <c r="A149" s="3">
        <v>41334</v>
      </c>
      <c r="B149" s="24">
        <v>7671019.229999998</v>
      </c>
      <c r="C149" s="113">
        <v>554.8</v>
      </c>
      <c r="D149" s="113">
        <v>0</v>
      </c>
      <c r="E149" s="103">
        <f>+Residential!E149</f>
        <v>31</v>
      </c>
      <c r="F149" s="103">
        <f>+Residential!F149</f>
        <v>1</v>
      </c>
      <c r="G149" s="138">
        <v>0</v>
      </c>
      <c r="H149" s="51">
        <v>2459</v>
      </c>
      <c r="I149" s="9">
        <f t="shared" si="31"/>
        <v>7416794.974201435</v>
      </c>
      <c r="J149" s="55">
        <f t="shared" si="29"/>
        <v>-254224.25579856243</v>
      </c>
      <c r="K149" s="98">
        <f t="shared" si="30"/>
        <v>-0.033140870616558536</v>
      </c>
    </row>
    <row r="150" spans="1:11" ht="12.75">
      <c r="A150" s="3">
        <v>41365</v>
      </c>
      <c r="B150" s="24">
        <v>6871568.6</v>
      </c>
      <c r="C150" s="113">
        <v>358.6</v>
      </c>
      <c r="D150" s="113">
        <v>0</v>
      </c>
      <c r="E150" s="103">
        <f>+Residential!E150</f>
        <v>30</v>
      </c>
      <c r="F150" s="103">
        <f>+Residential!F150</f>
        <v>1</v>
      </c>
      <c r="G150" s="138">
        <v>0</v>
      </c>
      <c r="H150" s="51">
        <v>2464</v>
      </c>
      <c r="I150" s="9">
        <f t="shared" si="31"/>
        <v>6951756.404782047</v>
      </c>
      <c r="J150" s="55">
        <f t="shared" si="29"/>
        <v>80187.80478204694</v>
      </c>
      <c r="K150" s="98">
        <f t="shared" si="30"/>
        <v>0.011669505094083895</v>
      </c>
    </row>
    <row r="151" spans="1:11" ht="12.75">
      <c r="A151" s="3">
        <v>41395</v>
      </c>
      <c r="B151" s="24">
        <v>6873417.900000003</v>
      </c>
      <c r="C151" s="113">
        <v>109.1</v>
      </c>
      <c r="D151" s="113">
        <v>23.1</v>
      </c>
      <c r="E151" s="103">
        <f>+Residential!E151</f>
        <v>31</v>
      </c>
      <c r="F151" s="103">
        <f>+Residential!F151</f>
        <v>1</v>
      </c>
      <c r="G151" s="138">
        <v>0</v>
      </c>
      <c r="H151" s="51">
        <v>2462</v>
      </c>
      <c r="I151" s="9">
        <f t="shared" si="31"/>
        <v>6637418.330533777</v>
      </c>
      <c r="J151" s="55">
        <f t="shared" si="29"/>
        <v>-235999.5694662258</v>
      </c>
      <c r="K151" s="98">
        <f t="shared" si="30"/>
        <v>-0.034335111424874325</v>
      </c>
    </row>
    <row r="152" spans="1:11" ht="12.75">
      <c r="A152" s="3">
        <v>41426</v>
      </c>
      <c r="B152" s="24">
        <v>6715915.269999998</v>
      </c>
      <c r="C152" s="113">
        <f>5.9+27.1</f>
        <v>33</v>
      </c>
      <c r="D152" s="113">
        <f>43.6+7.2</f>
        <v>50.800000000000004</v>
      </c>
      <c r="E152" s="103">
        <f>+Residential!E152</f>
        <v>30</v>
      </c>
      <c r="F152" s="103">
        <f>+Residential!F152</f>
        <v>0</v>
      </c>
      <c r="G152" s="138">
        <v>0</v>
      </c>
      <c r="H152" s="51">
        <v>2453</v>
      </c>
      <c r="I152" s="9">
        <f t="shared" si="31"/>
        <v>6790424.22693466</v>
      </c>
      <c r="J152" s="55">
        <f t="shared" si="29"/>
        <v>74508.95693466254</v>
      </c>
      <c r="K152" s="98">
        <f t="shared" si="30"/>
        <v>0.011094386087253683</v>
      </c>
    </row>
    <row r="153" spans="1:11" ht="12.75">
      <c r="A153" s="3">
        <v>41456</v>
      </c>
      <c r="B153" s="24">
        <v>7529495.02</v>
      </c>
      <c r="C153" s="113">
        <v>1.3</v>
      </c>
      <c r="D153" s="113">
        <v>120.8</v>
      </c>
      <c r="E153" s="103">
        <f>+Residential!E153</f>
        <v>31</v>
      </c>
      <c r="F153" s="103">
        <f>+Residential!F153</f>
        <v>0</v>
      </c>
      <c r="G153" s="138">
        <v>0</v>
      </c>
      <c r="H153" s="51">
        <v>2456</v>
      </c>
      <c r="I153" s="9">
        <f t="shared" si="31"/>
        <v>7264675.749552207</v>
      </c>
      <c r="J153" s="55">
        <f t="shared" si="29"/>
        <v>-264819.2704477925</v>
      </c>
      <c r="K153" s="98">
        <f t="shared" si="30"/>
        <v>-0.035170920459389916</v>
      </c>
    </row>
    <row r="154" spans="1:11" ht="12.75">
      <c r="A154" s="3">
        <v>41487</v>
      </c>
      <c r="B154" s="24">
        <v>7547300.520000002</v>
      </c>
      <c r="C154" s="113">
        <v>4.4</v>
      </c>
      <c r="D154" s="113">
        <v>93.8</v>
      </c>
      <c r="E154" s="103">
        <f>+Residential!E154</f>
        <v>31</v>
      </c>
      <c r="F154" s="103">
        <f>+Residential!F154</f>
        <v>0</v>
      </c>
      <c r="G154" s="138">
        <v>0</v>
      </c>
      <c r="H154" s="51">
        <v>2459</v>
      </c>
      <c r="I154" s="9">
        <f t="shared" si="31"/>
        <v>7100403.217104257</v>
      </c>
      <c r="J154" s="55">
        <f t="shared" si="29"/>
        <v>-446897.30289574526</v>
      </c>
      <c r="K154" s="98">
        <f t="shared" si="30"/>
        <v>-0.05921286713196166</v>
      </c>
    </row>
    <row r="155" spans="1:11" ht="12.75">
      <c r="A155" s="3">
        <v>41518</v>
      </c>
      <c r="B155" s="24">
        <v>6186232.419999998</v>
      </c>
      <c r="C155" s="113">
        <v>83</v>
      </c>
      <c r="D155" s="113">
        <v>28.1</v>
      </c>
      <c r="E155" s="103">
        <f>+Residential!E155</f>
        <v>30</v>
      </c>
      <c r="F155" s="103">
        <f>+Residential!F155</f>
        <v>1</v>
      </c>
      <c r="G155" s="138">
        <v>0</v>
      </c>
      <c r="H155" s="51">
        <v>2460</v>
      </c>
      <c r="I155" s="9">
        <f t="shared" si="31"/>
        <v>6544019.131255327</v>
      </c>
      <c r="J155" s="55">
        <f t="shared" si="29"/>
        <v>357786.71125532873</v>
      </c>
      <c r="K155" s="98">
        <f t="shared" si="30"/>
        <v>0.0578359633075876</v>
      </c>
    </row>
    <row r="156" spans="1:11" ht="12.75">
      <c r="A156" s="3">
        <v>41548</v>
      </c>
      <c r="B156" s="24">
        <v>6762438.109999999</v>
      </c>
      <c r="C156" s="113">
        <v>208.5</v>
      </c>
      <c r="D156" s="113">
        <v>0.4</v>
      </c>
      <c r="E156" s="103">
        <f>+Residential!E156</f>
        <v>31</v>
      </c>
      <c r="F156" s="103">
        <f>+Residential!F156</f>
        <v>1</v>
      </c>
      <c r="G156" s="138">
        <v>0</v>
      </c>
      <c r="H156" s="51">
        <v>2463</v>
      </c>
      <c r="I156" s="9">
        <f t="shared" si="31"/>
        <v>6699348.34964237</v>
      </c>
      <c r="J156" s="55">
        <f t="shared" si="29"/>
        <v>-63089.76035762951</v>
      </c>
      <c r="K156" s="98">
        <f t="shared" si="30"/>
        <v>-0.00932943996401758</v>
      </c>
    </row>
    <row r="157" spans="1:11" ht="12.75">
      <c r="A157" s="3">
        <v>41579</v>
      </c>
      <c r="B157" s="24">
        <v>6874649.050000002</v>
      </c>
      <c r="C157" s="113">
        <v>478.2</v>
      </c>
      <c r="D157" s="113">
        <v>0</v>
      </c>
      <c r="E157" s="103">
        <f>+Residential!E157</f>
        <v>30</v>
      </c>
      <c r="F157" s="103">
        <f>+Residential!F157</f>
        <v>1</v>
      </c>
      <c r="G157" s="138">
        <v>0</v>
      </c>
      <c r="H157" s="51">
        <v>2472</v>
      </c>
      <c r="I157" s="9">
        <f t="shared" si="31"/>
        <v>7229170.292386549</v>
      </c>
      <c r="J157" s="55">
        <f t="shared" si="29"/>
        <v>354521.2423865469</v>
      </c>
      <c r="K157" s="98">
        <f t="shared" si="30"/>
        <v>0.051569358640430794</v>
      </c>
    </row>
    <row r="158" spans="1:11" ht="12.75">
      <c r="A158" s="3">
        <v>41609</v>
      </c>
      <c r="B158" s="24">
        <v>9468067.980000004</v>
      </c>
      <c r="C158" s="113">
        <v>687.9</v>
      </c>
      <c r="D158" s="113">
        <v>0</v>
      </c>
      <c r="E158" s="103">
        <f>+Residential!E158</f>
        <v>31</v>
      </c>
      <c r="F158" s="103">
        <f>+Residential!F158</f>
        <v>0</v>
      </c>
      <c r="G158" s="138">
        <v>0</v>
      </c>
      <c r="H158" s="51">
        <v>2477</v>
      </c>
      <c r="I158" s="9">
        <f t="shared" si="31"/>
        <v>7975590.203615941</v>
      </c>
      <c r="J158" s="55">
        <f t="shared" si="29"/>
        <v>-1492477.776384063</v>
      </c>
      <c r="K158" s="98">
        <f t="shared" si="30"/>
        <v>-0.15763276938196027</v>
      </c>
    </row>
    <row r="159" spans="1:11" ht="12.75">
      <c r="A159" s="3">
        <v>41640</v>
      </c>
      <c r="B159" s="24">
        <v>7382347.289999999</v>
      </c>
      <c r="C159" s="113">
        <v>825.9</v>
      </c>
      <c r="D159" s="113">
        <v>0</v>
      </c>
      <c r="E159" s="103">
        <f>+Residential!E159</f>
        <v>31</v>
      </c>
      <c r="F159" s="103">
        <f>+Residential!F159</f>
        <v>0</v>
      </c>
      <c r="G159" s="138">
        <v>0</v>
      </c>
      <c r="H159" s="51">
        <v>2482</v>
      </c>
      <c r="I159" s="9">
        <f t="shared" si="31"/>
        <v>8282734.999046046</v>
      </c>
      <c r="J159" s="55">
        <f t="shared" si="29"/>
        <v>900387.7090460472</v>
      </c>
      <c r="K159" s="98">
        <f t="shared" si="30"/>
        <v>0.12196496231838035</v>
      </c>
    </row>
    <row r="160" spans="1:11" ht="12.75">
      <c r="A160" s="3">
        <v>41671</v>
      </c>
      <c r="B160" s="24">
        <v>8397444.379999997</v>
      </c>
      <c r="C160" s="113">
        <v>737.1</v>
      </c>
      <c r="D160" s="113">
        <v>0</v>
      </c>
      <c r="E160" s="103">
        <f>+Residential!E160</f>
        <v>28</v>
      </c>
      <c r="F160" s="103">
        <f>+Residential!F160</f>
        <v>0</v>
      </c>
      <c r="G160" s="138">
        <v>0</v>
      </c>
      <c r="H160" s="51">
        <v>2488</v>
      </c>
      <c r="I160" s="9">
        <f t="shared" si="31"/>
        <v>7917052.204464287</v>
      </c>
      <c r="J160" s="55">
        <f t="shared" si="29"/>
        <v>-480392.1755357105</v>
      </c>
      <c r="K160" s="98">
        <f t="shared" si="30"/>
        <v>-0.05720694937615183</v>
      </c>
    </row>
    <row r="161" spans="1:11" ht="12.75">
      <c r="A161" s="3">
        <v>41699</v>
      </c>
      <c r="B161" s="24">
        <v>8130248.860000004</v>
      </c>
      <c r="C161" s="113">
        <v>690.6</v>
      </c>
      <c r="D161" s="113">
        <v>0</v>
      </c>
      <c r="E161" s="103">
        <f>+Residential!E161</f>
        <v>31</v>
      </c>
      <c r="F161" s="103">
        <f>+Residential!F161</f>
        <v>1</v>
      </c>
      <c r="G161" s="138">
        <v>0</v>
      </c>
      <c r="H161" s="51">
        <v>2489</v>
      </c>
      <c r="I161" s="9">
        <f t="shared" si="31"/>
        <v>7795799.015211766</v>
      </c>
      <c r="J161" s="55">
        <f t="shared" si="29"/>
        <v>-334449.8447882384</v>
      </c>
      <c r="K161" s="98">
        <f t="shared" si="30"/>
        <v>-0.04113648309508674</v>
      </c>
    </row>
    <row r="162" spans="1:11" ht="12.75">
      <c r="A162" s="3">
        <v>41730</v>
      </c>
      <c r="B162" s="24">
        <v>7475909.68</v>
      </c>
      <c r="C162" s="113">
        <v>356.9</v>
      </c>
      <c r="D162" s="113">
        <v>0</v>
      </c>
      <c r="E162" s="103">
        <f>+Residential!E162</f>
        <v>30</v>
      </c>
      <c r="F162" s="103">
        <f>+Residential!F162</f>
        <v>1</v>
      </c>
      <c r="G162" s="138">
        <v>0</v>
      </c>
      <c r="H162" s="51">
        <v>2491</v>
      </c>
      <c r="I162" s="9">
        <f t="shared" si="31"/>
        <v>7030793.994976245</v>
      </c>
      <c r="J162" s="55">
        <f t="shared" si="29"/>
        <v>-445115.68502375484</v>
      </c>
      <c r="K162" s="98">
        <f t="shared" si="30"/>
        <v>-0.05954000303328368</v>
      </c>
    </row>
    <row r="163" spans="1:11" ht="12.75">
      <c r="A163" s="3">
        <v>41760</v>
      </c>
      <c r="B163" s="24">
        <v>6796663.479999996</v>
      </c>
      <c r="C163" s="113">
        <v>132.1</v>
      </c>
      <c r="D163" s="113">
        <v>11.9</v>
      </c>
      <c r="E163" s="103">
        <f>+Residential!E163</f>
        <v>31</v>
      </c>
      <c r="F163" s="103">
        <f>+Residential!F163</f>
        <v>1</v>
      </c>
      <c r="G163" s="138">
        <v>0</v>
      </c>
      <c r="H163" s="51">
        <v>2495</v>
      </c>
      <c r="I163" s="9">
        <f t="shared" si="31"/>
        <v>6712383.57604417</v>
      </c>
      <c r="J163" s="55">
        <f aca="true" t="shared" si="32" ref="J163:J180">+I163-B163</f>
        <v>-84279.9039558256</v>
      </c>
      <c r="K163" s="98">
        <f aca="true" t="shared" si="33" ref="K163:K180">+J163/B163</f>
        <v>-0.012400187857443496</v>
      </c>
    </row>
    <row r="164" spans="1:11" ht="12.75">
      <c r="A164" s="3">
        <v>41791</v>
      </c>
      <c r="B164" s="24">
        <v>6448751.459999999</v>
      </c>
      <c r="C164" s="113">
        <v>14.1</v>
      </c>
      <c r="D164" s="113">
        <v>68.1</v>
      </c>
      <c r="E164" s="103">
        <f>+Residential!E164</f>
        <v>30</v>
      </c>
      <c r="F164" s="103">
        <f>+Residential!F164</f>
        <v>0</v>
      </c>
      <c r="G164" s="138">
        <v>0</v>
      </c>
      <c r="H164" s="51">
        <v>2502</v>
      </c>
      <c r="I164" s="9">
        <f t="shared" si="31"/>
        <v>7015757.274039753</v>
      </c>
      <c r="J164" s="55">
        <f t="shared" si="32"/>
        <v>567005.8140397537</v>
      </c>
      <c r="K164" s="98">
        <f t="shared" si="33"/>
        <v>0.08792489795222373</v>
      </c>
    </row>
    <row r="165" spans="1:11" ht="12.75">
      <c r="A165" s="3">
        <v>41821</v>
      </c>
      <c r="B165" s="24">
        <v>7390493.370000002</v>
      </c>
      <c r="C165" s="113">
        <v>4</v>
      </c>
      <c r="D165" s="113">
        <v>71</v>
      </c>
      <c r="E165" s="103">
        <f>+Residential!E165</f>
        <v>31</v>
      </c>
      <c r="F165" s="103">
        <f>+Residential!F165</f>
        <v>0</v>
      </c>
      <c r="G165" s="138">
        <v>0</v>
      </c>
      <c r="H165" s="51">
        <v>2512</v>
      </c>
      <c r="I165" s="9">
        <f t="shared" si="31"/>
        <v>7109754.025143383</v>
      </c>
      <c r="J165" s="55">
        <f t="shared" si="32"/>
        <v>-280739.3448566189</v>
      </c>
      <c r="K165" s="98">
        <f t="shared" si="33"/>
        <v>-0.037986549855550285</v>
      </c>
    </row>
    <row r="166" spans="1:11" ht="12.75">
      <c r="A166" s="3">
        <v>41852</v>
      </c>
      <c r="B166" s="24">
        <v>6944132.180000001</v>
      </c>
      <c r="C166" s="113">
        <v>8.8</v>
      </c>
      <c r="D166" s="113">
        <v>81.8</v>
      </c>
      <c r="E166" s="103">
        <f>+Residential!E166</f>
        <v>31</v>
      </c>
      <c r="F166" s="103">
        <f>+Residential!F166</f>
        <v>0</v>
      </c>
      <c r="G166" s="138">
        <v>0</v>
      </c>
      <c r="H166" s="51">
        <v>2521</v>
      </c>
      <c r="I166" s="9">
        <f t="shared" si="31"/>
        <v>7219453.248518864</v>
      </c>
      <c r="J166" s="55">
        <f t="shared" si="32"/>
        <v>275321.06851886306</v>
      </c>
      <c r="K166" s="98">
        <f t="shared" si="33"/>
        <v>0.03964801668260627</v>
      </c>
    </row>
    <row r="167" spans="1:11" ht="12.75">
      <c r="A167" s="3">
        <v>41883</v>
      </c>
      <c r="B167" s="24">
        <v>6510451.410000002</v>
      </c>
      <c r="C167" s="113">
        <v>69.7</v>
      </c>
      <c r="D167" s="113">
        <v>30.1</v>
      </c>
      <c r="E167" s="103">
        <f>+Residential!E167</f>
        <v>30</v>
      </c>
      <c r="F167" s="103">
        <f>+Residential!F167</f>
        <v>1</v>
      </c>
      <c r="G167" s="138">
        <v>0</v>
      </c>
      <c r="H167" s="51">
        <v>2528</v>
      </c>
      <c r="I167" s="9">
        <f t="shared" si="31"/>
        <v>6737338.462098058</v>
      </c>
      <c r="J167" s="55">
        <f t="shared" si="32"/>
        <v>226887.0520980563</v>
      </c>
      <c r="K167" s="98">
        <f t="shared" si="33"/>
        <v>0.034849665224374396</v>
      </c>
    </row>
    <row r="168" spans="1:14" ht="12.75">
      <c r="A168" s="3">
        <v>41913</v>
      </c>
      <c r="B168" s="24">
        <v>6792373.730000003</v>
      </c>
      <c r="C168" s="113">
        <v>224.3</v>
      </c>
      <c r="D168" s="113">
        <v>1.3</v>
      </c>
      <c r="E168" s="103">
        <f>+Residential!E168</f>
        <v>31</v>
      </c>
      <c r="F168" s="103">
        <f>+Residential!F168</f>
        <v>1</v>
      </c>
      <c r="G168" s="138">
        <v>0</v>
      </c>
      <c r="H168" s="51">
        <v>2530</v>
      </c>
      <c r="I168" s="9">
        <f t="shared" si="31"/>
        <v>6943814.1616400415</v>
      </c>
      <c r="J168" s="55">
        <f t="shared" si="32"/>
        <v>151440.43164003827</v>
      </c>
      <c r="K168" s="98">
        <f t="shared" si="33"/>
        <v>0.022295656520071695</v>
      </c>
      <c r="L168" s="217" t="s">
        <v>143</v>
      </c>
      <c r="M168" s="210" t="s">
        <v>144</v>
      </c>
      <c r="N168" s="216" t="s">
        <v>174</v>
      </c>
    </row>
    <row r="169" spans="1:14" ht="12.75">
      <c r="A169" s="3">
        <v>41944</v>
      </c>
      <c r="B169" s="24">
        <v>7187665.719999997</v>
      </c>
      <c r="C169" s="113">
        <v>482.1</v>
      </c>
      <c r="D169" s="113">
        <v>0</v>
      </c>
      <c r="E169" s="103">
        <f>+Residential!E169</f>
        <v>30</v>
      </c>
      <c r="F169" s="103">
        <f>+Residential!F169</f>
        <v>1</v>
      </c>
      <c r="G169" s="138">
        <v>0</v>
      </c>
      <c r="H169" s="51">
        <v>2539</v>
      </c>
      <c r="I169" s="9">
        <f t="shared" si="31"/>
        <v>7442469.653769612</v>
      </c>
      <c r="J169" s="55">
        <f t="shared" si="32"/>
        <v>254803.93376961537</v>
      </c>
      <c r="K169" s="98">
        <f t="shared" si="33"/>
        <v>0.035450164726026724</v>
      </c>
      <c r="L169" s="217"/>
      <c r="M169" s="210"/>
      <c r="N169" s="217"/>
    </row>
    <row r="170" spans="1:14" ht="12.75">
      <c r="A170" s="3">
        <v>41974</v>
      </c>
      <c r="B170" s="24">
        <v>8927945.169999996</v>
      </c>
      <c r="C170" s="110">
        <v>557.3</v>
      </c>
      <c r="D170" s="110">
        <v>0</v>
      </c>
      <c r="E170" s="103">
        <f>+Residential!E170</f>
        <v>31</v>
      </c>
      <c r="F170" s="103">
        <f>+Residential!F170</f>
        <v>0</v>
      </c>
      <c r="G170" s="138">
        <v>0</v>
      </c>
      <c r="H170" s="51">
        <v>2544</v>
      </c>
      <c r="I170" s="9">
        <f t="shared" si="31"/>
        <v>7904448.931661521</v>
      </c>
      <c r="J170" s="55">
        <f t="shared" si="32"/>
        <v>-1023496.2383384751</v>
      </c>
      <c r="K170" s="98">
        <f t="shared" si="33"/>
        <v>-0.11463961962688393</v>
      </c>
      <c r="L170" s="217"/>
      <c r="M170" s="210"/>
      <c r="N170" s="217"/>
    </row>
    <row r="171" spans="1:14" ht="12.75">
      <c r="A171" s="3">
        <v>42005</v>
      </c>
      <c r="B171" s="24">
        <f>431485+7473156</f>
        <v>7904641</v>
      </c>
      <c r="C171" s="102">
        <v>792.4</v>
      </c>
      <c r="D171" s="102">
        <v>0</v>
      </c>
      <c r="E171" s="103">
        <f>+Residential!E171</f>
        <v>31</v>
      </c>
      <c r="F171" s="103">
        <f>+Residential!F171</f>
        <v>0</v>
      </c>
      <c r="G171" s="138">
        <v>0</v>
      </c>
      <c r="H171" s="51">
        <v>2548</v>
      </c>
      <c r="I171" s="9">
        <f t="shared" si="31"/>
        <v>8413880.358914038</v>
      </c>
      <c r="J171" s="55">
        <f t="shared" si="32"/>
        <v>509239.35891403817</v>
      </c>
      <c r="K171" s="98">
        <f t="shared" si="33"/>
        <v>0.06442283196846488</v>
      </c>
      <c r="L171" s="40">
        <f>+I171-M171</f>
        <v>8413880.358914038</v>
      </c>
      <c r="M171" s="40"/>
      <c r="N171" s="81">
        <v>17799.86614196343</v>
      </c>
    </row>
    <row r="172" spans="1:14" ht="12.75">
      <c r="A172" s="3">
        <v>42036</v>
      </c>
      <c r="B172" s="24">
        <v>8638405</v>
      </c>
      <c r="C172" s="102">
        <v>856.8</v>
      </c>
      <c r="D172" s="102">
        <v>0</v>
      </c>
      <c r="E172" s="103">
        <f>+Residential!E172</f>
        <v>28</v>
      </c>
      <c r="F172" s="103">
        <f>+Residential!F172</f>
        <v>0</v>
      </c>
      <c r="G172" s="138">
        <v>0</v>
      </c>
      <c r="H172" s="51">
        <v>2555</v>
      </c>
      <c r="I172" s="9">
        <f t="shared" si="31"/>
        <v>8375245.434549807</v>
      </c>
      <c r="J172" s="55">
        <f t="shared" si="32"/>
        <v>-263159.56545019336</v>
      </c>
      <c r="K172" s="98">
        <f t="shared" si="33"/>
        <v>-0.030463906872876804</v>
      </c>
      <c r="L172" s="40">
        <f aca="true" t="shared" si="34" ref="L172:L194">+I172-M172</f>
        <v>8375245.434549807</v>
      </c>
      <c r="M172" s="40"/>
      <c r="N172" s="81">
        <v>20287.09615744352</v>
      </c>
    </row>
    <row r="173" spans="1:14" ht="12.75">
      <c r="A173" s="3">
        <v>42064</v>
      </c>
      <c r="B173" s="24">
        <v>8246135</v>
      </c>
      <c r="C173" s="102">
        <v>615.5</v>
      </c>
      <c r="D173" s="102">
        <v>0.02</v>
      </c>
      <c r="E173" s="103">
        <f>+Residential!E173</f>
        <v>31</v>
      </c>
      <c r="F173" s="103">
        <f>+Residential!F173</f>
        <v>1</v>
      </c>
      <c r="G173" s="138">
        <v>0</v>
      </c>
      <c r="H173" s="51">
        <v>2553</v>
      </c>
      <c r="I173" s="9">
        <f t="shared" si="31"/>
        <v>7832981.080893422</v>
      </c>
      <c r="J173" s="55">
        <f t="shared" si="32"/>
        <v>-413153.91910657845</v>
      </c>
      <c r="K173" s="98">
        <f t="shared" si="33"/>
        <v>-0.050102735294362565</v>
      </c>
      <c r="L173" s="40">
        <f t="shared" si="34"/>
        <v>7832981.080893422</v>
      </c>
      <c r="M173" s="40"/>
      <c r="N173" s="81">
        <v>22774.32617292361</v>
      </c>
    </row>
    <row r="174" spans="1:14" ht="12.75">
      <c r="A174" s="3">
        <v>42095</v>
      </c>
      <c r="B174" s="24">
        <v>7179232</v>
      </c>
      <c r="C174" s="102">
        <v>313.7</v>
      </c>
      <c r="D174" s="102">
        <v>0.12</v>
      </c>
      <c r="E174" s="103">
        <f>+Residential!E174</f>
        <v>30</v>
      </c>
      <c r="F174" s="103">
        <f>+Residential!F174</f>
        <v>1</v>
      </c>
      <c r="G174" s="138">
        <v>0</v>
      </c>
      <c r="H174" s="51">
        <v>2549</v>
      </c>
      <c r="I174" s="9">
        <f t="shared" si="31"/>
        <v>7117742.058168477</v>
      </c>
      <c r="J174" s="55">
        <f t="shared" si="32"/>
        <v>-61489.94183152262</v>
      </c>
      <c r="K174" s="98">
        <f t="shared" si="33"/>
        <v>-0.008564974893069708</v>
      </c>
      <c r="L174" s="40">
        <f t="shared" si="34"/>
        <v>7117742.058168477</v>
      </c>
      <c r="M174" s="40"/>
      <c r="N174" s="81">
        <v>25261.5561884037</v>
      </c>
    </row>
    <row r="175" spans="1:14" ht="12.75">
      <c r="A175" s="3">
        <v>42125</v>
      </c>
      <c r="B175" s="24">
        <f>+GETPIVOTDATA("billed_consum",'[2]Pivot'!$A$4,"post_yr_month",DATE(2015,6,1),"Description","&lt; 50")</f>
        <v>6885768.14</v>
      </c>
      <c r="C175" s="102">
        <v>89.3</v>
      </c>
      <c r="D175" s="102">
        <v>34.1</v>
      </c>
      <c r="E175" s="103">
        <f>+Residential!E175</f>
        <v>31</v>
      </c>
      <c r="F175" s="103">
        <f>+Residential!F175</f>
        <v>1</v>
      </c>
      <c r="G175" s="138">
        <v>0</v>
      </c>
      <c r="H175" s="51">
        <v>2546</v>
      </c>
      <c r="I175" s="9">
        <f t="shared" si="31"/>
        <v>6925962.2923362</v>
      </c>
      <c r="J175" s="55">
        <f t="shared" si="32"/>
        <v>40194.1523362007</v>
      </c>
      <c r="K175" s="98">
        <f t="shared" si="33"/>
        <v>0.005837279373772336</v>
      </c>
      <c r="L175" s="40">
        <f t="shared" si="34"/>
        <v>6925962.2923362</v>
      </c>
      <c r="M175" s="40"/>
      <c r="N175" s="81">
        <v>27748.786203883792</v>
      </c>
    </row>
    <row r="176" spans="1:14" ht="12.75">
      <c r="A176" s="3">
        <v>42156</v>
      </c>
      <c r="B176" s="24">
        <f>+GETPIVOTDATA("billed_consum",'[2]Pivot'!$A$4,"post_yr_month",DATE(2015,7,1),"Description","&lt; 50")</f>
        <v>6722466.68</v>
      </c>
      <c r="C176" s="180">
        <v>33.8</v>
      </c>
      <c r="D176" s="102">
        <v>32.3</v>
      </c>
      <c r="E176" s="103">
        <f>+Residential!E176</f>
        <v>30</v>
      </c>
      <c r="F176" s="103">
        <f>+Residential!F176</f>
        <v>0</v>
      </c>
      <c r="G176" s="138">
        <v>0</v>
      </c>
      <c r="H176" s="51">
        <v>2547</v>
      </c>
      <c r="I176" s="9">
        <f t="shared" si="31"/>
        <v>6956460.38949452</v>
      </c>
      <c r="J176" s="55">
        <f t="shared" si="32"/>
        <v>233993.70949451998</v>
      </c>
      <c r="K176" s="98">
        <f t="shared" si="33"/>
        <v>0.034807715773538056</v>
      </c>
      <c r="L176" s="40">
        <f t="shared" si="34"/>
        <v>6956460.38949452</v>
      </c>
      <c r="M176" s="40"/>
      <c r="N176" s="81">
        <v>30236.016219363883</v>
      </c>
    </row>
    <row r="177" spans="1:14" ht="12.75">
      <c r="A177" s="3">
        <v>42186</v>
      </c>
      <c r="B177" s="24">
        <f>+GETPIVOTDATA("billed_consum",'[2]Pivot'!$A$4,"post_yr_month",DATE(2015,8,1),"Description","&lt; 50")</f>
        <v>7646868.840000005</v>
      </c>
      <c r="C177" s="180">
        <v>4</v>
      </c>
      <c r="D177" s="102">
        <v>114.3</v>
      </c>
      <c r="E177" s="103">
        <f>+Residential!E177</f>
        <v>31</v>
      </c>
      <c r="F177" s="103">
        <f>+Residential!F177</f>
        <v>0</v>
      </c>
      <c r="G177" s="138">
        <v>0</v>
      </c>
      <c r="H177" s="51">
        <v>2538</v>
      </c>
      <c r="I177" s="9">
        <f t="shared" si="31"/>
        <v>7478008.734510037</v>
      </c>
      <c r="J177" s="55">
        <f t="shared" si="32"/>
        <v>-168860.10548996832</v>
      </c>
      <c r="K177" s="98">
        <f t="shared" si="33"/>
        <v>-0.02208225471407042</v>
      </c>
      <c r="L177" s="40">
        <f t="shared" si="34"/>
        <v>7478008.734510037</v>
      </c>
      <c r="M177" s="40"/>
      <c r="N177" s="81">
        <v>32723.246234843973</v>
      </c>
    </row>
    <row r="178" spans="1:21" ht="12.75">
      <c r="A178" s="3">
        <v>42217</v>
      </c>
      <c r="B178" s="24">
        <f>+GETPIVOTDATA("billed_consum",'[2]Pivot'!$A$4,"post_yr_month",DATE(2015,9,1),"Description","&lt; 50")</f>
        <v>7194454.939999997</v>
      </c>
      <c r="C178" s="180">
        <v>4.4</v>
      </c>
      <c r="D178" s="102">
        <v>88.6</v>
      </c>
      <c r="E178" s="103">
        <f>+Residential!E178</f>
        <v>31</v>
      </c>
      <c r="F178" s="103">
        <f>+Residential!F178</f>
        <v>0</v>
      </c>
      <c r="G178" s="138">
        <v>0</v>
      </c>
      <c r="H178" s="51">
        <v>2537</v>
      </c>
      <c r="I178" s="9">
        <f t="shared" si="31"/>
        <v>7304451.492373398</v>
      </c>
      <c r="J178" s="55">
        <f t="shared" si="32"/>
        <v>109996.55237340089</v>
      </c>
      <c r="K178" s="98">
        <f t="shared" si="33"/>
        <v>0.015289073778450955</v>
      </c>
      <c r="L178" s="40">
        <f t="shared" si="34"/>
        <v>7304451.492373398</v>
      </c>
      <c r="M178" s="40"/>
      <c r="N178" s="53">
        <v>35210.47625032406</v>
      </c>
      <c r="O178" s="28"/>
      <c r="Q178" s="132" t="s">
        <v>119</v>
      </c>
      <c r="R178" s="132"/>
      <c r="S178" s="132"/>
      <c r="T178" s="132"/>
      <c r="U178" s="132"/>
    </row>
    <row r="179" spans="1:14" ht="12.75">
      <c r="A179" s="3">
        <v>42248</v>
      </c>
      <c r="B179" s="24">
        <f>+GETPIVOTDATA("billed_consum",'[2]Pivot'!$A$4,"post_yr_month",DATE(2015,10,1),"Description","&lt; 50")</f>
        <v>7070418.610000003</v>
      </c>
      <c r="C179" s="180">
        <v>31.1</v>
      </c>
      <c r="D179" s="102">
        <v>81.9</v>
      </c>
      <c r="E179" s="103">
        <f>+Residential!E179</f>
        <v>30</v>
      </c>
      <c r="F179" s="103">
        <f>+Residential!F179</f>
        <v>1</v>
      </c>
      <c r="G179" s="138">
        <v>0</v>
      </c>
      <c r="H179" s="51">
        <v>2544</v>
      </c>
      <c r="I179" s="9">
        <f t="shared" si="31"/>
        <v>7050026.920728011</v>
      </c>
      <c r="J179" s="55">
        <f t="shared" si="32"/>
        <v>-20391.689271992072</v>
      </c>
      <c r="K179" s="98">
        <f t="shared" si="33"/>
        <v>-0.0028840851435799307</v>
      </c>
      <c r="L179" s="40">
        <f t="shared" si="34"/>
        <v>7050026.920728011</v>
      </c>
      <c r="M179" s="40"/>
      <c r="N179" s="81">
        <v>37697.706265804154</v>
      </c>
    </row>
    <row r="180" spans="1:14" ht="12.75">
      <c r="A180" s="19">
        <v>42278</v>
      </c>
      <c r="B180" s="195">
        <f>+GETPIVOTDATA("billed_consum",'[2]Pivot'!$A$4,"post_yr_month",DATE(2015,11,1),"Description","&lt; 50")</f>
        <v>6457857.759999997</v>
      </c>
      <c r="C180" s="196">
        <v>249.8</v>
      </c>
      <c r="D180" s="197">
        <v>0</v>
      </c>
      <c r="E180" s="201">
        <f>+Residential!E180</f>
        <v>31</v>
      </c>
      <c r="F180" s="201">
        <f>+Residential!F180</f>
        <v>1</v>
      </c>
      <c r="G180" s="199">
        <v>0</v>
      </c>
      <c r="H180" s="202">
        <v>2557</v>
      </c>
      <c r="I180" s="9">
        <f t="shared" si="31"/>
        <v>7071707.178615472</v>
      </c>
      <c r="J180" s="55">
        <f t="shared" si="32"/>
        <v>613849.4186154753</v>
      </c>
      <c r="K180" s="98">
        <f t="shared" si="33"/>
        <v>0.09505465146935593</v>
      </c>
      <c r="L180" s="40">
        <f t="shared" si="34"/>
        <v>7071707.178615472</v>
      </c>
      <c r="M180" s="40"/>
      <c r="N180" s="81">
        <v>40184.936281284245</v>
      </c>
    </row>
    <row r="181" spans="1:13" ht="12.75">
      <c r="A181" s="3">
        <v>42309</v>
      </c>
      <c r="C181" s="180">
        <v>418.74000000000007</v>
      </c>
      <c r="D181" s="102">
        <v>0</v>
      </c>
      <c r="E181" s="103">
        <f>+Residential!E181</f>
        <v>30</v>
      </c>
      <c r="F181" s="103">
        <f>+Residential!F181</f>
        <v>1</v>
      </c>
      <c r="G181" s="138">
        <v>0</v>
      </c>
      <c r="H181" s="51">
        <v>2574</v>
      </c>
      <c r="I181" s="9">
        <f t="shared" si="31"/>
        <v>7415592.438640785</v>
      </c>
      <c r="J181" s="55"/>
      <c r="K181" s="98" t="s">
        <v>169</v>
      </c>
      <c r="L181" s="40">
        <f t="shared" si="34"/>
        <v>7388226.85806331</v>
      </c>
      <c r="M181" s="40">
        <f aca="true" t="shared" si="35" ref="M181:M194">+AK47</f>
        <v>27365.58057747472</v>
      </c>
    </row>
    <row r="182" spans="1:13" ht="12.75">
      <c r="A182" s="3">
        <v>42339</v>
      </c>
      <c r="C182" s="180">
        <v>607.1299999999999</v>
      </c>
      <c r="D182" s="102">
        <v>0</v>
      </c>
      <c r="E182" s="103">
        <f>+Residential!E182</f>
        <v>31</v>
      </c>
      <c r="F182" s="103">
        <f>+Residential!F182</f>
        <v>0</v>
      </c>
      <c r="G182" s="138">
        <v>0</v>
      </c>
      <c r="H182" s="51">
        <v>2574</v>
      </c>
      <c r="I182" s="9">
        <f t="shared" si="31"/>
        <v>8101643.595363127</v>
      </c>
      <c r="J182" s="55"/>
      <c r="K182" s="98"/>
      <c r="L182" s="40">
        <f>+I182-M182</f>
        <v>8071790.234733155</v>
      </c>
      <c r="M182" s="40">
        <f t="shared" si="35"/>
        <v>29853.360629972423</v>
      </c>
    </row>
    <row r="183" spans="1:13" ht="12.75">
      <c r="A183" s="3">
        <v>42370</v>
      </c>
      <c r="C183" s="180">
        <v>700.17</v>
      </c>
      <c r="D183" s="102">
        <v>0</v>
      </c>
      <c r="E183" s="103">
        <f>+Residential!E183</f>
        <v>31</v>
      </c>
      <c r="F183" s="103">
        <f>+Residential!F183</f>
        <v>0</v>
      </c>
      <c r="G183" s="138">
        <v>0</v>
      </c>
      <c r="H183" s="51">
        <f>+H182+6</f>
        <v>2580</v>
      </c>
      <c r="I183" s="9">
        <f t="shared" si="31"/>
        <v>8316767.443894364</v>
      </c>
      <c r="J183" s="55"/>
      <c r="K183" s="98"/>
      <c r="L183" s="40">
        <f t="shared" si="34"/>
        <v>8287606.17243913</v>
      </c>
      <c r="M183" s="40">
        <f t="shared" si="35"/>
        <v>29161.271455234273</v>
      </c>
    </row>
    <row r="184" spans="1:13" ht="12.75">
      <c r="A184" s="3">
        <v>42401</v>
      </c>
      <c r="C184" s="102">
        <v>663.51</v>
      </c>
      <c r="D184" s="102">
        <v>0</v>
      </c>
      <c r="E184" s="103">
        <f>+Residential!E184</f>
        <v>29</v>
      </c>
      <c r="F184" s="103">
        <f>+Residential!F184</f>
        <v>0</v>
      </c>
      <c r="G184" s="138">
        <v>0</v>
      </c>
      <c r="H184" s="51">
        <f aca="true" t="shared" si="36" ref="H184:H191">+H183+6</f>
        <v>2586</v>
      </c>
      <c r="I184" s="9">
        <f t="shared" si="31"/>
        <v>8126767.456250049</v>
      </c>
      <c r="J184" s="55"/>
      <c r="K184" s="98"/>
      <c r="L184" s="40">
        <f t="shared" si="34"/>
        <v>8098298.273969553</v>
      </c>
      <c r="M184" s="40">
        <f t="shared" si="35"/>
        <v>28469.182280496123</v>
      </c>
    </row>
    <row r="185" spans="1:13" ht="12.75">
      <c r="A185" s="3">
        <v>42430</v>
      </c>
      <c r="C185" s="102">
        <v>541.32</v>
      </c>
      <c r="D185" s="102">
        <v>0.02</v>
      </c>
      <c r="E185" s="103">
        <f>+Residential!E185</f>
        <v>31</v>
      </c>
      <c r="F185" s="103">
        <f>+Residential!F185</f>
        <v>1</v>
      </c>
      <c r="G185" s="138">
        <v>0</v>
      </c>
      <c r="H185" s="51">
        <f t="shared" si="36"/>
        <v>2592</v>
      </c>
      <c r="I185" s="9">
        <f t="shared" si="31"/>
        <v>7795463.616062809</v>
      </c>
      <c r="J185" s="55"/>
      <c r="K185" s="98"/>
      <c r="L185" s="40">
        <f t="shared" si="34"/>
        <v>7767686.522957051</v>
      </c>
      <c r="M185" s="40">
        <f t="shared" si="35"/>
        <v>27777.093105757973</v>
      </c>
    </row>
    <row r="186" spans="1:13" ht="12.75">
      <c r="A186" s="3">
        <v>42461</v>
      </c>
      <c r="C186" s="102">
        <v>311.7699999999999</v>
      </c>
      <c r="D186" s="102">
        <v>0.12</v>
      </c>
      <c r="E186" s="103">
        <f>+Residential!E186</f>
        <v>30</v>
      </c>
      <c r="F186" s="103">
        <f>+Residential!F186</f>
        <v>1</v>
      </c>
      <c r="G186" s="138">
        <v>0</v>
      </c>
      <c r="H186" s="51">
        <f t="shared" si="36"/>
        <v>2598</v>
      </c>
      <c r="I186" s="9">
        <f t="shared" si="31"/>
        <v>7263623.633696127</v>
      </c>
      <c r="J186" s="55"/>
      <c r="K186" s="98"/>
      <c r="L186" s="40">
        <f t="shared" si="34"/>
        <v>7236538.629765107</v>
      </c>
      <c r="M186" s="40">
        <f t="shared" si="35"/>
        <v>27085.003931019823</v>
      </c>
    </row>
    <row r="187" spans="1:13" ht="12.75">
      <c r="A187" s="3">
        <v>42491</v>
      </c>
      <c r="C187" s="102">
        <v>127.87999999999997</v>
      </c>
      <c r="D187" s="102">
        <v>22.229999999999997</v>
      </c>
      <c r="E187" s="103">
        <f>+Residential!E187</f>
        <v>31</v>
      </c>
      <c r="F187" s="103">
        <f>+Residential!F187</f>
        <v>1</v>
      </c>
      <c r="G187" s="138">
        <v>0</v>
      </c>
      <c r="H187" s="51">
        <f t="shared" si="36"/>
        <v>2604</v>
      </c>
      <c r="I187" s="9">
        <f t="shared" si="31"/>
        <v>7105921.02123872</v>
      </c>
      <c r="J187" s="55"/>
      <c r="K187" s="98"/>
      <c r="L187" s="40">
        <f t="shared" si="34"/>
        <v>7079528.106482439</v>
      </c>
      <c r="M187" s="40">
        <f t="shared" si="35"/>
        <v>26392.914756281672</v>
      </c>
    </row>
    <row r="188" spans="1:21" ht="12.75">
      <c r="A188" s="3">
        <v>42522</v>
      </c>
      <c r="C188" s="102">
        <v>25.28</v>
      </c>
      <c r="D188" s="102">
        <v>64.22</v>
      </c>
      <c r="E188" s="103">
        <f>+Residential!E188</f>
        <v>30</v>
      </c>
      <c r="F188" s="103">
        <f>+Residential!F188</f>
        <v>0</v>
      </c>
      <c r="G188" s="138">
        <v>0</v>
      </c>
      <c r="H188" s="51">
        <f t="shared" si="36"/>
        <v>2610</v>
      </c>
      <c r="I188" s="9">
        <f t="shared" si="31"/>
        <v>7344063.664006021</v>
      </c>
      <c r="J188" s="55"/>
      <c r="K188" s="98"/>
      <c r="L188" s="40">
        <f t="shared" si="34"/>
        <v>7318362.838424478</v>
      </c>
      <c r="M188" s="40">
        <f t="shared" si="35"/>
        <v>25700.825581543522</v>
      </c>
      <c r="N188" s="28"/>
      <c r="O188" s="28"/>
      <c r="Q188" s="132" t="s">
        <v>119</v>
      </c>
      <c r="R188" s="132"/>
      <c r="S188" s="132"/>
      <c r="T188" s="132"/>
      <c r="U188" s="132"/>
    </row>
    <row r="189" spans="1:13" ht="12.75">
      <c r="A189" s="3">
        <v>42552</v>
      </c>
      <c r="C189" s="102">
        <v>2.15</v>
      </c>
      <c r="D189" s="102">
        <v>129.3</v>
      </c>
      <c r="E189" s="103">
        <f>+Residential!E189</f>
        <v>31</v>
      </c>
      <c r="F189" s="103">
        <f>+Residential!F189</f>
        <v>0</v>
      </c>
      <c r="G189" s="138">
        <v>0</v>
      </c>
      <c r="H189" s="51">
        <f t="shared" si="36"/>
        <v>2616</v>
      </c>
      <c r="I189" s="9">
        <f t="shared" si="31"/>
        <v>7812818.650247226</v>
      </c>
      <c r="J189" s="55"/>
      <c r="K189" s="98"/>
      <c r="L189" s="40">
        <f t="shared" si="34"/>
        <v>7787809.913840421</v>
      </c>
      <c r="M189" s="40">
        <f t="shared" si="35"/>
        <v>25008.736406805372</v>
      </c>
    </row>
    <row r="190" spans="1:13" ht="12.75">
      <c r="A190" s="3">
        <v>42583</v>
      </c>
      <c r="C190" s="102">
        <v>5.36</v>
      </c>
      <c r="D190" s="102">
        <v>103.48999999999998</v>
      </c>
      <c r="E190" s="103">
        <f>+Residential!E190</f>
        <v>31</v>
      </c>
      <c r="F190" s="103">
        <f>+Residential!F190</f>
        <v>0</v>
      </c>
      <c r="G190" s="138">
        <v>0</v>
      </c>
      <c r="H190" s="51">
        <f t="shared" si="36"/>
        <v>2622</v>
      </c>
      <c r="I190" s="9">
        <f t="shared" si="31"/>
        <v>7665893.92914094</v>
      </c>
      <c r="J190" s="55"/>
      <c r="K190" s="98"/>
      <c r="L190" s="40">
        <f t="shared" si="34"/>
        <v>7641577.2819088735</v>
      </c>
      <c r="M190" s="40">
        <f t="shared" si="35"/>
        <v>24316.647232067222</v>
      </c>
    </row>
    <row r="191" spans="1:13" ht="12.75">
      <c r="A191" s="3">
        <v>42614</v>
      </c>
      <c r="C191" s="102">
        <v>62.720000000000006</v>
      </c>
      <c r="D191" s="102">
        <v>35.489999999999995</v>
      </c>
      <c r="E191" s="103">
        <f>+Residential!E191</f>
        <v>30</v>
      </c>
      <c r="F191" s="103">
        <f>+Residential!F191</f>
        <v>1</v>
      </c>
      <c r="G191" s="138">
        <v>0</v>
      </c>
      <c r="H191" s="51">
        <f t="shared" si="36"/>
        <v>2628</v>
      </c>
      <c r="I191" s="9">
        <f t="shared" si="31"/>
        <v>7064559.676552956</v>
      </c>
      <c r="J191" s="55"/>
      <c r="K191" s="98"/>
      <c r="L191" s="40">
        <f t="shared" si="34"/>
        <v>7040935.118495627</v>
      </c>
      <c r="M191" s="40">
        <f t="shared" si="35"/>
        <v>23624.55805732907</v>
      </c>
    </row>
    <row r="192" spans="1:13" ht="12.75">
      <c r="A192" s="3">
        <v>42644</v>
      </c>
      <c r="C192" s="102">
        <v>239.46000000000004</v>
      </c>
      <c r="D192" s="102">
        <v>2.6100000000000003</v>
      </c>
      <c r="E192" s="103">
        <f>+Residential!E192</f>
        <v>31</v>
      </c>
      <c r="F192" s="103">
        <f>+Residential!F192</f>
        <v>1</v>
      </c>
      <c r="G192" s="138">
        <v>0</v>
      </c>
      <c r="H192" s="51">
        <f>+H191+5</f>
        <v>2633</v>
      </c>
      <c r="I192" s="9">
        <f t="shared" si="31"/>
        <v>7299836.984902798</v>
      </c>
      <c r="J192" s="55"/>
      <c r="K192" s="98"/>
      <c r="L192" s="40">
        <f t="shared" si="34"/>
        <v>7276904.516020208</v>
      </c>
      <c r="M192" s="40">
        <f t="shared" si="35"/>
        <v>22932.46888259092</v>
      </c>
    </row>
    <row r="193" spans="1:13" ht="12.75">
      <c r="A193" s="3">
        <v>42675</v>
      </c>
      <c r="C193" s="102">
        <v>418.74000000000007</v>
      </c>
      <c r="D193" s="102">
        <v>0</v>
      </c>
      <c r="E193" s="103">
        <f>+Residential!E193</f>
        <v>30</v>
      </c>
      <c r="F193" s="103">
        <f>+Residential!F193</f>
        <v>1</v>
      </c>
      <c r="G193" s="138">
        <v>0</v>
      </c>
      <c r="H193" s="51">
        <f>+H192+5</f>
        <v>2638</v>
      </c>
      <c r="I193" s="9">
        <f t="shared" si="31"/>
        <v>7611462.662322123</v>
      </c>
      <c r="J193" s="55"/>
      <c r="K193" s="98"/>
      <c r="L193" s="40">
        <f t="shared" si="34"/>
        <v>7589222.28261427</v>
      </c>
      <c r="M193" s="40">
        <f t="shared" si="35"/>
        <v>22240.37970785277</v>
      </c>
    </row>
    <row r="194" spans="1:13" ht="12.75">
      <c r="A194" s="3">
        <v>42705</v>
      </c>
      <c r="C194" s="102">
        <v>607.1299999999999</v>
      </c>
      <c r="D194" s="102">
        <v>0</v>
      </c>
      <c r="E194" s="103">
        <f>+Residential!E194</f>
        <v>31</v>
      </c>
      <c r="F194" s="103">
        <f>+Residential!F194</f>
        <v>0</v>
      </c>
      <c r="G194" s="138">
        <v>0</v>
      </c>
      <c r="H194" s="131">
        <f>+'Rate Class Customer Model'!C20</f>
        <v>2642.0505332703788</v>
      </c>
      <c r="I194" s="9">
        <f t="shared" si="31"/>
        <v>8309910.363695992</v>
      </c>
      <c r="J194" s="55"/>
      <c r="K194" s="98"/>
      <c r="L194" s="40">
        <f t="shared" si="34"/>
        <v>8288362.073162878</v>
      </c>
      <c r="M194" s="40">
        <f t="shared" si="35"/>
        <v>21548.29053311462</v>
      </c>
    </row>
    <row r="195" spans="1:13" ht="12.75">
      <c r="A195" s="3"/>
      <c r="C195" s="102"/>
      <c r="D195" s="102"/>
      <c r="E195" s="103"/>
      <c r="F195" s="103"/>
      <c r="G195" s="103"/>
      <c r="H195" s="51"/>
      <c r="I195" s="9"/>
      <c r="J195" s="55"/>
      <c r="K195" s="98"/>
      <c r="M195" s="175">
        <f>SUM(M171:M194)</f>
        <v>361476.3131375406</v>
      </c>
    </row>
    <row r="196" spans="1:11" ht="12.75">
      <c r="A196" s="3"/>
      <c r="C196" s="102"/>
      <c r="D196" s="102"/>
      <c r="E196" s="103"/>
      <c r="F196" s="103"/>
      <c r="G196" s="103"/>
      <c r="H196" s="51"/>
      <c r="I196" s="9"/>
      <c r="J196" s="55"/>
      <c r="K196" s="98"/>
    </row>
    <row r="197" spans="1:11" ht="12.75">
      <c r="A197" s="3"/>
      <c r="C197" s="102">
        <f>SUM(C3:C196)</f>
        <v>59358.96</v>
      </c>
      <c r="D197" s="102">
        <f>SUM(D3:D196)</f>
        <v>5933.520000000002</v>
      </c>
      <c r="E197" s="9"/>
      <c r="F197" s="50"/>
      <c r="G197" s="50"/>
      <c r="H197" s="51"/>
      <c r="I197" s="9"/>
      <c r="J197" s="55"/>
      <c r="K197" s="98"/>
    </row>
    <row r="198" spans="1:11" ht="12.75">
      <c r="A198" s="3"/>
      <c r="C198" s="102"/>
      <c r="D198" s="102"/>
      <c r="E198" s="9"/>
      <c r="F198" s="50"/>
      <c r="G198" s="50"/>
      <c r="H198" s="51"/>
      <c r="I198" s="9"/>
      <c r="J198" s="55"/>
      <c r="K198" s="98"/>
    </row>
    <row r="199" spans="1:26" ht="12.75">
      <c r="A199" s="3"/>
      <c r="E199" s="37"/>
      <c r="F199" s="37"/>
      <c r="G199" s="37"/>
      <c r="X199" s="10"/>
      <c r="Y199" s="10"/>
      <c r="Z199" s="10"/>
    </row>
    <row r="200" spans="1:32" ht="12.75">
      <c r="A200" s="3"/>
      <c r="C200" s="58" t="s">
        <v>86</v>
      </c>
      <c r="D200" s="218" t="s">
        <v>72</v>
      </c>
      <c r="E200" s="218"/>
      <c r="I200" s="37">
        <f>SUM(I3:I194)</f>
        <v>1190117408.584231</v>
      </c>
      <c r="X200"/>
      <c r="Y200"/>
      <c r="Z200"/>
      <c r="AA200"/>
      <c r="AB200"/>
      <c r="AC200"/>
      <c r="AD200"/>
      <c r="AE200"/>
      <c r="AF200"/>
    </row>
    <row r="201" spans="1:32" ht="12.75">
      <c r="A201" s="3"/>
      <c r="X201"/>
      <c r="Y201"/>
      <c r="Z201"/>
      <c r="AA201"/>
      <c r="AB201"/>
      <c r="AC201"/>
      <c r="AD201"/>
      <c r="AE201"/>
      <c r="AF201"/>
    </row>
    <row r="202" spans="1:32" ht="12.75">
      <c r="A202" s="3"/>
      <c r="X202"/>
      <c r="Y202"/>
      <c r="Z202"/>
      <c r="AA202"/>
      <c r="AB202"/>
      <c r="AC202"/>
      <c r="AD202"/>
      <c r="AE202"/>
      <c r="AF202"/>
    </row>
    <row r="203" spans="1:32" ht="12.75">
      <c r="A203" s="15">
        <v>2001</v>
      </c>
      <c r="B203" s="24">
        <f>SUM(B3:B14)</f>
        <v>59298833.46320482</v>
      </c>
      <c r="I203" s="6">
        <f>SUM(I3:I14)</f>
        <v>57937125.228718586</v>
      </c>
      <c r="J203" s="30">
        <f aca="true" t="shared" si="37" ref="J203:J219">I203-B203</f>
        <v>-1361708.2344862372</v>
      </c>
      <c r="K203" s="5">
        <f aca="true" t="shared" si="38" ref="K203:K218">J203/B203</f>
        <v>-0.022963491100228522</v>
      </c>
      <c r="X203"/>
      <c r="Y203"/>
      <c r="Z203"/>
      <c r="AA203"/>
      <c r="AB203"/>
      <c r="AC203"/>
      <c r="AD203"/>
      <c r="AE203"/>
      <c r="AF203"/>
    </row>
    <row r="204" spans="1:32" ht="12.75">
      <c r="A204" s="15">
        <v>2002</v>
      </c>
      <c r="B204" s="24">
        <f>SUM(B15:B26)</f>
        <v>60711849.650126085</v>
      </c>
      <c r="I204" s="6">
        <f>SUM(I15:I26)</f>
        <v>59316171.8018758</v>
      </c>
      <c r="J204" s="30">
        <f t="shared" si="37"/>
        <v>-1395677.8482502848</v>
      </c>
      <c r="K204" s="5">
        <f t="shared" si="38"/>
        <v>-0.022988557526963542</v>
      </c>
      <c r="X204"/>
      <c r="Y204"/>
      <c r="Z204"/>
      <c r="AA204"/>
      <c r="AB204"/>
      <c r="AC204"/>
      <c r="AD204"/>
      <c r="AE204"/>
      <c r="AF204"/>
    </row>
    <row r="205" spans="1:32" ht="12.75">
      <c r="A205" s="15">
        <v>2003</v>
      </c>
      <c r="B205" s="24">
        <f>SUM(B27:B38)</f>
        <v>61255640.12115057</v>
      </c>
      <c r="I205" s="6">
        <f>SUM(I27:I38)</f>
        <v>59736293.68284359</v>
      </c>
      <c r="J205" s="30">
        <f t="shared" si="37"/>
        <v>-1519346.4383069798</v>
      </c>
      <c r="K205" s="5">
        <f t="shared" si="38"/>
        <v>-0.024803372151560855</v>
      </c>
      <c r="X205"/>
      <c r="Y205"/>
      <c r="Z205"/>
      <c r="AA205"/>
      <c r="AB205"/>
      <c r="AC205"/>
      <c r="AD205"/>
      <c r="AE205"/>
      <c r="AF205"/>
    </row>
    <row r="206" spans="1:32" ht="12.75">
      <c r="A206">
        <v>2004</v>
      </c>
      <c r="B206" s="24">
        <f>SUM(B39:B50)</f>
        <v>61650512.17297429</v>
      </c>
      <c r="I206" s="6">
        <f>SUM(I39:I50)</f>
        <v>60601793.22747792</v>
      </c>
      <c r="J206" s="30">
        <f t="shared" si="37"/>
        <v>-1048718.9454963654</v>
      </c>
      <c r="K206" s="5">
        <f t="shared" si="38"/>
        <v>-0.017010709376654488</v>
      </c>
      <c r="X206"/>
      <c r="Y206"/>
      <c r="Z206"/>
      <c r="AA206"/>
      <c r="AB206"/>
      <c r="AC206"/>
      <c r="AD206"/>
      <c r="AE206"/>
      <c r="AF206"/>
    </row>
    <row r="207" spans="1:32" ht="12.75">
      <c r="A207" s="15">
        <v>2005</v>
      </c>
      <c r="B207" s="24">
        <f>SUM(B51:B62)</f>
        <v>65492217.28479891</v>
      </c>
      <c r="I207" s="6">
        <f>SUM(I51:I62)</f>
        <v>66973713.00522113</v>
      </c>
      <c r="J207" s="30">
        <f t="shared" si="37"/>
        <v>1481495.7204222158</v>
      </c>
      <c r="K207" s="5">
        <f t="shared" si="38"/>
        <v>0.022620943095876502</v>
      </c>
      <c r="X207"/>
      <c r="Y207"/>
      <c r="Z207"/>
      <c r="AA207"/>
      <c r="AB207"/>
      <c r="AC207"/>
      <c r="AD207"/>
      <c r="AE207"/>
      <c r="AF207"/>
    </row>
    <row r="208" spans="1:32" ht="12.75">
      <c r="A208">
        <v>2006</v>
      </c>
      <c r="B208" s="24">
        <f>SUM(B63:B74)</f>
        <v>64355938.60585358</v>
      </c>
      <c r="I208" s="6">
        <f>SUM(I63:I74)</f>
        <v>68427187.71129028</v>
      </c>
      <c r="J208" s="30">
        <f t="shared" si="37"/>
        <v>4071249.105436705</v>
      </c>
      <c r="K208" s="5">
        <f t="shared" si="38"/>
        <v>0.06326143621913392</v>
      </c>
      <c r="X208"/>
      <c r="Y208"/>
      <c r="Z208"/>
      <c r="AA208"/>
      <c r="AB208"/>
      <c r="AC208"/>
      <c r="AD208"/>
      <c r="AE208"/>
      <c r="AF208"/>
    </row>
    <row r="209" spans="1:32" ht="12.75">
      <c r="A209" s="15">
        <v>2007</v>
      </c>
      <c r="B209" s="24">
        <f>SUM(B75:B86)</f>
        <v>68462630.69041939</v>
      </c>
      <c r="I209" s="6">
        <f>SUM(I75:I86)</f>
        <v>70639005.49655668</v>
      </c>
      <c r="J209" s="30">
        <f t="shared" si="37"/>
        <v>2176374.8061372936</v>
      </c>
      <c r="K209" s="5">
        <f t="shared" si="38"/>
        <v>0.031789237196838446</v>
      </c>
      <c r="X209"/>
      <c r="Y209"/>
      <c r="Z209"/>
      <c r="AA209"/>
      <c r="AB209"/>
      <c r="AC209"/>
      <c r="AD209"/>
      <c r="AE209"/>
      <c r="AF209"/>
    </row>
    <row r="210" spans="1:32" ht="12.75">
      <c r="A210">
        <v>2008</v>
      </c>
      <c r="B210" s="24">
        <f>SUM(B87:B98)</f>
        <v>71310392.64507413</v>
      </c>
      <c r="I210" s="6">
        <f>SUM(I87:I98)</f>
        <v>72457355.64228207</v>
      </c>
      <c r="J210" s="30">
        <f t="shared" si="37"/>
        <v>1146962.9972079396</v>
      </c>
      <c r="K210" s="5">
        <f t="shared" si="38"/>
        <v>0.016084093140765615</v>
      </c>
      <c r="X210"/>
      <c r="Y210"/>
      <c r="Z210"/>
      <c r="AA210"/>
      <c r="AB210"/>
      <c r="AC210"/>
      <c r="AD210"/>
      <c r="AE210"/>
      <c r="AF210"/>
    </row>
    <row r="211" spans="1:32" ht="12.75">
      <c r="A211" s="15">
        <v>2009</v>
      </c>
      <c r="B211" s="24">
        <f>SUM(B99:B110)</f>
        <v>73618222.92461503</v>
      </c>
      <c r="I211" s="6">
        <f>SUM(I99:I110)</f>
        <v>74685628.75243975</v>
      </c>
      <c r="J211" s="30">
        <f t="shared" si="37"/>
        <v>1067405.8278247267</v>
      </c>
      <c r="K211" s="5">
        <f t="shared" si="38"/>
        <v>0.014499206655908403</v>
      </c>
      <c r="X211"/>
      <c r="Y211"/>
      <c r="Z211"/>
      <c r="AA211"/>
      <c r="AB211"/>
      <c r="AC211"/>
      <c r="AD211"/>
      <c r="AE211"/>
      <c r="AF211"/>
    </row>
    <row r="212" spans="1:32" ht="12.75">
      <c r="A212">
        <v>2010</v>
      </c>
      <c r="B212" s="6">
        <f>SUM(B111:B122)</f>
        <v>79867181.44999999</v>
      </c>
      <c r="I212" s="80">
        <f>SUM(I111:I122)</f>
        <v>78162759.25680332</v>
      </c>
      <c r="J212" s="30">
        <f t="shared" si="37"/>
        <v>-1704422.1931966692</v>
      </c>
      <c r="K212" s="5">
        <f t="shared" si="38"/>
        <v>-0.021340707938512952</v>
      </c>
      <c r="L212" s="6"/>
      <c r="X212"/>
      <c r="Y212"/>
      <c r="Z212"/>
      <c r="AA212"/>
      <c r="AB212"/>
      <c r="AC212"/>
      <c r="AD212"/>
      <c r="AE212"/>
      <c r="AF212"/>
    </row>
    <row r="213" spans="1:32" ht="12.75">
      <c r="A213" s="15">
        <v>2011</v>
      </c>
      <c r="B213" s="6">
        <f>SUM(B123:B134)</f>
        <v>83338833.54000002</v>
      </c>
      <c r="I213" s="6">
        <f>SUM(I123:I134)</f>
        <v>81672582.75091125</v>
      </c>
      <c r="J213" s="30">
        <f t="shared" si="37"/>
        <v>-1666250.7890887707</v>
      </c>
      <c r="K213" s="5">
        <f t="shared" si="38"/>
        <v>-0.01999368983595172</v>
      </c>
      <c r="L213" s="6"/>
      <c r="X213"/>
      <c r="Y213"/>
      <c r="Z213"/>
      <c r="AA213"/>
      <c r="AB213"/>
      <c r="AC213"/>
      <c r="AD213"/>
      <c r="AE213"/>
      <c r="AF213"/>
    </row>
    <row r="214" spans="1:32" ht="12.75">
      <c r="A214" s="15">
        <v>2012</v>
      </c>
      <c r="B214" s="6">
        <f>SUM(B135:B146)</f>
        <v>84168273.07</v>
      </c>
      <c r="I214" s="6">
        <f>SUM(I135:I146)</f>
        <v>83772134.2849657</v>
      </c>
      <c r="J214" s="30">
        <f t="shared" si="37"/>
        <v>-396138.7850342989</v>
      </c>
      <c r="K214" s="5">
        <f t="shared" si="38"/>
        <v>-0.0047065095978011005</v>
      </c>
      <c r="L214" s="6"/>
      <c r="X214"/>
      <c r="Y214"/>
      <c r="Z214"/>
      <c r="AA214"/>
      <c r="AB214"/>
      <c r="AC214"/>
      <c r="AD214"/>
      <c r="AE214"/>
      <c r="AF214"/>
    </row>
    <row r="215" spans="1:32" ht="12.75">
      <c r="A215">
        <v>2013</v>
      </c>
      <c r="B215" s="6">
        <f>SUM(B147:B158)</f>
        <v>87021883.13</v>
      </c>
      <c r="C215" s="105"/>
      <c r="D215" s="83"/>
      <c r="E215" s="83"/>
      <c r="F215" s="83"/>
      <c r="G215" s="83"/>
      <c r="H215" s="106"/>
      <c r="I215" s="6">
        <f>SUM(I147:I158)</f>
        <v>85863067.11963335</v>
      </c>
      <c r="J215" s="30">
        <f t="shared" si="37"/>
        <v>-1158816.0103666484</v>
      </c>
      <c r="K215" s="5">
        <f t="shared" si="38"/>
        <v>-0.013316374786276687</v>
      </c>
      <c r="L215" s="177" t="s">
        <v>167</v>
      </c>
      <c r="X215"/>
      <c r="Y215"/>
      <c r="Z215"/>
      <c r="AA215"/>
      <c r="AB215"/>
      <c r="AC215"/>
      <c r="AD215"/>
      <c r="AE215"/>
      <c r="AF215"/>
    </row>
    <row r="216" spans="1:32" ht="12.75">
      <c r="A216" s="15">
        <v>2014</v>
      </c>
      <c r="B216" s="6">
        <f>SUM(B159:B170)</f>
        <v>88384426.73</v>
      </c>
      <c r="C216" s="105"/>
      <c r="D216" s="83"/>
      <c r="E216" s="83"/>
      <c r="F216" s="83"/>
      <c r="G216" s="83"/>
      <c r="H216" s="106"/>
      <c r="I216" s="6">
        <f>SUM(I159:I170)</f>
        <v>88111799.54661375</v>
      </c>
      <c r="J216" s="30">
        <f t="shared" si="37"/>
        <v>-272627.18338625133</v>
      </c>
      <c r="K216" s="5">
        <f t="shared" si="38"/>
        <v>-0.0030845613132626055</v>
      </c>
      <c r="L216" s="6"/>
      <c r="X216"/>
      <c r="Y216"/>
      <c r="Z216"/>
      <c r="AA216"/>
      <c r="AB216"/>
      <c r="AC216"/>
      <c r="AD216"/>
      <c r="AE216"/>
      <c r="AF216"/>
    </row>
    <row r="217" spans="1:32" ht="12.75">
      <c r="A217" s="15">
        <v>2015</v>
      </c>
      <c r="C217" s="105"/>
      <c r="D217" s="83"/>
      <c r="E217" s="83"/>
      <c r="F217" s="83"/>
      <c r="G217" s="83"/>
      <c r="H217" s="106"/>
      <c r="I217" s="6">
        <f>SUM(I171:I182)</f>
        <v>90043701.97458729</v>
      </c>
      <c r="J217" s="30">
        <f t="shared" si="37"/>
        <v>90043701.97458729</v>
      </c>
      <c r="K217" s="5"/>
      <c r="L217" s="177">
        <f>SUM(L171:L182)</f>
        <v>89986483.03337984</v>
      </c>
      <c r="X217"/>
      <c r="Y217"/>
      <c r="Z217"/>
      <c r="AA217"/>
      <c r="AB217"/>
      <c r="AC217"/>
      <c r="AD217"/>
      <c r="AE217"/>
      <c r="AF217"/>
    </row>
    <row r="218" spans="1:32" ht="12.75">
      <c r="A218" s="15">
        <v>2016</v>
      </c>
      <c r="C218" s="105"/>
      <c r="D218" s="83"/>
      <c r="E218" s="83"/>
      <c r="F218" s="83"/>
      <c r="G218" s="83"/>
      <c r="H218" s="106"/>
      <c r="I218" s="6">
        <f>SUM(I183:I194)</f>
        <v>91717089.10201013</v>
      </c>
      <c r="J218" s="30">
        <f t="shared" si="37"/>
        <v>91717089.10201013</v>
      </c>
      <c r="K218" s="5"/>
      <c r="L218" s="177">
        <f>SUM(L183:L194)</f>
        <v>91412831.73008005</v>
      </c>
      <c r="X218"/>
      <c r="Y218"/>
      <c r="Z218"/>
      <c r="AA218"/>
      <c r="AB218"/>
      <c r="AC218"/>
      <c r="AD218"/>
      <c r="AE218"/>
      <c r="AF218"/>
    </row>
    <row r="219" spans="1:32" ht="12.75">
      <c r="A219" s="52" t="s">
        <v>114</v>
      </c>
      <c r="B219" s="24">
        <f>SUM(B203:B216)</f>
        <v>1008936835.4782168</v>
      </c>
      <c r="I219" s="6">
        <f>SUM(I203:I216)</f>
        <v>1008356617.5076332</v>
      </c>
      <c r="J219" s="6">
        <f t="shared" si="37"/>
        <v>-580217.9705835581</v>
      </c>
      <c r="X219"/>
      <c r="Y219"/>
      <c r="Z219"/>
      <c r="AA219"/>
      <c r="AB219"/>
      <c r="AC219"/>
      <c r="AD219"/>
      <c r="AE219"/>
      <c r="AF219"/>
    </row>
    <row r="220" spans="24:32" ht="12.75">
      <c r="X220"/>
      <c r="Y220"/>
      <c r="Z220"/>
      <c r="AA220"/>
      <c r="AB220"/>
      <c r="AC220"/>
      <c r="AD220"/>
      <c r="AE220"/>
      <c r="AF220"/>
    </row>
    <row r="221" spans="9:32" ht="12.75">
      <c r="I221" s="6">
        <f>SUM(I203:I218)</f>
        <v>1190117408.5842304</v>
      </c>
      <c r="J221" s="37">
        <f>I200-I221</f>
        <v>0</v>
      </c>
      <c r="X221"/>
      <c r="Y221"/>
      <c r="Z221"/>
      <c r="AA221"/>
      <c r="AB221"/>
      <c r="AC221"/>
      <c r="AD221"/>
      <c r="AE221"/>
      <c r="AF221"/>
    </row>
    <row r="222" spans="9:32" ht="12.75">
      <c r="I222" s="16"/>
      <c r="J222" s="16" t="s">
        <v>68</v>
      </c>
      <c r="K222" s="16"/>
      <c r="X222"/>
      <c r="Y222"/>
      <c r="Z222"/>
      <c r="AA222"/>
      <c r="AB222"/>
      <c r="AC222"/>
      <c r="AD222"/>
      <c r="AE222"/>
      <c r="AF222"/>
    </row>
    <row r="223" spans="2:32" ht="12.75">
      <c r="B223" s="28"/>
      <c r="C223"/>
      <c r="D223"/>
      <c r="E223"/>
      <c r="H223" s="28"/>
      <c r="I223"/>
      <c r="J223"/>
      <c r="K223"/>
      <c r="X223"/>
      <c r="Y223"/>
      <c r="Z223"/>
      <c r="AA223"/>
      <c r="AB223"/>
      <c r="AC223"/>
      <c r="AD223"/>
      <c r="AE223"/>
      <c r="AF223"/>
    </row>
    <row r="224" spans="2:32" ht="12.75">
      <c r="B224" s="28"/>
      <c r="C224"/>
      <c r="D224"/>
      <c r="E224"/>
      <c r="H224" s="28"/>
      <c r="I224"/>
      <c r="J224"/>
      <c r="K224"/>
      <c r="L224" s="81"/>
      <c r="M224" s="52"/>
      <c r="X224"/>
      <c r="Y224"/>
      <c r="Z224"/>
      <c r="AA224"/>
      <c r="AB224"/>
      <c r="AC224"/>
      <c r="AD224"/>
      <c r="AE224"/>
      <c r="AF224"/>
    </row>
    <row r="225" ht="12.75">
      <c r="L225" s="81"/>
    </row>
    <row r="227" spans="12:13" ht="12.75">
      <c r="L227" s="81"/>
      <c r="M227" s="52"/>
    </row>
    <row r="228" ht="12.75">
      <c r="L228" s="81"/>
    </row>
    <row r="232" spans="24:26" ht="12.75">
      <c r="X232" s="10"/>
      <c r="Y232" s="10"/>
      <c r="Z232" s="10"/>
    </row>
  </sheetData>
  <sheetProtection/>
  <mergeCells count="14">
    <mergeCell ref="D200:E200"/>
    <mergeCell ref="AB3:AB5"/>
    <mergeCell ref="AC3:AC5"/>
    <mergeCell ref="AD3:AD5"/>
    <mergeCell ref="AE3:AE5"/>
    <mergeCell ref="AF3:AF5"/>
    <mergeCell ref="N168:N170"/>
    <mergeCell ref="AH3:AH5"/>
    <mergeCell ref="AG3:AG5"/>
    <mergeCell ref="Z4:AA4"/>
    <mergeCell ref="Z6:Z17"/>
    <mergeCell ref="AB19:AC19"/>
    <mergeCell ref="L168:L170"/>
    <mergeCell ref="M168:M170"/>
  </mergeCells>
  <printOptions/>
  <pageMargins left="0.3937007874015748" right="0.7480314960629921" top="0.5511811023622047" bottom="0.5511811023622047" header="0.5118110236220472" footer="0.5118110236220472"/>
  <pageSetup horizontalDpi="600" verticalDpi="600" orientation="portrait" r:id="rId1"/>
  <rowBreaks count="1" manualBreakCount="1">
    <brk id="110" max="39" man="1"/>
  </rowBreaks>
  <colBreaks count="2" manualBreakCount="2">
    <brk id="11" max="65535" man="1"/>
    <brk id="21" max="2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23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1.8515625" style="0" customWidth="1"/>
    <col min="2" max="2" width="12.7109375" style="24" bestFit="1" customWidth="1"/>
    <col min="3" max="4" width="9.28125" style="1" customWidth="1"/>
    <col min="5" max="5" width="9.421875" style="1" bestFit="1" customWidth="1"/>
    <col min="6" max="6" width="8.140625" style="1" customWidth="1"/>
    <col min="7" max="7" width="10.7109375" style="1" bestFit="1" customWidth="1"/>
    <col min="8" max="8" width="13.28125" style="1" customWidth="1"/>
    <col min="9" max="9" width="10.8515625" style="20" bestFit="1" customWidth="1"/>
    <col min="10" max="10" width="15.140625" style="1" bestFit="1" customWidth="1"/>
    <col min="11" max="11" width="13.28125" style="1" customWidth="1"/>
    <col min="12" max="12" width="10.7109375" style="1" bestFit="1" customWidth="1"/>
    <col min="13" max="13" width="22.421875" style="0" bestFit="1" customWidth="1"/>
    <col min="14" max="14" width="12.57421875" style="0" bestFit="1" customWidth="1"/>
    <col min="15" max="15" width="13.7109375" style="0" bestFit="1" customWidth="1"/>
    <col min="16" max="16" width="12.57421875" style="0" bestFit="1" customWidth="1"/>
    <col min="17" max="17" width="12.421875" style="0" bestFit="1" customWidth="1"/>
    <col min="18" max="18" width="13.57421875" style="0" bestFit="1" customWidth="1"/>
    <col min="19" max="21" width="12.57421875" style="0" bestFit="1" customWidth="1"/>
    <col min="22" max="22" width="14.140625" style="0" bestFit="1" customWidth="1"/>
    <col min="23" max="25" width="12.7109375" style="0" customWidth="1"/>
    <col min="26" max="34" width="12.7109375" style="6" customWidth="1"/>
    <col min="35" max="44" width="12.7109375" style="0" customWidth="1"/>
  </cols>
  <sheetData>
    <row r="1" spans="1:3" ht="15.75">
      <c r="A1" s="211" t="s">
        <v>103</v>
      </c>
      <c r="B1" s="211"/>
      <c r="C1" s="211"/>
    </row>
    <row r="2" spans="2:28" ht="42" customHeight="1">
      <c r="B2" s="117" t="s">
        <v>19</v>
      </c>
      <c r="C2" s="11" t="s">
        <v>1</v>
      </c>
      <c r="D2" s="11" t="s">
        <v>2</v>
      </c>
      <c r="E2" s="11" t="s">
        <v>3</v>
      </c>
      <c r="F2" s="11" t="s">
        <v>20</v>
      </c>
      <c r="G2" s="11" t="s">
        <v>4</v>
      </c>
      <c r="H2" s="11" t="s">
        <v>147</v>
      </c>
      <c r="I2" s="116" t="s">
        <v>70</v>
      </c>
      <c r="J2" s="11" t="s">
        <v>91</v>
      </c>
      <c r="K2" s="11" t="s">
        <v>7</v>
      </c>
      <c r="L2" s="11" t="s">
        <v>8</v>
      </c>
      <c r="Z2" s="8"/>
      <c r="AA2" s="8"/>
      <c r="AB2" s="8"/>
    </row>
    <row r="3" spans="1:35" ht="12.75">
      <c r="A3" s="3">
        <v>36892</v>
      </c>
      <c r="B3" s="118">
        <v>11838141.784792662</v>
      </c>
      <c r="C3" s="108">
        <v>684.9000000000001</v>
      </c>
      <c r="D3" s="108">
        <v>0</v>
      </c>
      <c r="E3" s="50">
        <v>31</v>
      </c>
      <c r="F3" s="50">
        <v>0</v>
      </c>
      <c r="G3" s="50">
        <v>351.912</v>
      </c>
      <c r="H3" s="181">
        <v>0</v>
      </c>
      <c r="I3" s="104">
        <v>185.57345496845892</v>
      </c>
      <c r="J3" s="9">
        <f aca="true" t="shared" si="0" ref="J3:J34">$N$19+C3*$N$20+D3*$N$21+E3*$N$22+F3*$N$23+G3*$N$24+H3*$N$25+I3*$N$26</f>
        <v>11942377.128262386</v>
      </c>
      <c r="K3" s="99">
        <f aca="true" t="shared" si="1" ref="K3:K34">+J3-B3</f>
        <v>104235.34346972406</v>
      </c>
      <c r="L3" s="98">
        <f aca="true" t="shared" si="2" ref="L3:L34">+K3/B3</f>
        <v>0.008805042663336345</v>
      </c>
      <c r="M3" t="s">
        <v>21</v>
      </c>
      <c r="X3" s="78"/>
      <c r="Y3" s="78"/>
      <c r="Z3" s="146" t="s">
        <v>122</v>
      </c>
      <c r="AA3" s="99"/>
      <c r="AB3" s="214" t="s">
        <v>123</v>
      </c>
      <c r="AC3" s="214" t="s">
        <v>124</v>
      </c>
      <c r="AD3" s="209" t="s">
        <v>125</v>
      </c>
      <c r="AE3" s="219" t="s">
        <v>126</v>
      </c>
      <c r="AF3" s="219" t="s">
        <v>127</v>
      </c>
      <c r="AG3" s="210" t="s">
        <v>128</v>
      </c>
      <c r="AH3" s="209" t="s">
        <v>175</v>
      </c>
      <c r="AI3" s="148"/>
    </row>
    <row r="4" spans="1:35" ht="13.5" thickBot="1">
      <c r="A4" s="3">
        <v>36923</v>
      </c>
      <c r="B4" s="118">
        <v>11886529.921884507</v>
      </c>
      <c r="C4" s="108">
        <v>587.6</v>
      </c>
      <c r="D4" s="108">
        <v>0</v>
      </c>
      <c r="E4" s="50">
        <v>28</v>
      </c>
      <c r="F4" s="50">
        <v>0</v>
      </c>
      <c r="G4" s="50">
        <v>319.872</v>
      </c>
      <c r="H4" s="181">
        <v>0</v>
      </c>
      <c r="I4" s="104">
        <v>186.14868750773326</v>
      </c>
      <c r="J4" s="9">
        <f t="shared" si="0"/>
        <v>10996488.179516027</v>
      </c>
      <c r="K4" s="99">
        <f t="shared" si="1"/>
        <v>-890041.7423684802</v>
      </c>
      <c r="L4" s="98">
        <f t="shared" si="2"/>
        <v>-0.07487818128735857</v>
      </c>
      <c r="X4" s="149"/>
      <c r="Y4" s="149"/>
      <c r="Z4" s="222" t="s">
        <v>145</v>
      </c>
      <c r="AA4" s="222"/>
      <c r="AB4" s="214"/>
      <c r="AC4" s="214"/>
      <c r="AD4" s="210"/>
      <c r="AE4" s="220"/>
      <c r="AF4" s="219"/>
      <c r="AG4" s="210"/>
      <c r="AH4" s="210"/>
      <c r="AI4" s="148"/>
    </row>
    <row r="5" spans="1:35" ht="12.75">
      <c r="A5" s="3">
        <v>36951</v>
      </c>
      <c r="B5" s="118">
        <v>12505705.436779918</v>
      </c>
      <c r="C5" s="108">
        <v>566.6000000000001</v>
      </c>
      <c r="D5" s="108">
        <v>0</v>
      </c>
      <c r="E5" s="50">
        <v>31</v>
      </c>
      <c r="F5" s="50">
        <v>1</v>
      </c>
      <c r="G5" s="50">
        <v>351.912</v>
      </c>
      <c r="H5" s="181">
        <v>0</v>
      </c>
      <c r="I5" s="104">
        <v>186.72570312785984</v>
      </c>
      <c r="J5" s="9">
        <f t="shared" si="0"/>
        <v>11632514.547667058</v>
      </c>
      <c r="K5" s="99">
        <f t="shared" si="1"/>
        <v>-873190.88911286</v>
      </c>
      <c r="L5" s="98">
        <f t="shared" si="2"/>
        <v>-0.06982340128888379</v>
      </c>
      <c r="M5" s="44" t="s">
        <v>22</v>
      </c>
      <c r="N5" s="44"/>
      <c r="X5" s="150"/>
      <c r="Y5" s="150"/>
      <c r="Z5" s="150"/>
      <c r="AA5" s="150"/>
      <c r="AB5" s="214"/>
      <c r="AC5" s="214"/>
      <c r="AD5" s="210"/>
      <c r="AE5" s="220"/>
      <c r="AF5" s="219"/>
      <c r="AG5" s="210"/>
      <c r="AH5" s="210"/>
      <c r="AI5" s="147" t="s">
        <v>16</v>
      </c>
    </row>
    <row r="6" spans="1:39" ht="12.75">
      <c r="A6" s="3">
        <v>36982</v>
      </c>
      <c r="B6" s="118">
        <v>11170578.132805405</v>
      </c>
      <c r="C6" s="108">
        <v>293.79999999999995</v>
      </c>
      <c r="D6" s="108">
        <v>1.4</v>
      </c>
      <c r="E6" s="50">
        <v>30</v>
      </c>
      <c r="F6" s="50">
        <v>1</v>
      </c>
      <c r="G6" s="50">
        <v>319.68</v>
      </c>
      <c r="H6" s="181">
        <v>0</v>
      </c>
      <c r="I6" s="104">
        <v>187.3045073559553</v>
      </c>
      <c r="J6" s="9">
        <f t="shared" si="0"/>
        <v>10659509.067305876</v>
      </c>
      <c r="K6" s="99">
        <f t="shared" si="1"/>
        <v>-511069.06549952924</v>
      </c>
      <c r="L6" s="98">
        <f t="shared" si="2"/>
        <v>-0.04575135319081092</v>
      </c>
      <c r="M6" s="29" t="s">
        <v>23</v>
      </c>
      <c r="N6" s="29">
        <v>0.9154394960098313</v>
      </c>
      <c r="Z6" s="214" t="s">
        <v>130</v>
      </c>
      <c r="AA6" s="151">
        <v>2005</v>
      </c>
      <c r="AB6" s="149">
        <v>0</v>
      </c>
      <c r="AC6" s="6">
        <v>0</v>
      </c>
      <c r="AD6" s="6">
        <f>+AC6*0.5</f>
        <v>0</v>
      </c>
      <c r="AE6" s="119">
        <f aca="true" t="shared" si="3" ref="AE6:AE17">+AB6+AD6</f>
        <v>0</v>
      </c>
      <c r="AF6" s="119">
        <f>+AE6</f>
        <v>0</v>
      </c>
      <c r="AG6" s="6">
        <f aca="true" t="shared" si="4" ref="AG6:AG15">+AF6/$AM$18</f>
        <v>0</v>
      </c>
      <c r="AI6" s="6">
        <f>+Z36</f>
        <v>0</v>
      </c>
      <c r="AJ6" s="6">
        <f>+AE6-AI6</f>
        <v>0</v>
      </c>
      <c r="AL6" s="152" t="s">
        <v>131</v>
      </c>
      <c r="AM6" s="153">
        <v>1</v>
      </c>
    </row>
    <row r="7" spans="1:39" ht="12.75">
      <c r="A7" s="3">
        <v>37012</v>
      </c>
      <c r="B7" s="118">
        <v>11983306.196068201</v>
      </c>
      <c r="C7" s="108">
        <v>111.5</v>
      </c>
      <c r="D7" s="108">
        <v>12.200000000000001</v>
      </c>
      <c r="E7" s="50">
        <v>31</v>
      </c>
      <c r="F7" s="50">
        <v>1</v>
      </c>
      <c r="G7" s="50">
        <v>351.912</v>
      </c>
      <c r="H7" s="181">
        <v>0</v>
      </c>
      <c r="I7" s="104">
        <v>187.88510573626897</v>
      </c>
      <c r="J7" s="9">
        <f t="shared" si="0"/>
        <v>10914510.011527676</v>
      </c>
      <c r="K7" s="99">
        <f t="shared" si="1"/>
        <v>-1068796.184540525</v>
      </c>
      <c r="L7" s="98">
        <f t="shared" si="2"/>
        <v>-0.08919042600206643</v>
      </c>
      <c r="M7" s="29" t="s">
        <v>24</v>
      </c>
      <c r="N7" s="29">
        <v>0.838029470854734</v>
      </c>
      <c r="Z7" s="214"/>
      <c r="AA7" s="151">
        <v>2006</v>
      </c>
      <c r="AB7" s="149">
        <v>0</v>
      </c>
      <c r="AC7" s="6">
        <v>0</v>
      </c>
      <c r="AD7" s="6">
        <f>+AC7*0.5</f>
        <v>0</v>
      </c>
      <c r="AE7" s="119">
        <f t="shared" si="3"/>
        <v>0</v>
      </c>
      <c r="AF7" s="119">
        <f>+AE7-AA36</f>
        <v>0</v>
      </c>
      <c r="AG7" s="6">
        <f t="shared" si="4"/>
        <v>0</v>
      </c>
      <c r="AI7" s="6">
        <f>+Z48</f>
        <v>0</v>
      </c>
      <c r="AJ7" s="6">
        <f aca="true" t="shared" si="5" ref="AJ7:AJ18">+AE7-AI7</f>
        <v>0</v>
      </c>
      <c r="AL7" s="152" t="s">
        <v>132</v>
      </c>
      <c r="AM7" s="153">
        <v>2</v>
      </c>
    </row>
    <row r="8" spans="1:39" ht="12.75">
      <c r="A8" s="3">
        <v>37043</v>
      </c>
      <c r="B8" s="118">
        <v>12392962.12851481</v>
      </c>
      <c r="C8" s="108">
        <v>29.8</v>
      </c>
      <c r="D8" s="108">
        <v>79.69999999999997</v>
      </c>
      <c r="E8" s="50">
        <v>30</v>
      </c>
      <c r="F8" s="50">
        <v>0</v>
      </c>
      <c r="G8" s="50">
        <v>336.24</v>
      </c>
      <c r="H8" s="181">
        <v>0</v>
      </c>
      <c r="I8" s="104">
        <v>188.46750383023596</v>
      </c>
      <c r="J8" s="9">
        <f t="shared" si="0"/>
        <v>11341087.681981131</v>
      </c>
      <c r="K8" s="99">
        <f t="shared" si="1"/>
        <v>-1051874.446533678</v>
      </c>
      <c r="L8" s="98">
        <f t="shared" si="2"/>
        <v>-0.08487675792322753</v>
      </c>
      <c r="M8" s="29" t="s">
        <v>25</v>
      </c>
      <c r="N8" s="29">
        <v>0.8313600961252231</v>
      </c>
      <c r="Z8" s="214"/>
      <c r="AA8" s="151">
        <v>2007</v>
      </c>
      <c r="AB8" s="149">
        <v>0</v>
      </c>
      <c r="AC8" s="6">
        <v>0</v>
      </c>
      <c r="AD8" s="6">
        <f aca="true" t="shared" si="6" ref="AD8:AD17">+AC8*0.5</f>
        <v>0</v>
      </c>
      <c r="AE8" s="119">
        <f t="shared" si="3"/>
        <v>0</v>
      </c>
      <c r="AF8" s="119">
        <f>+AE8-AA48</f>
        <v>0</v>
      </c>
      <c r="AG8" s="6">
        <f t="shared" si="4"/>
        <v>0</v>
      </c>
      <c r="AI8" s="6">
        <f>+Z60</f>
        <v>0</v>
      </c>
      <c r="AJ8" s="6">
        <f t="shared" si="5"/>
        <v>0</v>
      </c>
      <c r="AL8" s="152" t="s">
        <v>133</v>
      </c>
      <c r="AM8" s="153">
        <v>3</v>
      </c>
    </row>
    <row r="9" spans="1:39" ht="12.75">
      <c r="A9" s="3">
        <v>37073</v>
      </c>
      <c r="B9" s="118">
        <v>12522301.302649468</v>
      </c>
      <c r="C9" s="108">
        <v>9.3</v>
      </c>
      <c r="D9" s="108">
        <v>100.9</v>
      </c>
      <c r="E9" s="50">
        <v>31</v>
      </c>
      <c r="F9" s="50">
        <v>0</v>
      </c>
      <c r="G9" s="50">
        <v>336.288</v>
      </c>
      <c r="H9" s="181">
        <v>0</v>
      </c>
      <c r="I9" s="104">
        <v>189.05170721653056</v>
      </c>
      <c r="J9" s="9">
        <f t="shared" si="0"/>
        <v>11718561.65535386</v>
      </c>
      <c r="K9" s="99">
        <f t="shared" si="1"/>
        <v>-803739.6472956073</v>
      </c>
      <c r="L9" s="98">
        <f t="shared" si="2"/>
        <v>-0.06418465966200254</v>
      </c>
      <c r="M9" s="29" t="s">
        <v>26</v>
      </c>
      <c r="N9" s="29">
        <v>757448.6605819414</v>
      </c>
      <c r="Z9" s="214"/>
      <c r="AA9" s="151">
        <v>2008</v>
      </c>
      <c r="AB9" s="149">
        <v>0</v>
      </c>
      <c r="AC9" s="6">
        <v>0</v>
      </c>
      <c r="AD9" s="6">
        <f t="shared" si="6"/>
        <v>0</v>
      </c>
      <c r="AE9" s="119">
        <f t="shared" si="3"/>
        <v>0</v>
      </c>
      <c r="AF9" s="119">
        <f>+AE9-AA60</f>
        <v>0</v>
      </c>
      <c r="AG9" s="6">
        <f t="shared" si="4"/>
        <v>0</v>
      </c>
      <c r="AI9" s="6">
        <f>+AD36</f>
        <v>0</v>
      </c>
      <c r="AJ9" s="6">
        <f t="shared" si="5"/>
        <v>0</v>
      </c>
      <c r="AL9" s="152" t="s">
        <v>134</v>
      </c>
      <c r="AM9" s="153">
        <v>4</v>
      </c>
    </row>
    <row r="10" spans="1:39" ht="13.5" thickBot="1">
      <c r="A10" s="3">
        <v>37104</v>
      </c>
      <c r="B10" s="118">
        <v>12620310.349918826</v>
      </c>
      <c r="C10" s="108">
        <v>0</v>
      </c>
      <c r="D10" s="108">
        <v>160.00000000000003</v>
      </c>
      <c r="E10" s="50">
        <v>31</v>
      </c>
      <c r="F10" s="50">
        <v>0</v>
      </c>
      <c r="G10" s="50">
        <v>351.912</v>
      </c>
      <c r="H10" s="181">
        <v>0</v>
      </c>
      <c r="I10" s="104">
        <v>189.63772149111955</v>
      </c>
      <c r="J10" s="9">
        <f t="shared" si="0"/>
        <v>12526911.334561665</v>
      </c>
      <c r="K10" s="99">
        <f t="shared" si="1"/>
        <v>-93399.01535716094</v>
      </c>
      <c r="L10" s="98">
        <f t="shared" si="2"/>
        <v>-0.007400690852088411</v>
      </c>
      <c r="M10" s="42" t="s">
        <v>27</v>
      </c>
      <c r="N10" s="42">
        <v>178</v>
      </c>
      <c r="Z10" s="214"/>
      <c r="AA10" s="151">
        <v>2009</v>
      </c>
      <c r="AB10" s="149">
        <v>0</v>
      </c>
      <c r="AC10" s="6">
        <v>0</v>
      </c>
      <c r="AD10" s="6">
        <f t="shared" si="6"/>
        <v>0</v>
      </c>
      <c r="AE10" s="119">
        <f t="shared" si="3"/>
        <v>0</v>
      </c>
      <c r="AF10" s="119">
        <f>+AE10-AE36</f>
        <v>0</v>
      </c>
      <c r="AG10" s="6">
        <f t="shared" si="4"/>
        <v>0</v>
      </c>
      <c r="AI10" s="6">
        <f>+AD48</f>
        <v>0</v>
      </c>
      <c r="AJ10" s="6">
        <f t="shared" si="5"/>
        <v>0</v>
      </c>
      <c r="AL10" s="152" t="s">
        <v>135</v>
      </c>
      <c r="AM10" s="153">
        <v>5</v>
      </c>
    </row>
    <row r="11" spans="1:39" ht="12.75">
      <c r="A11" s="3">
        <v>37135</v>
      </c>
      <c r="B11" s="118">
        <v>11885726.663774163</v>
      </c>
      <c r="C11" s="108">
        <v>73.60000000000001</v>
      </c>
      <c r="D11" s="108">
        <v>35.7</v>
      </c>
      <c r="E11" s="50">
        <v>30</v>
      </c>
      <c r="F11" s="50">
        <v>1</v>
      </c>
      <c r="G11" s="50">
        <v>303.84</v>
      </c>
      <c r="H11" s="181">
        <v>0</v>
      </c>
      <c r="I11" s="104">
        <v>190.22555226731583</v>
      </c>
      <c r="J11" s="9">
        <f t="shared" si="0"/>
        <v>10594645.459344873</v>
      </c>
      <c r="K11" s="99">
        <f t="shared" si="1"/>
        <v>-1291081.2044292893</v>
      </c>
      <c r="L11" s="98">
        <f t="shared" si="2"/>
        <v>-0.10862450744087049</v>
      </c>
      <c r="Z11" s="214"/>
      <c r="AA11" s="151">
        <v>2010</v>
      </c>
      <c r="AB11" s="149">
        <v>0</v>
      </c>
      <c r="AC11" s="6">
        <v>0</v>
      </c>
      <c r="AD11" s="6">
        <f t="shared" si="6"/>
        <v>0</v>
      </c>
      <c r="AE11" s="119">
        <f t="shared" si="3"/>
        <v>0</v>
      </c>
      <c r="AF11" s="119">
        <f>+AE11-AE48</f>
        <v>0</v>
      </c>
      <c r="AG11" s="6">
        <f t="shared" si="4"/>
        <v>0</v>
      </c>
      <c r="AI11" s="6">
        <f>+AD60</f>
        <v>0</v>
      </c>
      <c r="AJ11" s="6">
        <f t="shared" si="5"/>
        <v>0</v>
      </c>
      <c r="AL11" s="152" t="s">
        <v>136</v>
      </c>
      <c r="AM11" s="153">
        <v>6</v>
      </c>
    </row>
    <row r="12" spans="1:39" ht="13.5" thickBot="1">
      <c r="A12" s="3">
        <v>37165</v>
      </c>
      <c r="B12" s="118">
        <v>12101407.317628127</v>
      </c>
      <c r="C12" s="108">
        <v>232.49999999999997</v>
      </c>
      <c r="D12" s="108">
        <v>2</v>
      </c>
      <c r="E12" s="50">
        <v>31</v>
      </c>
      <c r="F12" s="50">
        <v>1</v>
      </c>
      <c r="G12" s="50">
        <v>351.912</v>
      </c>
      <c r="H12" s="181">
        <v>0</v>
      </c>
      <c r="I12" s="104">
        <v>190.81520517583223</v>
      </c>
      <c r="J12" s="9">
        <f t="shared" si="0"/>
        <v>11207700.568112101</v>
      </c>
      <c r="K12" s="99">
        <f t="shared" si="1"/>
        <v>-893706.7495160252</v>
      </c>
      <c r="L12" s="98">
        <f t="shared" si="2"/>
        <v>-0.07385147248239154</v>
      </c>
      <c r="M12" t="s">
        <v>28</v>
      </c>
      <c r="Z12" s="214"/>
      <c r="AA12" s="151">
        <v>2011</v>
      </c>
      <c r="AB12" s="149">
        <v>0</v>
      </c>
      <c r="AC12" s="6">
        <v>0</v>
      </c>
      <c r="AD12" s="6">
        <f t="shared" si="6"/>
        <v>0</v>
      </c>
      <c r="AE12" s="119">
        <f t="shared" si="3"/>
        <v>0</v>
      </c>
      <c r="AF12" s="119">
        <f>+AE12-AE60</f>
        <v>0</v>
      </c>
      <c r="AG12" s="6">
        <f t="shared" si="4"/>
        <v>0</v>
      </c>
      <c r="AI12" s="6">
        <f>+AH36</f>
        <v>0</v>
      </c>
      <c r="AJ12" s="6">
        <f t="shared" si="5"/>
        <v>0</v>
      </c>
      <c r="AL12" s="152" t="s">
        <v>137</v>
      </c>
      <c r="AM12" s="153">
        <v>7</v>
      </c>
    </row>
    <row r="13" spans="1:39" ht="12.75">
      <c r="A13" s="3">
        <v>37196</v>
      </c>
      <c r="B13" s="118">
        <v>11966814.251480179</v>
      </c>
      <c r="C13" s="108">
        <v>325.80000000000007</v>
      </c>
      <c r="D13" s="108">
        <v>0</v>
      </c>
      <c r="E13" s="50">
        <v>30</v>
      </c>
      <c r="F13" s="50">
        <v>1</v>
      </c>
      <c r="G13" s="50">
        <v>352.08</v>
      </c>
      <c r="H13" s="181">
        <v>0</v>
      </c>
      <c r="I13" s="104">
        <v>191.40668586483542</v>
      </c>
      <c r="J13" s="9">
        <f t="shared" si="0"/>
        <v>11251574.36787157</v>
      </c>
      <c r="K13" s="99">
        <f t="shared" si="1"/>
        <v>-715239.8836086094</v>
      </c>
      <c r="L13" s="98">
        <f t="shared" si="2"/>
        <v>-0.05976861247931054</v>
      </c>
      <c r="M13" s="43"/>
      <c r="N13" s="43" t="s">
        <v>32</v>
      </c>
      <c r="O13" s="43" t="s">
        <v>33</v>
      </c>
      <c r="P13" s="43" t="s">
        <v>34</v>
      </c>
      <c r="Q13" s="43" t="s">
        <v>35</v>
      </c>
      <c r="R13" s="43" t="s">
        <v>36</v>
      </c>
      <c r="Z13" s="214"/>
      <c r="AA13" s="151">
        <v>2012</v>
      </c>
      <c r="AB13" s="149">
        <v>0</v>
      </c>
      <c r="AC13" s="6">
        <v>0</v>
      </c>
      <c r="AD13" s="6">
        <f t="shared" si="6"/>
        <v>0</v>
      </c>
      <c r="AE13" s="119">
        <f t="shared" si="3"/>
        <v>0</v>
      </c>
      <c r="AF13" s="119">
        <f>+AE13-AI36</f>
        <v>0</v>
      </c>
      <c r="AG13" s="6">
        <f t="shared" si="4"/>
        <v>0</v>
      </c>
      <c r="AI13" s="6">
        <f>+AH48</f>
        <v>0</v>
      </c>
      <c r="AJ13" s="6">
        <f t="shared" si="5"/>
        <v>0</v>
      </c>
      <c r="AL13" s="152" t="s">
        <v>138</v>
      </c>
      <c r="AM13" s="153">
        <v>8</v>
      </c>
    </row>
    <row r="14" spans="1:39" ht="13.5" thickBot="1">
      <c r="A14" s="3">
        <v>37226</v>
      </c>
      <c r="B14" s="118">
        <v>12264855.043261215</v>
      </c>
      <c r="C14" s="108">
        <v>504.99999999999994</v>
      </c>
      <c r="D14" s="108">
        <v>0</v>
      </c>
      <c r="E14" s="50">
        <v>31</v>
      </c>
      <c r="F14" s="50">
        <v>0</v>
      </c>
      <c r="G14" s="50">
        <v>304.296</v>
      </c>
      <c r="H14" s="181">
        <v>0</v>
      </c>
      <c r="I14" s="104">
        <v>192</v>
      </c>
      <c r="J14" s="9">
        <f t="shared" si="0"/>
        <v>11466932.741675213</v>
      </c>
      <c r="K14" s="99">
        <f t="shared" si="1"/>
        <v>-797922.3015860021</v>
      </c>
      <c r="L14" s="98">
        <f t="shared" si="2"/>
        <v>-0.06505762186112517</v>
      </c>
      <c r="M14" s="29" t="s">
        <v>29</v>
      </c>
      <c r="N14" s="29">
        <v>7</v>
      </c>
      <c r="O14" s="29">
        <v>504636449359114.2</v>
      </c>
      <c r="P14" s="29">
        <v>72090921337016.31</v>
      </c>
      <c r="Q14" s="29">
        <v>125.653379041154</v>
      </c>
      <c r="R14" s="29">
        <v>8.644016563717315E-64</v>
      </c>
      <c r="Z14" s="214"/>
      <c r="AA14" s="182">
        <v>2013</v>
      </c>
      <c r="AB14" s="183">
        <v>0</v>
      </c>
      <c r="AC14" s="136">
        <v>0</v>
      </c>
      <c r="AD14" s="136">
        <f t="shared" si="6"/>
        <v>0</v>
      </c>
      <c r="AE14" s="184">
        <f t="shared" si="3"/>
        <v>0</v>
      </c>
      <c r="AF14" s="184">
        <f>+AE14-AI48</f>
        <v>0</v>
      </c>
      <c r="AG14" s="136">
        <f t="shared" si="4"/>
        <v>0</v>
      </c>
      <c r="AH14" s="136"/>
      <c r="AI14" s="136">
        <f>+AH60</f>
        <v>0</v>
      </c>
      <c r="AJ14" s="136">
        <f t="shared" si="5"/>
        <v>0</v>
      </c>
      <c r="AL14" s="152" t="s">
        <v>139</v>
      </c>
      <c r="AM14" s="153">
        <v>9</v>
      </c>
    </row>
    <row r="15" spans="1:39" ht="12.75">
      <c r="A15" s="3">
        <v>37257</v>
      </c>
      <c r="B15" s="118">
        <v>12529612.583745683</v>
      </c>
      <c r="C15" s="108">
        <v>572.1999999999999</v>
      </c>
      <c r="D15" s="108">
        <v>0</v>
      </c>
      <c r="E15" s="9">
        <v>31</v>
      </c>
      <c r="F15" s="50">
        <v>0</v>
      </c>
      <c r="G15" s="50">
        <v>351.912</v>
      </c>
      <c r="H15" s="181">
        <v>0</v>
      </c>
      <c r="I15" s="104">
        <v>194.04278569980096</v>
      </c>
      <c r="J15" s="9">
        <f t="shared" si="0"/>
        <v>12181044.796936106</v>
      </c>
      <c r="K15" s="99">
        <f t="shared" si="1"/>
        <v>-348567.7868095767</v>
      </c>
      <c r="L15" s="98">
        <f t="shared" si="2"/>
        <v>-0.027819518319486106</v>
      </c>
      <c r="M15" s="29" t="s">
        <v>30</v>
      </c>
      <c r="N15" s="29">
        <v>170</v>
      </c>
      <c r="O15" s="29">
        <v>97533840480954.08</v>
      </c>
      <c r="P15" s="29">
        <v>573728473417.377</v>
      </c>
      <c r="Q15" s="29"/>
      <c r="R15" s="29"/>
      <c r="Z15" s="214"/>
      <c r="AA15" s="151">
        <v>2014</v>
      </c>
      <c r="AB15" s="149">
        <v>0</v>
      </c>
      <c r="AD15" s="6">
        <f t="shared" si="6"/>
        <v>0</v>
      </c>
      <c r="AE15" s="119">
        <f t="shared" si="3"/>
        <v>0</v>
      </c>
      <c r="AF15" s="119">
        <f>+AE15-AI60</f>
        <v>0</v>
      </c>
      <c r="AG15" s="6">
        <f t="shared" si="4"/>
        <v>0</v>
      </c>
      <c r="AI15" s="6">
        <f>+AL36</f>
        <v>0</v>
      </c>
      <c r="AJ15" s="6">
        <f t="shared" si="5"/>
        <v>0</v>
      </c>
      <c r="AK15" s="81">
        <f>9513*55</f>
        <v>523215</v>
      </c>
      <c r="AL15" s="152" t="s">
        <v>140</v>
      </c>
      <c r="AM15" s="153">
        <v>10</v>
      </c>
    </row>
    <row r="16" spans="1:39" ht="12.75" customHeight="1" thickBot="1">
      <c r="A16" s="3">
        <v>37288</v>
      </c>
      <c r="B16" s="118">
        <v>11736498.042773595</v>
      </c>
      <c r="C16" s="108">
        <v>540.2000000000002</v>
      </c>
      <c r="D16" s="108">
        <v>0</v>
      </c>
      <c r="E16" s="9">
        <v>28</v>
      </c>
      <c r="F16" s="50">
        <v>0</v>
      </c>
      <c r="G16" s="50">
        <v>319.872</v>
      </c>
      <c r="H16" s="181">
        <v>0</v>
      </c>
      <c r="I16" s="104">
        <v>196.10730563613998</v>
      </c>
      <c r="J16" s="9">
        <f t="shared" si="0"/>
        <v>11448092.279173335</v>
      </c>
      <c r="K16" s="99">
        <f t="shared" si="1"/>
        <v>-288405.76360026</v>
      </c>
      <c r="L16" s="98">
        <f t="shared" si="2"/>
        <v>-0.024573408741616707</v>
      </c>
      <c r="M16" s="42" t="s">
        <v>6</v>
      </c>
      <c r="N16" s="42">
        <v>177</v>
      </c>
      <c r="O16" s="42">
        <v>602170289840068.2</v>
      </c>
      <c r="P16" s="42"/>
      <c r="Q16" s="42"/>
      <c r="R16" s="42"/>
      <c r="Z16" s="214"/>
      <c r="AA16" s="151">
        <v>2015</v>
      </c>
      <c r="AB16" s="149">
        <f>+AB15+AC15</f>
        <v>0</v>
      </c>
      <c r="AC16" s="6">
        <v>1484090.9317024827</v>
      </c>
      <c r="AD16" s="6">
        <f t="shared" si="6"/>
        <v>742045.4658512414</v>
      </c>
      <c r="AE16" s="206">
        <f>+AB16+AD16-AK15</f>
        <v>218830.46585124137</v>
      </c>
      <c r="AF16" s="119">
        <f>+AE16-AM36</f>
        <v>218830.46585124137</v>
      </c>
      <c r="AG16" s="6">
        <f>+AF16/(AM16+AM17)</f>
        <v>9514.368080488755</v>
      </c>
      <c r="AH16" s="6">
        <f>+AQ46</f>
        <v>523290.24442688155</v>
      </c>
      <c r="AI16" s="6">
        <f>+AL48</f>
        <v>218830.46585124137</v>
      </c>
      <c r="AJ16" s="6">
        <f t="shared" si="5"/>
        <v>0</v>
      </c>
      <c r="AL16" s="152" t="s">
        <v>141</v>
      </c>
      <c r="AM16" s="153">
        <v>11</v>
      </c>
    </row>
    <row r="17" spans="1:39" ht="12.75" customHeight="1" thickBot="1">
      <c r="A17" s="3">
        <v>37316</v>
      </c>
      <c r="B17" s="118">
        <v>12358364.810526798</v>
      </c>
      <c r="C17" s="108">
        <v>545.6</v>
      </c>
      <c r="D17" s="108">
        <v>0</v>
      </c>
      <c r="E17" s="9">
        <v>31</v>
      </c>
      <c r="F17" s="50">
        <v>1</v>
      </c>
      <c r="G17" s="50">
        <v>319.92</v>
      </c>
      <c r="H17" s="181">
        <v>0</v>
      </c>
      <c r="I17" s="104">
        <v>198.19379105061915</v>
      </c>
      <c r="J17" s="9">
        <f t="shared" si="0"/>
        <v>11906284.64585938</v>
      </c>
      <c r="K17" s="99">
        <f t="shared" si="1"/>
        <v>-452080.1646674182</v>
      </c>
      <c r="L17" s="98">
        <f t="shared" si="2"/>
        <v>-0.03658090464220141</v>
      </c>
      <c r="Z17" s="214"/>
      <c r="AA17" s="151">
        <v>2016</v>
      </c>
      <c r="AB17" s="149">
        <f>+AB16+AC16-(AK15*2)</f>
        <v>437660.93170248275</v>
      </c>
      <c r="AC17" s="6">
        <v>1469817.7561748475</v>
      </c>
      <c r="AD17" s="6">
        <f t="shared" si="6"/>
        <v>734908.8780874237</v>
      </c>
      <c r="AE17" s="119">
        <f t="shared" si="3"/>
        <v>1172569.8097899065</v>
      </c>
      <c r="AF17" s="119">
        <f>+AE17-AM48</f>
        <v>-197499.19380047428</v>
      </c>
      <c r="AG17" s="6">
        <f>+AF17/$AM$18</f>
        <v>-2532.0409461599265</v>
      </c>
      <c r="AH17" s="52"/>
      <c r="AI17" s="6">
        <f>+AL60</f>
        <v>1172569.809789907</v>
      </c>
      <c r="AJ17" s="6">
        <f t="shared" si="5"/>
        <v>0</v>
      </c>
      <c r="AL17" s="152" t="s">
        <v>142</v>
      </c>
      <c r="AM17" s="154">
        <v>12</v>
      </c>
    </row>
    <row r="18" spans="1:39" ht="12.75" customHeight="1" thickBot="1">
      <c r="A18" s="3">
        <v>37347</v>
      </c>
      <c r="B18" s="118">
        <v>11282326.378175076</v>
      </c>
      <c r="C18" s="108">
        <v>329.49999999999994</v>
      </c>
      <c r="D18" s="108">
        <v>8.3</v>
      </c>
      <c r="E18" s="9">
        <v>30</v>
      </c>
      <c r="F18" s="50">
        <v>1</v>
      </c>
      <c r="G18" s="50">
        <v>352.08</v>
      </c>
      <c r="H18" s="181">
        <v>0</v>
      </c>
      <c r="I18" s="104">
        <v>200.3024756451376</v>
      </c>
      <c r="J18" s="9">
        <f t="shared" si="0"/>
        <v>11837570.342669029</v>
      </c>
      <c r="K18" s="99">
        <f t="shared" si="1"/>
        <v>555243.9644939527</v>
      </c>
      <c r="L18" s="98">
        <f t="shared" si="2"/>
        <v>0.04921360594283426</v>
      </c>
      <c r="M18" s="43"/>
      <c r="N18" s="43" t="s">
        <v>37</v>
      </c>
      <c r="O18" s="43" t="s">
        <v>26</v>
      </c>
      <c r="P18" s="43" t="s">
        <v>38</v>
      </c>
      <c r="Q18" s="43" t="s">
        <v>39</v>
      </c>
      <c r="R18" s="43" t="s">
        <v>40</v>
      </c>
      <c r="S18" s="43" t="s">
        <v>41</v>
      </c>
      <c r="T18" s="43" t="s">
        <v>42</v>
      </c>
      <c r="U18" s="43" t="s">
        <v>43</v>
      </c>
      <c r="X18" s="150"/>
      <c r="Y18" s="150"/>
      <c r="Z18" s="151"/>
      <c r="AA18" s="150"/>
      <c r="AB18" s="178">
        <f>SUM(AB6:AB17)</f>
        <v>437660.93170248275</v>
      </c>
      <c r="AC18" s="178">
        <f>SUM(AC6:AC17)</f>
        <v>2953908.68787733</v>
      </c>
      <c r="AE18" s="156">
        <f>SUM(AE6:AE17)</f>
        <v>1391400.275641148</v>
      </c>
      <c r="AF18" s="157"/>
      <c r="AG18" s="157"/>
      <c r="AH18"/>
      <c r="AI18" s="6">
        <f>SUM(AI6:AI17)</f>
        <v>1391400.2756411484</v>
      </c>
      <c r="AJ18" s="6">
        <f t="shared" si="5"/>
        <v>0</v>
      </c>
      <c r="AL18" s="152" t="s">
        <v>6</v>
      </c>
      <c r="AM18" s="158">
        <f>SUM(AM6:AM17)</f>
        <v>78</v>
      </c>
    </row>
    <row r="19" spans="1:29" ht="12.75" customHeight="1">
      <c r="A19" s="3">
        <v>37377</v>
      </c>
      <c r="B19" s="118">
        <v>11924263.225790003</v>
      </c>
      <c r="C19" s="108">
        <v>227.5</v>
      </c>
      <c r="D19" s="108">
        <v>7.800000000000001</v>
      </c>
      <c r="E19" s="9">
        <v>31</v>
      </c>
      <c r="F19" s="50">
        <v>1</v>
      </c>
      <c r="G19" s="50">
        <v>351.912</v>
      </c>
      <c r="H19" s="181">
        <v>0</v>
      </c>
      <c r="I19" s="104">
        <v>202.4335956080679</v>
      </c>
      <c r="J19" s="9">
        <f t="shared" si="0"/>
        <v>11898573.721899241</v>
      </c>
      <c r="K19" s="99">
        <f t="shared" si="1"/>
        <v>-25689.503890762106</v>
      </c>
      <c r="L19" s="98">
        <f t="shared" si="2"/>
        <v>-0.002154389198252551</v>
      </c>
      <c r="M19" s="29" t="s">
        <v>31</v>
      </c>
      <c r="N19" s="29">
        <v>-7908207.485303245</v>
      </c>
      <c r="O19" s="29">
        <v>2249642.0303012826</v>
      </c>
      <c r="P19" s="29">
        <v>-3.515318161193912</v>
      </c>
      <c r="Q19" s="29">
        <v>0.0005631083355889098</v>
      </c>
      <c r="R19" s="29">
        <v>-12349038.43930683</v>
      </c>
      <c r="S19" s="29">
        <v>-3467376.53129966</v>
      </c>
      <c r="T19" s="29">
        <v>-12349038.43930683</v>
      </c>
      <c r="U19" s="29">
        <v>-3467376.53129966</v>
      </c>
      <c r="Z19" s="8"/>
      <c r="AA19" s="8"/>
      <c r="AB19" s="224">
        <f>+AB18+AC18</f>
        <v>3391569.6195798125</v>
      </c>
      <c r="AC19" s="224"/>
    </row>
    <row r="20" spans="1:28" ht="12.75" customHeight="1">
      <c r="A20" s="3">
        <v>37408</v>
      </c>
      <c r="B20" s="118">
        <v>12261486.68964248</v>
      </c>
      <c r="C20" s="108">
        <v>36.2</v>
      </c>
      <c r="D20" s="108">
        <v>70</v>
      </c>
      <c r="E20" s="9">
        <v>30</v>
      </c>
      <c r="F20" s="50">
        <v>0</v>
      </c>
      <c r="G20" s="50">
        <v>319.68</v>
      </c>
      <c r="H20" s="181">
        <v>0</v>
      </c>
      <c r="I20" s="104">
        <v>204.58738964071085</v>
      </c>
      <c r="J20" s="9">
        <f t="shared" si="0"/>
        <v>11971347.647293977</v>
      </c>
      <c r="K20" s="99">
        <f t="shared" si="1"/>
        <v>-290139.0423485022</v>
      </c>
      <c r="L20" s="98">
        <f t="shared" si="2"/>
        <v>-0.023662631595366686</v>
      </c>
      <c r="M20" s="29" t="s">
        <v>1</v>
      </c>
      <c r="N20" s="29">
        <v>2008.6064933823134</v>
      </c>
      <c r="O20" s="29">
        <v>369.2148085981624</v>
      </c>
      <c r="P20" s="29">
        <v>5.4402110820218885</v>
      </c>
      <c r="Q20" s="29">
        <v>1.829540039824381E-07</v>
      </c>
      <c r="R20" s="29">
        <v>1279.7702925047709</v>
      </c>
      <c r="S20" s="29">
        <v>2737.4426942598557</v>
      </c>
      <c r="T20" s="29">
        <v>1279.7702925047709</v>
      </c>
      <c r="U20" s="29">
        <v>2737.4426942598557</v>
      </c>
      <c r="Z20" s="8"/>
      <c r="AA20" s="8"/>
      <c r="AB20" s="8"/>
    </row>
    <row r="21" spans="1:28" ht="12.75" customHeight="1">
      <c r="A21" s="3">
        <v>37438</v>
      </c>
      <c r="B21" s="118">
        <v>13146858.871069657</v>
      </c>
      <c r="C21" s="108">
        <v>0</v>
      </c>
      <c r="D21" s="108">
        <v>192.39999999999998</v>
      </c>
      <c r="E21" s="9">
        <v>31</v>
      </c>
      <c r="F21" s="50">
        <v>0</v>
      </c>
      <c r="G21" s="50">
        <v>351.912</v>
      </c>
      <c r="H21" s="181">
        <v>0</v>
      </c>
      <c r="I21" s="104">
        <v>206.76409898403193</v>
      </c>
      <c r="J21" s="9">
        <f t="shared" si="0"/>
        <v>13819049.696208926</v>
      </c>
      <c r="K21" s="99">
        <f t="shared" si="1"/>
        <v>672190.8251392692</v>
      </c>
      <c r="L21" s="98">
        <f t="shared" si="2"/>
        <v>0.05112938624590091</v>
      </c>
      <c r="M21" s="29" t="s">
        <v>2</v>
      </c>
      <c r="N21" s="29">
        <v>10856.66447284257</v>
      </c>
      <c r="O21" s="29">
        <v>2193.600524078446</v>
      </c>
      <c r="P21" s="29">
        <v>4.949244109705693</v>
      </c>
      <c r="Q21" s="29">
        <v>1.7818925057092385E-06</v>
      </c>
      <c r="R21" s="29">
        <v>6526.46038844367</v>
      </c>
      <c r="S21" s="29">
        <v>15186.868557241472</v>
      </c>
      <c r="T21" s="29">
        <v>6526.46038844367</v>
      </c>
      <c r="U21" s="29">
        <v>15186.868557241472</v>
      </c>
      <c r="Z21" s="8"/>
      <c r="AA21" s="8"/>
      <c r="AB21" s="8"/>
    </row>
    <row r="22" spans="1:28" ht="12.75" customHeight="1">
      <c r="A22" s="3">
        <v>37469</v>
      </c>
      <c r="B22" s="118">
        <v>13236976.412240032</v>
      </c>
      <c r="C22" s="108">
        <v>0.2</v>
      </c>
      <c r="D22" s="108">
        <v>142.70000000000002</v>
      </c>
      <c r="E22" s="9">
        <v>31</v>
      </c>
      <c r="F22" s="50">
        <v>0</v>
      </c>
      <c r="G22" s="50">
        <v>336.288</v>
      </c>
      <c r="H22" s="181">
        <v>0</v>
      </c>
      <c r="I22" s="104">
        <v>208.96396744568196</v>
      </c>
      <c r="J22" s="9">
        <f t="shared" si="0"/>
        <v>13247442.78026907</v>
      </c>
      <c r="K22" s="99">
        <f t="shared" si="1"/>
        <v>10466.36802903749</v>
      </c>
      <c r="L22" s="98">
        <f t="shared" si="2"/>
        <v>0.0007906917488618774</v>
      </c>
      <c r="M22" s="29" t="s">
        <v>3</v>
      </c>
      <c r="N22" s="29">
        <v>155940.69778736215</v>
      </c>
      <c r="O22" s="29">
        <v>77399.18489221927</v>
      </c>
      <c r="P22" s="29">
        <v>2.014758915155429</v>
      </c>
      <c r="Q22" s="29">
        <v>0.04550593380436945</v>
      </c>
      <c r="R22" s="29">
        <v>3153.413653102907</v>
      </c>
      <c r="S22" s="29">
        <v>308727.98192162137</v>
      </c>
      <c r="T22" s="29">
        <v>3153.413653102907</v>
      </c>
      <c r="U22" s="29">
        <v>308727.98192162137</v>
      </c>
      <c r="Z22" s="8"/>
      <c r="AA22" s="8"/>
      <c r="AB22" s="8"/>
    </row>
    <row r="23" spans="1:28" ht="12.75" customHeight="1">
      <c r="A23" s="3">
        <v>37500</v>
      </c>
      <c r="B23" s="118">
        <v>12380749.875609338</v>
      </c>
      <c r="C23" s="108">
        <v>21.8</v>
      </c>
      <c r="D23" s="108">
        <v>87.60000000000001</v>
      </c>
      <c r="E23" s="9">
        <v>30</v>
      </c>
      <c r="F23" s="50">
        <v>1</v>
      </c>
      <c r="G23" s="50">
        <v>319.68</v>
      </c>
      <c r="H23" s="181">
        <v>0</v>
      </c>
      <c r="I23" s="104">
        <v>211.18724142730545</v>
      </c>
      <c r="J23" s="9">
        <f t="shared" si="0"/>
        <v>12360375.917204347</v>
      </c>
      <c r="K23" s="99">
        <f t="shared" si="1"/>
        <v>-20373.958404991776</v>
      </c>
      <c r="L23" s="98">
        <f t="shared" si="2"/>
        <v>-0.001645615864118977</v>
      </c>
      <c r="M23" s="29" t="s">
        <v>20</v>
      </c>
      <c r="N23" s="29">
        <v>-135512.56532386245</v>
      </c>
      <c r="O23" s="29">
        <v>157187.83615296043</v>
      </c>
      <c r="P23" s="29">
        <v>-0.8621059277894402</v>
      </c>
      <c r="Q23" s="29">
        <v>0.3898436908501641</v>
      </c>
      <c r="R23" s="29">
        <v>-445803.98012616544</v>
      </c>
      <c r="S23" s="29">
        <v>174778.84947844056</v>
      </c>
      <c r="T23" s="29">
        <v>-445803.98012616544</v>
      </c>
      <c r="U23" s="29">
        <v>174778.84947844056</v>
      </c>
      <c r="Z23" s="8"/>
      <c r="AA23" s="8"/>
      <c r="AB23" s="8"/>
    </row>
    <row r="24" spans="1:28" ht="12.75" customHeight="1">
      <c r="A24" s="3">
        <v>37530</v>
      </c>
      <c r="B24" s="118">
        <v>12427083.644099232</v>
      </c>
      <c r="C24" s="108">
        <v>292.2</v>
      </c>
      <c r="D24" s="108">
        <v>10</v>
      </c>
      <c r="E24" s="9">
        <v>31</v>
      </c>
      <c r="F24" s="50">
        <v>1</v>
      </c>
      <c r="G24" s="50">
        <v>351.912</v>
      </c>
      <c r="H24" s="181">
        <v>0</v>
      </c>
      <c r="I24" s="104">
        <v>213.43416995213934</v>
      </c>
      <c r="J24" s="9">
        <f t="shared" si="0"/>
        <v>12656439.447159864</v>
      </c>
      <c r="K24" s="99">
        <f t="shared" si="1"/>
        <v>229355.8030606322</v>
      </c>
      <c r="L24" s="98">
        <f t="shared" si="2"/>
        <v>0.01845612451232977</v>
      </c>
      <c r="M24" s="29" t="s">
        <v>4</v>
      </c>
      <c r="N24" s="29">
        <v>9806.946221735743</v>
      </c>
      <c r="O24" s="29">
        <v>3804.4645809614235</v>
      </c>
      <c r="P24" s="29">
        <v>2.577746753330908</v>
      </c>
      <c r="Q24" s="29">
        <v>0.010792775221042992</v>
      </c>
      <c r="R24" s="29">
        <v>2296.8695753276434</v>
      </c>
      <c r="S24" s="29">
        <v>17317.022868143842</v>
      </c>
      <c r="T24" s="29">
        <v>2296.8695753276434</v>
      </c>
      <c r="U24" s="29">
        <v>17317.022868143842</v>
      </c>
      <c r="Z24" s="8"/>
      <c r="AA24" s="8"/>
      <c r="AB24" s="8"/>
    </row>
    <row r="25" spans="1:40" ht="12.75" customHeight="1">
      <c r="A25" s="3">
        <v>37561</v>
      </c>
      <c r="B25" s="118">
        <v>12406109.931827413</v>
      </c>
      <c r="C25" s="108">
        <v>445</v>
      </c>
      <c r="D25" s="108">
        <v>0</v>
      </c>
      <c r="E25" s="9">
        <v>30</v>
      </c>
      <c r="F25" s="50">
        <v>1</v>
      </c>
      <c r="G25" s="50">
        <v>336.24</v>
      </c>
      <c r="H25" s="181">
        <v>0</v>
      </c>
      <c r="I25" s="104">
        <v>215.70500469290556</v>
      </c>
      <c r="J25" s="9">
        <f t="shared" si="0"/>
        <v>12669840.677167594</v>
      </c>
      <c r="K25" s="99">
        <f t="shared" si="1"/>
        <v>263730.7453401815</v>
      </c>
      <c r="L25" s="98">
        <f t="shared" si="2"/>
        <v>0.021258133838036538</v>
      </c>
      <c r="M25" s="29" t="s">
        <v>147</v>
      </c>
      <c r="N25" s="29">
        <v>-1347064.016569295</v>
      </c>
      <c r="O25" s="29">
        <v>775672.156983014</v>
      </c>
      <c r="P25" s="29">
        <v>-1.736640930633267</v>
      </c>
      <c r="Q25" s="29">
        <v>0.08426204505181535</v>
      </c>
      <c r="R25" s="29">
        <v>-2878253.814097916</v>
      </c>
      <c r="S25" s="29">
        <v>184125.7809593256</v>
      </c>
      <c r="T25" s="29">
        <v>-2878253.814097916</v>
      </c>
      <c r="U25" s="29">
        <v>184125.7809593256</v>
      </c>
      <c r="W25" s="3">
        <v>38353</v>
      </c>
      <c r="X25" s="150">
        <f>+AG6</f>
        <v>0</v>
      </c>
      <c r="Y25" s="150"/>
      <c r="Z25" s="151"/>
      <c r="AA25" s="163"/>
      <c r="AB25" s="3">
        <v>39448</v>
      </c>
      <c r="AC25" s="149">
        <f>+X60+$AG$9</f>
        <v>0</v>
      </c>
      <c r="AF25" s="3">
        <v>40544</v>
      </c>
      <c r="AG25" s="164">
        <f>+AC60+$AG$12</f>
        <v>0</v>
      </c>
      <c r="AH25" s="164"/>
      <c r="AI25" s="164"/>
      <c r="AJ25" s="3">
        <v>41640</v>
      </c>
      <c r="AK25" s="164">
        <f>+AG60+$AG$15</f>
        <v>0</v>
      </c>
      <c r="AL25" s="164"/>
      <c r="AM25" s="6"/>
      <c r="AN25" s="176"/>
    </row>
    <row r="26" spans="1:40" ht="12.75" customHeight="1" thickBot="1">
      <c r="A26" s="3">
        <v>37591</v>
      </c>
      <c r="B26" s="118">
        <v>12271970.083423221</v>
      </c>
      <c r="C26" s="108">
        <v>619.4000000000001</v>
      </c>
      <c r="D26" s="108">
        <v>0</v>
      </c>
      <c r="E26" s="9">
        <v>31</v>
      </c>
      <c r="F26" s="51">
        <v>0</v>
      </c>
      <c r="G26" s="51">
        <v>319.92</v>
      </c>
      <c r="H26" s="181">
        <v>0</v>
      </c>
      <c r="I26" s="104">
        <v>218</v>
      </c>
      <c r="J26" s="9">
        <f t="shared" si="0"/>
        <v>13277560.13057819</v>
      </c>
      <c r="K26" s="99">
        <f t="shared" si="1"/>
        <v>1005590.0471549686</v>
      </c>
      <c r="L26" s="98">
        <f t="shared" si="2"/>
        <v>0.08194202237449254</v>
      </c>
      <c r="M26" s="42" t="s">
        <v>70</v>
      </c>
      <c r="N26" s="42">
        <v>54908.426088139924</v>
      </c>
      <c r="O26" s="42">
        <v>1937.4989423601905</v>
      </c>
      <c r="P26" s="42">
        <v>28.339848289802152</v>
      </c>
      <c r="Q26" s="42">
        <v>2.6316369858927855E-66</v>
      </c>
      <c r="R26" s="42">
        <v>51083.77080490358</v>
      </c>
      <c r="S26" s="42">
        <v>58733.08137137627</v>
      </c>
      <c r="T26" s="42">
        <v>51083.77080490358</v>
      </c>
      <c r="U26" s="42">
        <v>58733.08137137627</v>
      </c>
      <c r="W26" s="3">
        <v>38384</v>
      </c>
      <c r="X26" s="150">
        <f>+X25+$AD$6</f>
        <v>0</v>
      </c>
      <c r="Y26" s="150"/>
      <c r="Z26" s="151"/>
      <c r="AA26" s="163"/>
      <c r="AB26" s="3">
        <v>39479</v>
      </c>
      <c r="AC26" s="149">
        <f>+AC25+$AG$9</f>
        <v>0</v>
      </c>
      <c r="AF26" s="3">
        <v>40575</v>
      </c>
      <c r="AG26" s="164">
        <f>+AG25+$AG$12</f>
        <v>0</v>
      </c>
      <c r="AH26" s="164"/>
      <c r="AI26" s="164"/>
      <c r="AJ26" s="3">
        <v>41671</v>
      </c>
      <c r="AK26" s="164">
        <f>+AK25+$AG$15</f>
        <v>0</v>
      </c>
      <c r="AL26" s="164"/>
      <c r="AM26" s="6"/>
      <c r="AN26" s="176"/>
    </row>
    <row r="27" spans="1:40" ht="12.75" customHeight="1">
      <c r="A27" s="3">
        <v>37622</v>
      </c>
      <c r="B27" s="118">
        <v>13541692.939645678</v>
      </c>
      <c r="C27" s="108">
        <v>814.4999999999999</v>
      </c>
      <c r="D27" s="108">
        <v>0</v>
      </c>
      <c r="E27" s="9">
        <v>31</v>
      </c>
      <c r="F27" s="50">
        <v>0</v>
      </c>
      <c r="G27" s="9">
        <v>351.912</v>
      </c>
      <c r="H27" s="181">
        <v>0</v>
      </c>
      <c r="I27" s="104">
        <v>217.4935794767718</v>
      </c>
      <c r="J27" s="9">
        <f t="shared" si="0"/>
        <v>13955376.327093657</v>
      </c>
      <c r="K27" s="99">
        <f t="shared" si="1"/>
        <v>413683.3874479793</v>
      </c>
      <c r="L27" s="98">
        <f t="shared" si="2"/>
        <v>0.03054886780343754</v>
      </c>
      <c r="W27" s="3">
        <v>38412</v>
      </c>
      <c r="X27" s="150">
        <f aca="true" t="shared" si="7" ref="X27:X36">+X26+$AD$6</f>
        <v>0</v>
      </c>
      <c r="Y27" s="150"/>
      <c r="Z27" s="165"/>
      <c r="AA27" s="163"/>
      <c r="AB27" s="3">
        <v>39508</v>
      </c>
      <c r="AC27" s="149">
        <f aca="true" t="shared" si="8" ref="AC27:AC36">+AC26+$AG$9</f>
        <v>0</v>
      </c>
      <c r="AF27" s="3">
        <v>40603</v>
      </c>
      <c r="AG27" s="164">
        <f aca="true" t="shared" si="9" ref="AG27:AG36">+AG26+$AG$12</f>
        <v>0</v>
      </c>
      <c r="AH27" s="166"/>
      <c r="AI27" s="166"/>
      <c r="AJ27" s="3">
        <v>41699</v>
      </c>
      <c r="AK27" s="164">
        <f aca="true" t="shared" si="10" ref="AK27:AK36">+AK26+$AG$15</f>
        <v>0</v>
      </c>
      <c r="AL27" s="166"/>
      <c r="AM27" s="6"/>
      <c r="AN27" s="176"/>
    </row>
    <row r="28" spans="1:40" ht="12.75">
      <c r="A28" s="3">
        <v>37653</v>
      </c>
      <c r="B28" s="118">
        <v>12379073.19687354</v>
      </c>
      <c r="C28" s="108">
        <v>699.0000000000001</v>
      </c>
      <c r="D28" s="108">
        <v>0</v>
      </c>
      <c r="E28" s="9">
        <v>28</v>
      </c>
      <c r="F28" s="50">
        <v>0</v>
      </c>
      <c r="G28" s="9">
        <v>319.872</v>
      </c>
      <c r="H28" s="181">
        <v>0</v>
      </c>
      <c r="I28" s="104">
        <v>216.98833538357272</v>
      </c>
      <c r="J28" s="9">
        <f t="shared" si="0"/>
        <v>12913603.468853608</v>
      </c>
      <c r="K28" s="99">
        <f t="shared" si="1"/>
        <v>534530.2719800677</v>
      </c>
      <c r="L28" s="98">
        <f t="shared" si="2"/>
        <v>0.04318015278519144</v>
      </c>
      <c r="W28" s="3">
        <v>38443</v>
      </c>
      <c r="X28" s="150">
        <f t="shared" si="7"/>
        <v>0</v>
      </c>
      <c r="Y28" s="150"/>
      <c r="Z28" s="151"/>
      <c r="AA28" s="163"/>
      <c r="AB28" s="3">
        <v>39539</v>
      </c>
      <c r="AC28" s="149">
        <f t="shared" si="8"/>
        <v>0</v>
      </c>
      <c r="AF28" s="3">
        <v>40634</v>
      </c>
      <c r="AG28" s="164">
        <f t="shared" si="9"/>
        <v>0</v>
      </c>
      <c r="AH28" s="166"/>
      <c r="AI28" s="166"/>
      <c r="AJ28" s="3">
        <v>41730</v>
      </c>
      <c r="AK28" s="164">
        <f t="shared" si="10"/>
        <v>0</v>
      </c>
      <c r="AL28" s="166"/>
      <c r="AM28" s="6"/>
      <c r="AN28" s="176"/>
    </row>
    <row r="29" spans="1:40" ht="12.75">
      <c r="A29" s="3">
        <v>37681</v>
      </c>
      <c r="B29" s="118">
        <v>12561197.593824672</v>
      </c>
      <c r="C29" s="108">
        <v>581.0999999999999</v>
      </c>
      <c r="D29" s="108">
        <v>0</v>
      </c>
      <c r="E29" s="9">
        <v>31</v>
      </c>
      <c r="F29" s="50">
        <v>1</v>
      </c>
      <c r="G29" s="9">
        <v>336.288</v>
      </c>
      <c r="H29" s="181">
        <v>0</v>
      </c>
      <c r="I29" s="104">
        <v>216.4842649875206</v>
      </c>
      <c r="J29" s="9">
        <f t="shared" si="0"/>
        <v>13142411.408413224</v>
      </c>
      <c r="K29" s="99">
        <f t="shared" si="1"/>
        <v>581213.8145885523</v>
      </c>
      <c r="L29" s="98">
        <f t="shared" si="2"/>
        <v>0.046270573346787275</v>
      </c>
      <c r="W29" s="3">
        <v>38473</v>
      </c>
      <c r="X29" s="150">
        <f t="shared" si="7"/>
        <v>0</v>
      </c>
      <c r="Y29" s="150"/>
      <c r="Z29" s="151"/>
      <c r="AA29" s="163"/>
      <c r="AB29" s="3">
        <v>39569</v>
      </c>
      <c r="AC29" s="149">
        <f t="shared" si="8"/>
        <v>0</v>
      </c>
      <c r="AF29" s="3">
        <v>40664</v>
      </c>
      <c r="AG29" s="164">
        <f t="shared" si="9"/>
        <v>0</v>
      </c>
      <c r="AI29" s="6"/>
      <c r="AJ29" s="3">
        <v>41760</v>
      </c>
      <c r="AK29" s="164">
        <f t="shared" si="10"/>
        <v>0</v>
      </c>
      <c r="AL29" s="6"/>
      <c r="AM29" s="6"/>
      <c r="AN29" s="176"/>
    </row>
    <row r="30" spans="1:40" ht="12.75">
      <c r="A30" s="3">
        <v>37712</v>
      </c>
      <c r="B30" s="118">
        <v>11760624.582440613</v>
      </c>
      <c r="C30" s="108">
        <v>372.5000000000001</v>
      </c>
      <c r="D30" s="108">
        <v>2.4</v>
      </c>
      <c r="E30" s="9">
        <v>30</v>
      </c>
      <c r="F30" s="50">
        <v>1</v>
      </c>
      <c r="G30" s="9">
        <v>336.24</v>
      </c>
      <c r="H30" s="181">
        <v>0</v>
      </c>
      <c r="I30" s="104">
        <v>215.98136556208183</v>
      </c>
      <c r="J30" s="9">
        <f t="shared" si="0"/>
        <v>12565447.241491018</v>
      </c>
      <c r="K30" s="99">
        <f t="shared" si="1"/>
        <v>804822.659050405</v>
      </c>
      <c r="L30" s="98">
        <f t="shared" si="2"/>
        <v>0.06843366637619386</v>
      </c>
      <c r="M30" s="28"/>
      <c r="N30" s="28"/>
      <c r="O30" s="28"/>
      <c r="P30" s="28"/>
      <c r="Q30" s="28"/>
      <c r="R30" s="28"/>
      <c r="S30" s="28"/>
      <c r="T30" s="28"/>
      <c r="U30" s="28"/>
      <c r="W30" s="3">
        <v>38504</v>
      </c>
      <c r="X30" s="150">
        <f t="shared" si="7"/>
        <v>0</v>
      </c>
      <c r="Y30" s="150"/>
      <c r="Z30" s="165"/>
      <c r="AA30" s="163"/>
      <c r="AB30" s="3">
        <v>39600</v>
      </c>
      <c r="AC30" s="149">
        <f t="shared" si="8"/>
        <v>0</v>
      </c>
      <c r="AF30" s="3">
        <v>40695</v>
      </c>
      <c r="AG30" s="164">
        <f t="shared" si="9"/>
        <v>0</v>
      </c>
      <c r="AI30" s="6"/>
      <c r="AJ30" s="3">
        <v>41791</v>
      </c>
      <c r="AK30" s="164">
        <f t="shared" si="10"/>
        <v>0</v>
      </c>
      <c r="AL30" s="6"/>
      <c r="AM30" s="6"/>
      <c r="AN30" s="176"/>
    </row>
    <row r="31" spans="1:40" ht="12.75">
      <c r="A31" s="3">
        <v>37742</v>
      </c>
      <c r="B31" s="118">
        <v>11578376.783348776</v>
      </c>
      <c r="C31" s="108">
        <v>177.90000000000003</v>
      </c>
      <c r="D31" s="108">
        <v>0</v>
      </c>
      <c r="E31" s="9">
        <v>31</v>
      </c>
      <c r="F31" s="50">
        <v>1</v>
      </c>
      <c r="G31" s="9">
        <v>336.288</v>
      </c>
      <c r="H31" s="181">
        <v>0</v>
      </c>
      <c r="I31" s="104">
        <v>215.47963438705665</v>
      </c>
      <c r="J31" s="9">
        <f t="shared" si="0"/>
        <v>12277378.585210016</v>
      </c>
      <c r="K31" s="99">
        <f t="shared" si="1"/>
        <v>699001.8018612396</v>
      </c>
      <c r="L31" s="98">
        <f t="shared" si="2"/>
        <v>0.060371312399031256</v>
      </c>
      <c r="M31" s="28"/>
      <c r="N31" s="28"/>
      <c r="O31" s="28"/>
      <c r="P31" s="28"/>
      <c r="Q31" s="28"/>
      <c r="R31" s="28"/>
      <c r="S31" s="28"/>
      <c r="T31" s="28"/>
      <c r="U31" s="28"/>
      <c r="W31" s="3">
        <v>38534</v>
      </c>
      <c r="X31" s="150">
        <f t="shared" si="7"/>
        <v>0</v>
      </c>
      <c r="Y31" s="150"/>
      <c r="Z31" s="151"/>
      <c r="AA31" s="163"/>
      <c r="AB31" s="3">
        <v>39630</v>
      </c>
      <c r="AC31" s="149">
        <f t="shared" si="8"/>
        <v>0</v>
      </c>
      <c r="AF31" s="3">
        <v>40725</v>
      </c>
      <c r="AG31" s="164">
        <f t="shared" si="9"/>
        <v>0</v>
      </c>
      <c r="AI31" s="6"/>
      <c r="AJ31" s="3">
        <v>41821</v>
      </c>
      <c r="AK31" s="164">
        <f t="shared" si="10"/>
        <v>0</v>
      </c>
      <c r="AL31" s="6"/>
      <c r="AM31" s="6"/>
      <c r="AN31" s="176"/>
    </row>
    <row r="32" spans="1:40" ht="12.75">
      <c r="A32" s="3">
        <v>37773</v>
      </c>
      <c r="B32" s="118">
        <v>11981908.38529999</v>
      </c>
      <c r="C32" s="108">
        <v>43.39999999999999</v>
      </c>
      <c r="D32" s="108">
        <v>52.9</v>
      </c>
      <c r="E32" s="9">
        <v>30</v>
      </c>
      <c r="F32" s="50">
        <v>0</v>
      </c>
      <c r="G32" s="9">
        <v>336.24</v>
      </c>
      <c r="H32" s="181">
        <v>0</v>
      </c>
      <c r="I32" s="104">
        <v>214.9790687485644</v>
      </c>
      <c r="J32" s="9">
        <f t="shared" si="0"/>
        <v>12533154.425217912</v>
      </c>
      <c r="K32" s="99">
        <f t="shared" si="1"/>
        <v>551246.0399179216</v>
      </c>
      <c r="L32" s="98">
        <f t="shared" si="2"/>
        <v>0.046006531029248905</v>
      </c>
      <c r="M32" s="28"/>
      <c r="N32" s="28"/>
      <c r="O32" s="28"/>
      <c r="P32" s="28"/>
      <c r="Q32" s="28"/>
      <c r="R32" s="28"/>
      <c r="S32" s="28"/>
      <c r="T32" s="28"/>
      <c r="U32" s="28"/>
      <c r="W32" s="3">
        <v>38565</v>
      </c>
      <c r="X32" s="150">
        <f t="shared" si="7"/>
        <v>0</v>
      </c>
      <c r="Y32" s="150"/>
      <c r="Z32" s="151"/>
      <c r="AA32" s="163"/>
      <c r="AB32" s="3">
        <v>39661</v>
      </c>
      <c r="AC32" s="149">
        <f t="shared" si="8"/>
        <v>0</v>
      </c>
      <c r="AF32" s="3">
        <v>40756</v>
      </c>
      <c r="AG32" s="164">
        <f t="shared" si="9"/>
        <v>0</v>
      </c>
      <c r="AI32" s="6"/>
      <c r="AJ32" s="3">
        <v>41852</v>
      </c>
      <c r="AK32" s="164">
        <f t="shared" si="10"/>
        <v>0</v>
      </c>
      <c r="AL32" s="6"/>
      <c r="AM32" s="6"/>
      <c r="AN32" s="176"/>
    </row>
    <row r="33" spans="1:40" ht="12.75">
      <c r="A33" s="3">
        <v>37803</v>
      </c>
      <c r="B33" s="118">
        <v>12817685.69745549</v>
      </c>
      <c r="C33" s="108">
        <v>0.2</v>
      </c>
      <c r="D33" s="108">
        <v>118.30000000000004</v>
      </c>
      <c r="E33" s="9">
        <v>31</v>
      </c>
      <c r="F33" s="50">
        <v>0</v>
      </c>
      <c r="G33" s="9">
        <v>351.912</v>
      </c>
      <c r="H33" s="138">
        <v>0</v>
      </c>
      <c r="I33" s="104">
        <v>214.47966593902882</v>
      </c>
      <c r="J33" s="9">
        <f t="shared" si="0"/>
        <v>13438622.21794651</v>
      </c>
      <c r="K33" s="99">
        <f t="shared" si="1"/>
        <v>620936.5204910208</v>
      </c>
      <c r="L33" s="98">
        <f t="shared" si="2"/>
        <v>0.04844373119667666</v>
      </c>
      <c r="M33" s="28"/>
      <c r="N33" s="28"/>
      <c r="O33" s="28"/>
      <c r="P33" s="28"/>
      <c r="Q33" s="28"/>
      <c r="R33" s="28"/>
      <c r="S33" s="28"/>
      <c r="T33" s="28"/>
      <c r="U33" s="28"/>
      <c r="W33" s="3">
        <v>38596</v>
      </c>
      <c r="X33" s="150">
        <f t="shared" si="7"/>
        <v>0</v>
      </c>
      <c r="Y33" s="150"/>
      <c r="Z33" s="165"/>
      <c r="AA33" s="163"/>
      <c r="AB33" s="3">
        <v>39692</v>
      </c>
      <c r="AC33" s="149">
        <f t="shared" si="8"/>
        <v>0</v>
      </c>
      <c r="AF33" s="3">
        <v>40787</v>
      </c>
      <c r="AG33" s="164">
        <f t="shared" si="9"/>
        <v>0</v>
      </c>
      <c r="AI33" s="6"/>
      <c r="AJ33" s="3">
        <v>41883</v>
      </c>
      <c r="AK33" s="164">
        <f t="shared" si="10"/>
        <v>0</v>
      </c>
      <c r="AL33" s="6"/>
      <c r="AM33" s="6"/>
      <c r="AN33" s="176"/>
    </row>
    <row r="34" spans="1:40" ht="12.75">
      <c r="A34" s="3">
        <v>37834</v>
      </c>
      <c r="B34" s="118">
        <v>11859381.793454926</v>
      </c>
      <c r="C34" s="108">
        <v>2</v>
      </c>
      <c r="D34" s="108">
        <v>128</v>
      </c>
      <c r="E34" s="9">
        <v>31</v>
      </c>
      <c r="F34" s="50">
        <v>0</v>
      </c>
      <c r="G34" s="9">
        <v>319.92</v>
      </c>
      <c r="H34" s="138">
        <v>1</v>
      </c>
      <c r="I34" s="104">
        <v>213.98142325716344</v>
      </c>
      <c r="J34" s="9">
        <f t="shared" si="0"/>
        <v>11859381.793454945</v>
      </c>
      <c r="K34" s="99">
        <f t="shared" si="1"/>
        <v>1.862645149230957E-08</v>
      </c>
      <c r="L34" s="98">
        <f t="shared" si="2"/>
        <v>1.5706089758059162E-15</v>
      </c>
      <c r="M34" s="28"/>
      <c r="N34" s="28"/>
      <c r="O34" s="28"/>
      <c r="P34" s="28"/>
      <c r="Q34" s="28"/>
      <c r="R34" s="28"/>
      <c r="S34" s="28"/>
      <c r="T34" s="28"/>
      <c r="U34" s="28"/>
      <c r="W34" s="3">
        <v>38626</v>
      </c>
      <c r="X34" s="150">
        <f t="shared" si="7"/>
        <v>0</v>
      </c>
      <c r="Y34" s="150"/>
      <c r="Z34" s="151"/>
      <c r="AA34" s="163"/>
      <c r="AB34" s="3">
        <v>39722</v>
      </c>
      <c r="AC34" s="149">
        <f t="shared" si="8"/>
        <v>0</v>
      </c>
      <c r="AF34" s="3">
        <v>40817</v>
      </c>
      <c r="AG34" s="164">
        <f t="shared" si="9"/>
        <v>0</v>
      </c>
      <c r="AI34" s="6"/>
      <c r="AJ34" s="3">
        <v>41913</v>
      </c>
      <c r="AK34" s="164">
        <f t="shared" si="10"/>
        <v>0</v>
      </c>
      <c r="AL34" s="6"/>
      <c r="AM34" s="6"/>
      <c r="AN34" s="176"/>
    </row>
    <row r="35" spans="1:40" ht="12.75">
      <c r="A35" s="3">
        <v>37865</v>
      </c>
      <c r="B35" s="118">
        <v>12033102.873123253</v>
      </c>
      <c r="C35" s="108">
        <v>54.9</v>
      </c>
      <c r="D35" s="108">
        <v>24</v>
      </c>
      <c r="E35" s="9">
        <v>30</v>
      </c>
      <c r="F35" s="50">
        <v>1</v>
      </c>
      <c r="G35" s="9">
        <v>336.24</v>
      </c>
      <c r="H35" s="138">
        <v>0</v>
      </c>
      <c r="I35" s="104">
        <v>213.484338007957</v>
      </c>
      <c r="J35" s="9">
        <f aca="true" t="shared" si="11" ref="J35:J66">$N$19+C35*$N$20+D35*$N$21+E35*$N$22+F35*$N$23+G35*$N$24+H35*$N$25+I35*$N$26</f>
        <v>12024909.918910483</v>
      </c>
      <c r="K35" s="99">
        <f aca="true" t="shared" si="12" ref="K35:K66">+J35-B35</f>
        <v>-8192.954212769866</v>
      </c>
      <c r="L35" s="98">
        <f aca="true" t="shared" si="13" ref="L35:L66">+K35/B35</f>
        <v>-0.0006808679605880693</v>
      </c>
      <c r="M35" s="28"/>
      <c r="N35" s="28"/>
      <c r="O35" s="28"/>
      <c r="P35" s="28"/>
      <c r="Q35" s="28"/>
      <c r="R35" s="28"/>
      <c r="S35" s="28"/>
      <c r="T35" s="28"/>
      <c r="U35" s="28"/>
      <c r="W35" s="3">
        <v>38657</v>
      </c>
      <c r="X35" s="150">
        <f t="shared" si="7"/>
        <v>0</v>
      </c>
      <c r="Y35" s="150"/>
      <c r="Z35" s="151"/>
      <c r="AA35" s="163"/>
      <c r="AB35" s="3">
        <v>39753</v>
      </c>
      <c r="AC35" s="149">
        <f t="shared" si="8"/>
        <v>0</v>
      </c>
      <c r="AF35" s="3">
        <v>40848</v>
      </c>
      <c r="AG35" s="164">
        <f t="shared" si="9"/>
        <v>0</v>
      </c>
      <c r="AI35" s="6"/>
      <c r="AJ35" s="3">
        <v>41944</v>
      </c>
      <c r="AK35" s="164">
        <f t="shared" si="10"/>
        <v>0</v>
      </c>
      <c r="AL35" s="6"/>
      <c r="AM35" s="6"/>
      <c r="AN35" s="176"/>
    </row>
    <row r="36" spans="1:40" ht="12.75">
      <c r="A36" s="3">
        <v>37895</v>
      </c>
      <c r="B36" s="118">
        <v>12474757.888825268</v>
      </c>
      <c r="C36" s="108">
        <v>276</v>
      </c>
      <c r="D36" s="108">
        <v>0</v>
      </c>
      <c r="E36" s="9">
        <v>31</v>
      </c>
      <c r="F36" s="50">
        <v>1</v>
      </c>
      <c r="G36" s="9">
        <v>351.912</v>
      </c>
      <c r="H36" s="138">
        <v>0</v>
      </c>
      <c r="I36" s="104">
        <v>212.9884075026588</v>
      </c>
      <c r="J36" s="9">
        <f t="shared" si="11"/>
        <v>12490857.262728475</v>
      </c>
      <c r="K36" s="99">
        <f t="shared" si="12"/>
        <v>16099.37390320748</v>
      </c>
      <c r="L36" s="98">
        <f t="shared" si="13"/>
        <v>0.001290556020941224</v>
      </c>
      <c r="M36" s="28"/>
      <c r="N36" s="28"/>
      <c r="O36" s="28"/>
      <c r="P36" s="28"/>
      <c r="Q36" s="28"/>
      <c r="R36" s="28"/>
      <c r="S36" s="28"/>
      <c r="T36" s="28"/>
      <c r="U36" s="28"/>
      <c r="W36" s="3">
        <v>38687</v>
      </c>
      <c r="X36" s="150">
        <f t="shared" si="7"/>
        <v>0</v>
      </c>
      <c r="Y36" s="150"/>
      <c r="Z36" s="6">
        <f>SUM(X25:X36)</f>
        <v>0</v>
      </c>
      <c r="AA36" s="163">
        <f>+X36*12</f>
        <v>0</v>
      </c>
      <c r="AB36" s="3">
        <v>39783</v>
      </c>
      <c r="AC36" s="149">
        <f t="shared" si="8"/>
        <v>0</v>
      </c>
      <c r="AD36" s="6">
        <f>SUM(AC25:AC36)</f>
        <v>0</v>
      </c>
      <c r="AE36" s="6">
        <f>+AC36*12</f>
        <v>0</v>
      </c>
      <c r="AF36" s="3">
        <v>40878</v>
      </c>
      <c r="AG36" s="164">
        <f t="shared" si="9"/>
        <v>0</v>
      </c>
      <c r="AH36" s="6">
        <f>SUM(AG25:AG36)</f>
        <v>0</v>
      </c>
      <c r="AI36" s="6">
        <f>+AG36*12</f>
        <v>0</v>
      </c>
      <c r="AJ36" s="3">
        <v>41974</v>
      </c>
      <c r="AK36" s="164">
        <f t="shared" si="10"/>
        <v>0</v>
      </c>
      <c r="AL36" s="6">
        <f>SUM(AK25:AK36)</f>
        <v>0</v>
      </c>
      <c r="AM36" s="6">
        <f>+AK36*12</f>
        <v>0</v>
      </c>
      <c r="AN36" s="176"/>
    </row>
    <row r="37" spans="1:42" ht="12.75">
      <c r="A37" s="3">
        <v>37926</v>
      </c>
      <c r="B37" s="118">
        <v>12313794.28706795</v>
      </c>
      <c r="C37" s="108">
        <v>398.5</v>
      </c>
      <c r="D37" s="108">
        <v>0</v>
      </c>
      <c r="E37" s="9">
        <v>30</v>
      </c>
      <c r="F37" s="50">
        <v>1</v>
      </c>
      <c r="G37" s="9">
        <v>319.68</v>
      </c>
      <c r="H37" s="138">
        <v>0</v>
      </c>
      <c r="I37" s="104">
        <v>212.49362905876413</v>
      </c>
      <c r="J37" s="9">
        <f t="shared" si="11"/>
        <v>12237705.864144865</v>
      </c>
      <c r="K37" s="99">
        <f t="shared" si="12"/>
        <v>-76088.42292308435</v>
      </c>
      <c r="L37" s="98">
        <f t="shared" si="13"/>
        <v>-0.006179120841980692</v>
      </c>
      <c r="M37" s="28"/>
      <c r="N37" s="28"/>
      <c r="O37" s="28"/>
      <c r="P37" s="28"/>
      <c r="Q37" s="28"/>
      <c r="R37" s="28"/>
      <c r="S37" s="28"/>
      <c r="T37" s="28"/>
      <c r="U37" s="28"/>
      <c r="W37" s="3">
        <v>38718</v>
      </c>
      <c r="X37" s="6">
        <f>+X36+$AD$7</f>
        <v>0</v>
      </c>
      <c r="Y37" s="6"/>
      <c r="AB37" s="3">
        <v>39814</v>
      </c>
      <c r="AC37" s="6">
        <f>+AC36+$AG$10</f>
        <v>0</v>
      </c>
      <c r="AF37" s="3">
        <v>40909</v>
      </c>
      <c r="AG37" s="167">
        <f>+AG36+$AG$13</f>
        <v>0</v>
      </c>
      <c r="AI37" s="6"/>
      <c r="AJ37" s="168">
        <v>42005</v>
      </c>
      <c r="AK37" s="169"/>
      <c r="AL37" s="6"/>
      <c r="AM37" s="6"/>
      <c r="AN37" s="40"/>
      <c r="AO37" s="40">
        <f>+$AG$16</f>
        <v>9514.368080488755</v>
      </c>
      <c r="AP37" s="40">
        <f>+AO37</f>
        <v>9514.368080488755</v>
      </c>
    </row>
    <row r="38" spans="1:42" ht="12.75">
      <c r="A38" s="3">
        <v>37956</v>
      </c>
      <c r="B38" s="118">
        <v>12761783.923445811</v>
      </c>
      <c r="C38" s="108">
        <v>561.5000000000001</v>
      </c>
      <c r="D38" s="108">
        <v>0</v>
      </c>
      <c r="E38" s="9">
        <v>31</v>
      </c>
      <c r="F38" s="50">
        <v>0</v>
      </c>
      <c r="G38" s="9">
        <v>336.288</v>
      </c>
      <c r="H38" s="138">
        <v>0</v>
      </c>
      <c r="I38" s="104">
        <v>212</v>
      </c>
      <c r="J38" s="9">
        <f t="shared" si="11"/>
        <v>12992331.353839885</v>
      </c>
      <c r="K38" s="99">
        <f t="shared" si="12"/>
        <v>230547.43039407395</v>
      </c>
      <c r="L38" s="98">
        <f t="shared" si="13"/>
        <v>0.01806545478101339</v>
      </c>
      <c r="M38" s="28"/>
      <c r="N38" s="28"/>
      <c r="O38" s="28"/>
      <c r="P38" s="28"/>
      <c r="Q38" s="28"/>
      <c r="R38" s="28"/>
      <c r="S38" s="28"/>
      <c r="T38" s="28"/>
      <c r="U38" s="28"/>
      <c r="W38" s="3">
        <v>38749</v>
      </c>
      <c r="X38" s="6">
        <f aca="true" t="shared" si="14" ref="X38:X48">+X37+$AD$7</f>
        <v>0</v>
      </c>
      <c r="Y38" s="6"/>
      <c r="AB38" s="3">
        <v>39845</v>
      </c>
      <c r="AC38" s="6">
        <f aca="true" t="shared" si="15" ref="AC38:AC48">+AC37+$AG$10</f>
        <v>0</v>
      </c>
      <c r="AF38" s="3">
        <v>40940</v>
      </c>
      <c r="AG38" s="167">
        <f aca="true" t="shared" si="16" ref="AG38:AG48">+AG37+$AG$13</f>
        <v>0</v>
      </c>
      <c r="AI38" s="6"/>
      <c r="AJ38" s="170">
        <v>42036</v>
      </c>
      <c r="AK38" s="171"/>
      <c r="AL38" s="6"/>
      <c r="AM38" s="6"/>
      <c r="AN38" s="40"/>
      <c r="AO38" s="40">
        <f aca="true" t="shared" si="17" ref="AO38:AO48">+$AG$16</f>
        <v>9514.368080488755</v>
      </c>
      <c r="AP38" s="40">
        <f>+AO37+AO38</f>
        <v>19028.73616097751</v>
      </c>
    </row>
    <row r="39" spans="1:42" ht="12.75">
      <c r="A39" s="3">
        <v>37987</v>
      </c>
      <c r="B39" s="118">
        <v>13863513.257816084</v>
      </c>
      <c r="C39" s="108">
        <v>849.0999999999999</v>
      </c>
      <c r="D39" s="108">
        <v>0</v>
      </c>
      <c r="E39" s="9">
        <v>31</v>
      </c>
      <c r="F39" s="50">
        <v>0</v>
      </c>
      <c r="G39" s="9">
        <v>336.288</v>
      </c>
      <c r="H39" s="138">
        <v>0</v>
      </c>
      <c r="I39" s="104">
        <v>213.36712041249268</v>
      </c>
      <c r="J39" s="9">
        <f t="shared" si="11"/>
        <v>13645073.01145958</v>
      </c>
      <c r="K39" s="99">
        <f t="shared" si="12"/>
        <v>-218440.24635650404</v>
      </c>
      <c r="L39" s="98">
        <f t="shared" si="13"/>
        <v>-0.015756485552704327</v>
      </c>
      <c r="M39" s="28"/>
      <c r="N39" s="28"/>
      <c r="O39" s="28"/>
      <c r="P39" s="28"/>
      <c r="Q39" s="28"/>
      <c r="R39" s="28"/>
      <c r="S39" s="28"/>
      <c r="T39" s="28"/>
      <c r="U39" s="28"/>
      <c r="W39" s="3">
        <v>38777</v>
      </c>
      <c r="X39" s="6">
        <f t="shared" si="14"/>
        <v>0</v>
      </c>
      <c r="Y39" s="6"/>
      <c r="AB39" s="3">
        <v>39873</v>
      </c>
      <c r="AC39" s="6">
        <f t="shared" si="15"/>
        <v>0</v>
      </c>
      <c r="AF39" s="3">
        <v>40969</v>
      </c>
      <c r="AG39" s="167">
        <f t="shared" si="16"/>
        <v>0</v>
      </c>
      <c r="AI39" s="6"/>
      <c r="AJ39" s="170">
        <v>42064</v>
      </c>
      <c r="AK39" s="171"/>
      <c r="AL39" s="6"/>
      <c r="AM39" s="6"/>
      <c r="AN39" s="40"/>
      <c r="AO39" s="40">
        <f t="shared" si="17"/>
        <v>9514.368080488755</v>
      </c>
      <c r="AP39" s="40">
        <f>+AP38+AO39</f>
        <v>28543.104241466266</v>
      </c>
    </row>
    <row r="40" spans="1:42" ht="12.75">
      <c r="A40" s="3">
        <v>38018</v>
      </c>
      <c r="B40" s="118">
        <v>12891274.756819451</v>
      </c>
      <c r="C40" s="108">
        <v>631.7</v>
      </c>
      <c r="D40" s="108">
        <v>0</v>
      </c>
      <c r="E40" s="9">
        <v>29</v>
      </c>
      <c r="F40" s="50">
        <v>0</v>
      </c>
      <c r="G40" s="9">
        <v>320.16</v>
      </c>
      <c r="H40" s="138">
        <v>0</v>
      </c>
      <c r="I40" s="104">
        <v>214.74305694867522</v>
      </c>
      <c r="J40" s="9">
        <f t="shared" si="11"/>
        <v>12813904.645158336</v>
      </c>
      <c r="K40" s="99">
        <f t="shared" si="12"/>
        <v>-77370.11166111566</v>
      </c>
      <c r="L40" s="98">
        <f t="shared" si="13"/>
        <v>-0.00600174250573529</v>
      </c>
      <c r="M40" s="28"/>
      <c r="N40" s="28"/>
      <c r="O40" s="28"/>
      <c r="P40" s="28"/>
      <c r="Q40" s="28"/>
      <c r="R40" s="28"/>
      <c r="S40" s="28"/>
      <c r="T40" s="28"/>
      <c r="U40" s="28"/>
      <c r="W40" s="3">
        <v>38808</v>
      </c>
      <c r="X40" s="6">
        <f t="shared" si="14"/>
        <v>0</v>
      </c>
      <c r="Y40" s="6"/>
      <c r="AB40" s="3">
        <v>39904</v>
      </c>
      <c r="AC40" s="6">
        <f t="shared" si="15"/>
        <v>0</v>
      </c>
      <c r="AF40" s="3">
        <v>41000</v>
      </c>
      <c r="AG40" s="167">
        <f t="shared" si="16"/>
        <v>0</v>
      </c>
      <c r="AI40" s="6"/>
      <c r="AJ40" s="170">
        <v>42095</v>
      </c>
      <c r="AK40" s="171"/>
      <c r="AL40" s="6"/>
      <c r="AM40" s="6"/>
      <c r="AN40" s="40"/>
      <c r="AO40" s="40">
        <f t="shared" si="17"/>
        <v>9514.368080488755</v>
      </c>
      <c r="AP40" s="40">
        <f aca="true" t="shared" si="18" ref="AP40:AP48">+AP39+AO40</f>
        <v>38057.47232195502</v>
      </c>
    </row>
    <row r="41" spans="1:42" ht="12.75">
      <c r="A41" s="3">
        <v>38047</v>
      </c>
      <c r="B41" s="118">
        <v>13308532.217817154</v>
      </c>
      <c r="C41" s="108">
        <v>487.29999999999995</v>
      </c>
      <c r="D41" s="108">
        <v>0</v>
      </c>
      <c r="E41" s="9">
        <v>31</v>
      </c>
      <c r="F41" s="50">
        <v>1</v>
      </c>
      <c r="G41" s="9">
        <v>368.28</v>
      </c>
      <c r="H41" s="138">
        <v>0</v>
      </c>
      <c r="I41" s="104">
        <v>216.12786646091865</v>
      </c>
      <c r="J41" s="9">
        <f t="shared" si="11"/>
        <v>13248178.660703888</v>
      </c>
      <c r="K41" s="99">
        <f t="shared" si="12"/>
        <v>-60353.55711326562</v>
      </c>
      <c r="L41" s="98">
        <f t="shared" si="13"/>
        <v>-0.004534952173949406</v>
      </c>
      <c r="M41" s="28"/>
      <c r="N41" s="28"/>
      <c r="O41" s="28"/>
      <c r="P41" s="28"/>
      <c r="Q41" s="28"/>
      <c r="R41" s="28"/>
      <c r="S41" s="28"/>
      <c r="T41" s="28"/>
      <c r="U41" s="28"/>
      <c r="W41" s="3">
        <v>38838</v>
      </c>
      <c r="X41" s="6">
        <f t="shared" si="14"/>
        <v>0</v>
      </c>
      <c r="Y41" s="6"/>
      <c r="AB41" s="3">
        <v>39934</v>
      </c>
      <c r="AC41" s="6">
        <f t="shared" si="15"/>
        <v>0</v>
      </c>
      <c r="AF41" s="3">
        <v>41030</v>
      </c>
      <c r="AG41" s="167">
        <f t="shared" si="16"/>
        <v>0</v>
      </c>
      <c r="AI41" s="6"/>
      <c r="AJ41" s="170">
        <v>42125</v>
      </c>
      <c r="AK41" s="171"/>
      <c r="AL41" s="6"/>
      <c r="AM41" s="6"/>
      <c r="AN41" s="40"/>
      <c r="AO41" s="40">
        <f t="shared" si="17"/>
        <v>9514.368080488755</v>
      </c>
      <c r="AP41" s="40">
        <f t="shared" si="18"/>
        <v>47571.84040244378</v>
      </c>
    </row>
    <row r="42" spans="1:42" ht="12.75">
      <c r="A42" s="3">
        <v>38078</v>
      </c>
      <c r="B42" s="118">
        <v>12295332.977800751</v>
      </c>
      <c r="C42" s="108">
        <v>331.49999999999994</v>
      </c>
      <c r="D42" s="108">
        <v>0</v>
      </c>
      <c r="E42" s="9">
        <v>30</v>
      </c>
      <c r="F42" s="50">
        <v>1</v>
      </c>
      <c r="G42" s="9">
        <v>336.24</v>
      </c>
      <c r="H42" s="138">
        <v>0</v>
      </c>
      <c r="I42" s="104">
        <v>217.52160616821683</v>
      </c>
      <c r="J42" s="9">
        <f t="shared" si="11"/>
        <v>12541610.568007436</v>
      </c>
      <c r="K42" s="99">
        <f t="shared" si="12"/>
        <v>246277.59020668454</v>
      </c>
      <c r="L42" s="98">
        <f t="shared" si="13"/>
        <v>0.020030168410350435</v>
      </c>
      <c r="M42" s="28"/>
      <c r="N42" s="28"/>
      <c r="O42" s="28"/>
      <c r="P42" s="28"/>
      <c r="Q42" s="28"/>
      <c r="R42" s="28"/>
      <c r="S42" s="28"/>
      <c r="T42" s="28"/>
      <c r="U42" s="28"/>
      <c r="W42" s="3">
        <v>38869</v>
      </c>
      <c r="X42" s="6">
        <f t="shared" si="14"/>
        <v>0</v>
      </c>
      <c r="Y42" s="6"/>
      <c r="AB42" s="3">
        <v>39965</v>
      </c>
      <c r="AC42" s="6">
        <f t="shared" si="15"/>
        <v>0</v>
      </c>
      <c r="AF42" s="3">
        <v>41061</v>
      </c>
      <c r="AG42" s="167">
        <f t="shared" si="16"/>
        <v>0</v>
      </c>
      <c r="AI42" s="6"/>
      <c r="AJ42" s="170">
        <v>42156</v>
      </c>
      <c r="AK42" s="171"/>
      <c r="AL42" s="6"/>
      <c r="AM42" s="6"/>
      <c r="AN42" s="40"/>
      <c r="AO42" s="40">
        <f t="shared" si="17"/>
        <v>9514.368080488755</v>
      </c>
      <c r="AP42" s="40">
        <f t="shared" si="18"/>
        <v>57086.20848293253</v>
      </c>
    </row>
    <row r="43" spans="1:42" ht="12.75">
      <c r="A43" s="3">
        <v>38108</v>
      </c>
      <c r="B43" s="118">
        <v>12340125.761205168</v>
      </c>
      <c r="C43" s="108">
        <v>158.9</v>
      </c>
      <c r="D43" s="108">
        <v>8.6</v>
      </c>
      <c r="E43" s="9">
        <v>31</v>
      </c>
      <c r="F43" s="50">
        <v>1</v>
      </c>
      <c r="G43" s="9">
        <v>319.92</v>
      </c>
      <c r="H43" s="138">
        <v>0</v>
      </c>
      <c r="I43" s="104">
        <v>218.9243336585506</v>
      </c>
      <c r="J43" s="9">
        <f t="shared" si="11"/>
        <v>12361205.295889523</v>
      </c>
      <c r="K43" s="99">
        <f t="shared" si="12"/>
        <v>21079.53468435444</v>
      </c>
      <c r="L43" s="98">
        <f t="shared" si="13"/>
        <v>0.0017082106853905966</v>
      </c>
      <c r="M43" s="28"/>
      <c r="N43" s="28"/>
      <c r="O43" s="28"/>
      <c r="P43" s="28"/>
      <c r="Q43" s="28"/>
      <c r="R43" s="28"/>
      <c r="S43" s="28"/>
      <c r="T43" s="28"/>
      <c r="U43" s="28"/>
      <c r="W43" s="3">
        <v>38899</v>
      </c>
      <c r="X43" s="6">
        <f t="shared" si="14"/>
        <v>0</v>
      </c>
      <c r="Y43" s="6"/>
      <c r="AB43" s="3">
        <v>39995</v>
      </c>
      <c r="AC43" s="6">
        <f t="shared" si="15"/>
        <v>0</v>
      </c>
      <c r="AF43" s="3">
        <v>41091</v>
      </c>
      <c r="AG43" s="167">
        <f t="shared" si="16"/>
        <v>0</v>
      </c>
      <c r="AI43" s="6"/>
      <c r="AJ43" s="170">
        <v>42186</v>
      </c>
      <c r="AK43" s="171"/>
      <c r="AL43" s="6"/>
      <c r="AM43" s="6"/>
      <c r="AN43" s="40"/>
      <c r="AO43" s="40">
        <f t="shared" si="17"/>
        <v>9514.368080488755</v>
      </c>
      <c r="AP43" s="40">
        <f t="shared" si="18"/>
        <v>66600.57656342129</v>
      </c>
    </row>
    <row r="44" spans="1:42" ht="12.75">
      <c r="A44" s="3">
        <v>38139</v>
      </c>
      <c r="B44" s="118">
        <v>12823937.003584012</v>
      </c>
      <c r="C44" s="108">
        <v>44.199999999999996</v>
      </c>
      <c r="D44" s="108">
        <v>31.600000000000005</v>
      </c>
      <c r="E44" s="9">
        <v>30</v>
      </c>
      <c r="F44" s="50">
        <v>0</v>
      </c>
      <c r="G44" s="9">
        <v>352.08</v>
      </c>
      <c r="H44" s="138">
        <v>0</v>
      </c>
      <c r="I44" s="104">
        <v>220.3361068912674</v>
      </c>
      <c r="J44" s="9">
        <f t="shared" si="11"/>
        <v>12753002.918203318</v>
      </c>
      <c r="K44" s="99">
        <f t="shared" si="12"/>
        <v>-70934.0853806939</v>
      </c>
      <c r="L44" s="98">
        <f t="shared" si="13"/>
        <v>-0.005531381303640946</v>
      </c>
      <c r="M44" s="28"/>
      <c r="N44" s="28"/>
      <c r="O44" s="28"/>
      <c r="P44" s="28"/>
      <c r="Q44" s="28"/>
      <c r="R44" s="28"/>
      <c r="S44" s="28"/>
      <c r="T44" s="28"/>
      <c r="U44" s="28"/>
      <c r="W44" s="3">
        <v>38930</v>
      </c>
      <c r="X44" s="6">
        <f t="shared" si="14"/>
        <v>0</v>
      </c>
      <c r="Y44" s="6"/>
      <c r="AB44" s="3">
        <v>40026</v>
      </c>
      <c r="AC44" s="6">
        <f t="shared" si="15"/>
        <v>0</v>
      </c>
      <c r="AF44" s="3">
        <v>41122</v>
      </c>
      <c r="AG44" s="167">
        <f t="shared" si="16"/>
        <v>0</v>
      </c>
      <c r="AI44" s="6"/>
      <c r="AJ44" s="170">
        <v>42217</v>
      </c>
      <c r="AK44" s="171"/>
      <c r="AL44" s="6"/>
      <c r="AM44" s="6"/>
      <c r="AN44" s="40"/>
      <c r="AO44" s="40">
        <f t="shared" si="17"/>
        <v>9514.368080488755</v>
      </c>
      <c r="AP44" s="40">
        <f t="shared" si="18"/>
        <v>76114.94464391004</v>
      </c>
    </row>
    <row r="45" spans="1:42" ht="12.75">
      <c r="A45" s="3">
        <v>38169</v>
      </c>
      <c r="B45" s="118">
        <v>12991007.129981335</v>
      </c>
      <c r="C45" s="108">
        <v>3.6000000000000005</v>
      </c>
      <c r="D45" s="108">
        <v>86.4</v>
      </c>
      <c r="E45" s="9">
        <v>31</v>
      </c>
      <c r="F45" s="50">
        <v>0</v>
      </c>
      <c r="G45" s="9">
        <v>336.288</v>
      </c>
      <c r="H45" s="138">
        <v>0</v>
      </c>
      <c r="I45" s="104">
        <v>221.756984199476</v>
      </c>
      <c r="J45" s="9">
        <f t="shared" si="11"/>
        <v>13345486.247395566</v>
      </c>
      <c r="K45" s="99">
        <f t="shared" si="12"/>
        <v>354479.1174142305</v>
      </c>
      <c r="L45" s="98">
        <f t="shared" si="13"/>
        <v>0.027286500104841353</v>
      </c>
      <c r="M45" s="28"/>
      <c r="N45" s="28"/>
      <c r="O45" s="28"/>
      <c r="P45" s="28"/>
      <c r="Q45" s="28"/>
      <c r="R45" s="28"/>
      <c r="S45" s="28"/>
      <c r="T45" s="28"/>
      <c r="U45" s="28"/>
      <c r="W45" s="3">
        <v>38961</v>
      </c>
      <c r="X45" s="6">
        <f t="shared" si="14"/>
        <v>0</v>
      </c>
      <c r="Y45" s="6"/>
      <c r="AB45" s="3">
        <v>40057</v>
      </c>
      <c r="AC45" s="6">
        <f t="shared" si="15"/>
        <v>0</v>
      </c>
      <c r="AF45" s="3">
        <v>41153</v>
      </c>
      <c r="AG45" s="167">
        <f t="shared" si="16"/>
        <v>0</v>
      </c>
      <c r="AI45" s="6"/>
      <c r="AJ45" s="170">
        <v>42248</v>
      </c>
      <c r="AK45" s="171"/>
      <c r="AL45" s="6"/>
      <c r="AM45" s="6"/>
      <c r="AN45" s="40"/>
      <c r="AO45" s="40">
        <f t="shared" si="17"/>
        <v>9514.368080488755</v>
      </c>
      <c r="AP45" s="40">
        <f t="shared" si="18"/>
        <v>85629.3127243988</v>
      </c>
    </row>
    <row r="46" spans="1:43" ht="12.75">
      <c r="A46" s="3">
        <v>38200</v>
      </c>
      <c r="B46" s="118">
        <v>13137344.213875098</v>
      </c>
      <c r="C46" s="108">
        <v>12.799999999999999</v>
      </c>
      <c r="D46" s="108">
        <v>59.6</v>
      </c>
      <c r="E46" s="9">
        <v>31</v>
      </c>
      <c r="F46" s="50">
        <v>0</v>
      </c>
      <c r="G46" s="9">
        <v>336.288</v>
      </c>
      <c r="H46" s="138">
        <v>0</v>
      </c>
      <c r="I46" s="104">
        <v>223.18702429245675</v>
      </c>
      <c r="J46" s="9">
        <f t="shared" si="11"/>
        <v>13151528.070011014</v>
      </c>
      <c r="K46" s="99">
        <f t="shared" si="12"/>
        <v>14183.856135915965</v>
      </c>
      <c r="L46" s="98">
        <f t="shared" si="13"/>
        <v>0.0010796593211690065</v>
      </c>
      <c r="M46" s="28"/>
      <c r="N46" s="28"/>
      <c r="O46" s="28"/>
      <c r="P46" s="28"/>
      <c r="Q46" s="28"/>
      <c r="R46" s="28"/>
      <c r="S46" s="28"/>
      <c r="T46" s="28"/>
      <c r="U46" s="28"/>
      <c r="W46" s="3">
        <v>38991</v>
      </c>
      <c r="X46" s="6">
        <f t="shared" si="14"/>
        <v>0</v>
      </c>
      <c r="Y46" s="6"/>
      <c r="AB46" s="3">
        <v>40087</v>
      </c>
      <c r="AC46" s="6">
        <f t="shared" si="15"/>
        <v>0</v>
      </c>
      <c r="AF46" s="3">
        <v>41183</v>
      </c>
      <c r="AG46" s="167">
        <f t="shared" si="16"/>
        <v>0</v>
      </c>
      <c r="AI46" s="6"/>
      <c r="AJ46" s="170">
        <v>42278</v>
      </c>
      <c r="AK46" s="171"/>
      <c r="AL46" s="6"/>
      <c r="AM46" s="6"/>
      <c r="AN46" s="40"/>
      <c r="AO46" s="40">
        <f t="shared" si="17"/>
        <v>9514.368080488755</v>
      </c>
      <c r="AP46" s="40">
        <f t="shared" si="18"/>
        <v>95143.68080488755</v>
      </c>
      <c r="AQ46" s="40">
        <f>SUM(AP37:AP46)</f>
        <v>523290.24442688155</v>
      </c>
    </row>
    <row r="47" spans="1:42" ht="12.75">
      <c r="A47" s="3">
        <v>38231</v>
      </c>
      <c r="B47" s="118">
        <v>13290380.38503308</v>
      </c>
      <c r="C47" s="108">
        <v>30.000000000000004</v>
      </c>
      <c r="D47" s="108">
        <v>41.2</v>
      </c>
      <c r="E47" s="9">
        <v>30</v>
      </c>
      <c r="F47" s="50">
        <v>1</v>
      </c>
      <c r="G47" s="9">
        <v>336.24</v>
      </c>
      <c r="H47" s="138">
        <v>0</v>
      </c>
      <c r="I47" s="104">
        <v>224.62628625808748</v>
      </c>
      <c r="J47" s="9">
        <f t="shared" si="11"/>
        <v>12773417.088128325</v>
      </c>
      <c r="K47" s="99">
        <f t="shared" si="12"/>
        <v>-516963.29690475576</v>
      </c>
      <c r="L47" s="98">
        <f t="shared" si="13"/>
        <v>-0.03889755461679128</v>
      </c>
      <c r="M47" s="28"/>
      <c r="N47" s="28"/>
      <c r="O47" s="28"/>
      <c r="P47" s="28"/>
      <c r="Q47" s="28"/>
      <c r="R47" s="28"/>
      <c r="S47" s="28"/>
      <c r="T47" s="28"/>
      <c r="U47" s="28"/>
      <c r="W47" s="3">
        <v>39022</v>
      </c>
      <c r="X47" s="6">
        <f t="shared" si="14"/>
        <v>0</v>
      </c>
      <c r="Y47" s="6"/>
      <c r="AB47" s="3">
        <v>40118</v>
      </c>
      <c r="AC47" s="6">
        <f t="shared" si="15"/>
        <v>0</v>
      </c>
      <c r="AF47" s="3">
        <v>41214</v>
      </c>
      <c r="AG47" s="167">
        <f t="shared" si="16"/>
        <v>0</v>
      </c>
      <c r="AI47" s="6"/>
      <c r="AJ47" s="170">
        <v>42309</v>
      </c>
      <c r="AK47" s="207">
        <f>+$AG$16*11</f>
        <v>104658.04888537631</v>
      </c>
      <c r="AL47" s="6"/>
      <c r="AM47" s="6"/>
      <c r="AN47" s="40"/>
      <c r="AO47" s="40">
        <f t="shared" si="17"/>
        <v>9514.368080488755</v>
      </c>
      <c r="AP47" s="40">
        <f t="shared" si="18"/>
        <v>104658.04888537631</v>
      </c>
    </row>
    <row r="48" spans="1:42" ht="12.75">
      <c r="A48" s="3">
        <v>38261</v>
      </c>
      <c r="B48" s="118">
        <v>12778185.315357514</v>
      </c>
      <c r="C48" s="108">
        <v>226.3</v>
      </c>
      <c r="D48" s="108">
        <v>1.5</v>
      </c>
      <c r="E48" s="9">
        <v>31</v>
      </c>
      <c r="F48" s="50">
        <v>1</v>
      </c>
      <c r="G48" s="9">
        <v>319.92</v>
      </c>
      <c r="H48" s="138">
        <v>0</v>
      </c>
      <c r="I48" s="104">
        <v>226.0748295652849</v>
      </c>
      <c r="J48" s="9">
        <f t="shared" si="11"/>
        <v>12812125.531774776</v>
      </c>
      <c r="K48" s="99">
        <f t="shared" si="12"/>
        <v>33940.21641726233</v>
      </c>
      <c r="L48" s="98">
        <f t="shared" si="13"/>
        <v>0.0026561061355457995</v>
      </c>
      <c r="M48" s="28"/>
      <c r="N48" s="28"/>
      <c r="O48" s="28"/>
      <c r="P48" s="28"/>
      <c r="Q48" s="28"/>
      <c r="R48" s="28"/>
      <c r="S48" s="28"/>
      <c r="T48" s="28"/>
      <c r="U48" s="28"/>
      <c r="W48" s="3">
        <v>39052</v>
      </c>
      <c r="X48" s="6">
        <f t="shared" si="14"/>
        <v>0</v>
      </c>
      <c r="Y48" s="6"/>
      <c r="Z48" s="6">
        <f>SUM(X37:X48)</f>
        <v>0</v>
      </c>
      <c r="AA48" s="6">
        <f>+X48*12</f>
        <v>0</v>
      </c>
      <c r="AB48" s="3">
        <v>40148</v>
      </c>
      <c r="AC48" s="6">
        <f t="shared" si="15"/>
        <v>0</v>
      </c>
      <c r="AD48" s="6">
        <f>SUM(AC37:AC48)</f>
        <v>0</v>
      </c>
      <c r="AE48" s="6">
        <f>+AC48*12</f>
        <v>0</v>
      </c>
      <c r="AF48" s="3">
        <v>41244</v>
      </c>
      <c r="AG48" s="167">
        <f t="shared" si="16"/>
        <v>0</v>
      </c>
      <c r="AH48" s="6">
        <f>SUM(AG37:AG48)</f>
        <v>0</v>
      </c>
      <c r="AI48" s="6">
        <f>+AG48*12</f>
        <v>0</v>
      </c>
      <c r="AJ48" s="170">
        <v>42339</v>
      </c>
      <c r="AK48" s="171">
        <f>+AK47+$AG$16</f>
        <v>114172.41696586506</v>
      </c>
      <c r="AL48" s="6">
        <f>SUM(AK37:AK48)</f>
        <v>218830.46585124137</v>
      </c>
      <c r="AM48" s="6">
        <f>+AK48*12</f>
        <v>1370069.0035903808</v>
      </c>
      <c r="AN48" s="40"/>
      <c r="AO48" s="40">
        <f t="shared" si="17"/>
        <v>9514.368080488755</v>
      </c>
      <c r="AP48" s="40">
        <f t="shared" si="18"/>
        <v>114172.41696586506</v>
      </c>
    </row>
    <row r="49" spans="1:42" ht="12.75">
      <c r="A49" s="3">
        <v>38292</v>
      </c>
      <c r="B49" s="118">
        <v>13141918.617029374</v>
      </c>
      <c r="C49" s="108">
        <v>379.1</v>
      </c>
      <c r="D49" s="108">
        <v>0</v>
      </c>
      <c r="E49" s="9">
        <v>30</v>
      </c>
      <c r="F49" s="50">
        <v>1</v>
      </c>
      <c r="G49" s="9">
        <v>352.08</v>
      </c>
      <c r="H49" s="138">
        <v>0</v>
      </c>
      <c r="I49" s="104">
        <v>227.53271406646178</v>
      </c>
      <c r="J49" s="9">
        <f t="shared" si="11"/>
        <v>13342256.443335904</v>
      </c>
      <c r="K49" s="99">
        <f t="shared" si="12"/>
        <v>200337.82630652934</v>
      </c>
      <c r="L49" s="98">
        <f t="shared" si="13"/>
        <v>0.015244184060532106</v>
      </c>
      <c r="M49" s="28"/>
      <c r="N49" s="28"/>
      <c r="O49" s="28"/>
      <c r="P49" s="28"/>
      <c r="Q49" s="28"/>
      <c r="R49" s="28"/>
      <c r="S49" s="28"/>
      <c r="T49" s="28"/>
      <c r="U49" s="28"/>
      <c r="W49" s="3">
        <v>39083</v>
      </c>
      <c r="X49" s="6">
        <f>+X48+$AG$8</f>
        <v>0</v>
      </c>
      <c r="Y49" s="6"/>
      <c r="AB49" s="3">
        <v>40179</v>
      </c>
      <c r="AC49" s="6">
        <f>+AC48+$AG$11</f>
        <v>0</v>
      </c>
      <c r="AF49" s="3">
        <v>41275</v>
      </c>
      <c r="AG49" s="167">
        <f>+AG48+$AG$14</f>
        <v>0</v>
      </c>
      <c r="AI49" s="6"/>
      <c r="AJ49" s="170">
        <v>42370</v>
      </c>
      <c r="AK49" s="171">
        <f>+AK48+$AG$17</f>
        <v>111640.37601970515</v>
      </c>
      <c r="AL49" s="6"/>
      <c r="AM49" s="6"/>
      <c r="AN49" s="40"/>
      <c r="AO49" s="40">
        <f>+$AG$17</f>
        <v>-2532.0409461599265</v>
      </c>
      <c r="AP49" s="40">
        <f>+AO49</f>
        <v>-2532.0409461599265</v>
      </c>
    </row>
    <row r="50" spans="1:42" ht="12.75">
      <c r="A50" s="3">
        <v>38322</v>
      </c>
      <c r="B50" s="118">
        <v>13116583.625799337</v>
      </c>
      <c r="C50" s="108">
        <v>643.4000000000001</v>
      </c>
      <c r="D50" s="108">
        <v>0</v>
      </c>
      <c r="E50" s="9">
        <v>31</v>
      </c>
      <c r="F50" s="50">
        <v>0</v>
      </c>
      <c r="G50" s="9">
        <v>336.288</v>
      </c>
      <c r="H50" s="138">
        <v>0</v>
      </c>
      <c r="I50" s="104">
        <v>229</v>
      </c>
      <c r="J50" s="9">
        <f t="shared" si="11"/>
        <v>14090279.469146276</v>
      </c>
      <c r="K50" s="99">
        <f t="shared" si="12"/>
        <v>973695.8433469385</v>
      </c>
      <c r="L50" s="98">
        <f t="shared" si="13"/>
        <v>0.0742339523099408</v>
      </c>
      <c r="M50" s="28"/>
      <c r="N50" s="28"/>
      <c r="O50" s="28"/>
      <c r="P50" s="28"/>
      <c r="Q50" s="28"/>
      <c r="R50" s="28"/>
      <c r="S50" s="28"/>
      <c r="T50" s="28"/>
      <c r="U50" s="28"/>
      <c r="W50" s="3">
        <v>39114</v>
      </c>
      <c r="X50" s="6">
        <f aca="true" t="shared" si="19" ref="X50:X60">+X49+$AG$8</f>
        <v>0</v>
      </c>
      <c r="Y50" s="6"/>
      <c r="AB50" s="3">
        <v>40210</v>
      </c>
      <c r="AC50" s="6">
        <f aca="true" t="shared" si="20" ref="AC50:AC60">+AC49+$AG$11</f>
        <v>0</v>
      </c>
      <c r="AF50" s="3">
        <v>41306</v>
      </c>
      <c r="AG50" s="167">
        <f aca="true" t="shared" si="21" ref="AG50:AG60">+AG49+$AG$14</f>
        <v>0</v>
      </c>
      <c r="AI50" s="6"/>
      <c r="AJ50" s="170">
        <v>42401</v>
      </c>
      <c r="AK50" s="171">
        <f aca="true" t="shared" si="22" ref="AK50:AK60">+AK49+$AG$17</f>
        <v>109108.33507354523</v>
      </c>
      <c r="AL50" s="6"/>
      <c r="AM50" s="6"/>
      <c r="AN50" s="40"/>
      <c r="AO50" s="40">
        <f aca="true" t="shared" si="23" ref="AO50:AO60">+$AG$17</f>
        <v>-2532.0409461599265</v>
      </c>
      <c r="AP50" s="40">
        <f>+AO49+AO50</f>
        <v>-5064.081892319853</v>
      </c>
    </row>
    <row r="51" spans="1:42" ht="12.75">
      <c r="A51" s="3">
        <v>38353</v>
      </c>
      <c r="B51" s="118">
        <v>14305779.382578982</v>
      </c>
      <c r="C51" s="108">
        <v>770</v>
      </c>
      <c r="D51" s="108">
        <v>0</v>
      </c>
      <c r="E51" s="9">
        <v>31</v>
      </c>
      <c r="F51" s="50">
        <v>0</v>
      </c>
      <c r="G51" s="9">
        <v>319.92</v>
      </c>
      <c r="H51" s="138">
        <v>0</v>
      </c>
      <c r="I51" s="104">
        <v>230.2139718170849</v>
      </c>
      <c r="J51" s="9">
        <f t="shared" si="11"/>
        <v>14250706.237242598</v>
      </c>
      <c r="K51" s="99">
        <f t="shared" si="12"/>
        <v>-55073.145336383954</v>
      </c>
      <c r="L51" s="98">
        <f t="shared" si="13"/>
        <v>-0.0038497130330032822</v>
      </c>
      <c r="M51" s="28"/>
      <c r="N51" s="28"/>
      <c r="O51" s="28"/>
      <c r="P51" s="28"/>
      <c r="Q51" s="28"/>
      <c r="R51" s="28"/>
      <c r="S51" s="28"/>
      <c r="T51" s="28"/>
      <c r="U51" s="28"/>
      <c r="W51" s="3">
        <v>39142</v>
      </c>
      <c r="X51" s="6">
        <f t="shared" si="19"/>
        <v>0</v>
      </c>
      <c r="Y51" s="6"/>
      <c r="AB51" s="3">
        <v>40238</v>
      </c>
      <c r="AC51" s="6">
        <f t="shared" si="20"/>
        <v>0</v>
      </c>
      <c r="AF51" s="3">
        <v>41334</v>
      </c>
      <c r="AG51" s="167">
        <f t="shared" si="21"/>
        <v>0</v>
      </c>
      <c r="AI51" s="6"/>
      <c r="AJ51" s="170">
        <v>42430</v>
      </c>
      <c r="AK51" s="171">
        <f t="shared" si="22"/>
        <v>106576.2941273853</v>
      </c>
      <c r="AL51" s="6"/>
      <c r="AM51" s="6"/>
      <c r="AN51" s="40"/>
      <c r="AO51" s="40">
        <f t="shared" si="23"/>
        <v>-2532.0409461599265</v>
      </c>
      <c r="AP51" s="40">
        <f>+AP50+AO51</f>
        <v>-7596.12283847978</v>
      </c>
    </row>
    <row r="52" spans="1:42" ht="12.75">
      <c r="A52" s="3">
        <v>38384</v>
      </c>
      <c r="B52" s="118">
        <v>12799291.741864618</v>
      </c>
      <c r="C52" s="108">
        <v>616.3999999999999</v>
      </c>
      <c r="D52" s="108">
        <v>0</v>
      </c>
      <c r="E52" s="9">
        <v>28</v>
      </c>
      <c r="F52" s="50">
        <v>0</v>
      </c>
      <c r="G52" s="9">
        <v>319.872</v>
      </c>
      <c r="H52" s="138">
        <v>0</v>
      </c>
      <c r="I52" s="104">
        <v>231.43437912575357</v>
      </c>
      <c r="J52" s="9">
        <f t="shared" si="11"/>
        <v>13540902.0975838</v>
      </c>
      <c r="K52" s="99">
        <f t="shared" si="12"/>
        <v>741610.3557191826</v>
      </c>
      <c r="L52" s="98">
        <f t="shared" si="13"/>
        <v>0.05794151509911156</v>
      </c>
      <c r="M52" s="28"/>
      <c r="N52" s="28"/>
      <c r="O52" s="28"/>
      <c r="P52" s="28"/>
      <c r="Q52" s="28"/>
      <c r="R52" s="28"/>
      <c r="S52" s="28"/>
      <c r="T52" s="28"/>
      <c r="U52" s="28"/>
      <c r="W52" s="3">
        <v>39173</v>
      </c>
      <c r="X52" s="6">
        <f t="shared" si="19"/>
        <v>0</v>
      </c>
      <c r="Y52" s="6"/>
      <c r="AB52" s="3">
        <v>40269</v>
      </c>
      <c r="AC52" s="6">
        <f t="shared" si="20"/>
        <v>0</v>
      </c>
      <c r="AF52" s="3">
        <v>41365</v>
      </c>
      <c r="AG52" s="167">
        <f t="shared" si="21"/>
        <v>0</v>
      </c>
      <c r="AI52" s="6"/>
      <c r="AJ52" s="170">
        <v>42461</v>
      </c>
      <c r="AK52" s="171">
        <f t="shared" si="22"/>
        <v>104044.25318122539</v>
      </c>
      <c r="AL52" s="6"/>
      <c r="AM52" s="6"/>
      <c r="AN52" s="40"/>
      <c r="AO52" s="40">
        <f t="shared" si="23"/>
        <v>-2532.0409461599265</v>
      </c>
      <c r="AP52" s="40">
        <f aca="true" t="shared" si="24" ref="AP52:AP60">+AP51+AO52</f>
        <v>-10128.163784639706</v>
      </c>
    </row>
    <row r="53" spans="1:42" ht="12.75">
      <c r="A53" s="3">
        <v>38412</v>
      </c>
      <c r="B53" s="118">
        <v>13685935.155891607</v>
      </c>
      <c r="C53" s="108">
        <v>608.6</v>
      </c>
      <c r="D53" s="108">
        <v>0</v>
      </c>
      <c r="E53" s="9">
        <v>31</v>
      </c>
      <c r="F53" s="50">
        <v>1</v>
      </c>
      <c r="G53" s="9">
        <v>351.912</v>
      </c>
      <c r="H53" s="138">
        <v>0</v>
      </c>
      <c r="I53" s="104">
        <v>232.6612560417501</v>
      </c>
      <c r="J53" s="9">
        <f t="shared" si="11"/>
        <v>14239124.932379298</v>
      </c>
      <c r="K53" s="99">
        <f t="shared" si="12"/>
        <v>553189.7764876913</v>
      </c>
      <c r="L53" s="98">
        <f t="shared" si="13"/>
        <v>0.04042031254616538</v>
      </c>
      <c r="M53" s="28"/>
      <c r="N53" s="28"/>
      <c r="O53" s="28"/>
      <c r="P53" s="28"/>
      <c r="Q53" s="28"/>
      <c r="R53" s="28"/>
      <c r="S53" s="28"/>
      <c r="T53" s="28"/>
      <c r="U53" s="28"/>
      <c r="W53" s="3">
        <v>39203</v>
      </c>
      <c r="X53" s="6">
        <f t="shared" si="19"/>
        <v>0</v>
      </c>
      <c r="Y53" s="6"/>
      <c r="AB53" s="3">
        <v>40299</v>
      </c>
      <c r="AC53" s="6">
        <f t="shared" si="20"/>
        <v>0</v>
      </c>
      <c r="AF53" s="3">
        <v>41395</v>
      </c>
      <c r="AG53" s="167">
        <f t="shared" si="21"/>
        <v>0</v>
      </c>
      <c r="AI53" s="6"/>
      <c r="AJ53" s="170">
        <v>42491</v>
      </c>
      <c r="AK53" s="171">
        <f t="shared" si="22"/>
        <v>101512.21223506547</v>
      </c>
      <c r="AL53" s="6"/>
      <c r="AM53" s="6"/>
      <c r="AN53" s="40"/>
      <c r="AO53" s="40">
        <f t="shared" si="23"/>
        <v>-2532.0409461599265</v>
      </c>
      <c r="AP53" s="40">
        <f t="shared" si="24"/>
        <v>-12660.204730799633</v>
      </c>
    </row>
    <row r="54" spans="1:42" ht="12.75">
      <c r="A54" s="3">
        <v>38443</v>
      </c>
      <c r="B54" s="118">
        <v>12470527.0881141</v>
      </c>
      <c r="C54" s="108">
        <v>306.8</v>
      </c>
      <c r="D54" s="108">
        <v>0</v>
      </c>
      <c r="E54" s="9">
        <v>30</v>
      </c>
      <c r="F54" s="50">
        <v>1</v>
      </c>
      <c r="G54" s="9">
        <v>336.24</v>
      </c>
      <c r="H54" s="138">
        <v>0</v>
      </c>
      <c r="I54" s="104">
        <v>233.89463686167264</v>
      </c>
      <c r="J54" s="9">
        <f t="shared" si="11"/>
        <v>13391015.33329136</v>
      </c>
      <c r="K54" s="99">
        <f t="shared" si="12"/>
        <v>920488.2451772597</v>
      </c>
      <c r="L54" s="98">
        <f t="shared" si="13"/>
        <v>0.07381309857019555</v>
      </c>
      <c r="M54" s="28"/>
      <c r="N54" s="28"/>
      <c r="O54" s="28"/>
      <c r="P54" s="28"/>
      <c r="Q54" s="28"/>
      <c r="R54" s="28"/>
      <c r="S54" s="28"/>
      <c r="T54" s="28"/>
      <c r="U54" s="28"/>
      <c r="W54" s="3">
        <v>39234</v>
      </c>
      <c r="X54" s="6">
        <f t="shared" si="19"/>
        <v>0</v>
      </c>
      <c r="Y54" s="6"/>
      <c r="AB54" s="3">
        <v>40330</v>
      </c>
      <c r="AC54" s="6">
        <f t="shared" si="20"/>
        <v>0</v>
      </c>
      <c r="AF54" s="3">
        <v>41426</v>
      </c>
      <c r="AG54" s="167">
        <f t="shared" si="21"/>
        <v>0</v>
      </c>
      <c r="AI54" s="6"/>
      <c r="AJ54" s="170">
        <v>42522</v>
      </c>
      <c r="AK54" s="171">
        <f t="shared" si="22"/>
        <v>98980.17128890555</v>
      </c>
      <c r="AL54" s="6"/>
      <c r="AM54" s="6"/>
      <c r="AN54" s="40"/>
      <c r="AO54" s="40">
        <f t="shared" si="23"/>
        <v>-2532.0409461599265</v>
      </c>
      <c r="AP54" s="40">
        <f t="shared" si="24"/>
        <v>-15192.24567695956</v>
      </c>
    </row>
    <row r="55" spans="1:42" ht="12.75">
      <c r="A55" s="3">
        <v>38473</v>
      </c>
      <c r="B55" s="118">
        <v>12828995.072623657</v>
      </c>
      <c r="C55" s="108">
        <v>189.40000000000003</v>
      </c>
      <c r="D55" s="108">
        <v>0.8</v>
      </c>
      <c r="E55" s="9">
        <v>31</v>
      </c>
      <c r="F55" s="50">
        <v>1</v>
      </c>
      <c r="G55" s="9">
        <v>336.288</v>
      </c>
      <c r="H55" s="138">
        <v>0</v>
      </c>
      <c r="I55" s="104">
        <v>235.13455606393194</v>
      </c>
      <c r="J55" s="9">
        <f t="shared" si="11"/>
        <v>13388383.705625074</v>
      </c>
      <c r="K55" s="99">
        <f t="shared" si="12"/>
        <v>559388.6330014169</v>
      </c>
      <c r="L55" s="98">
        <f t="shared" si="13"/>
        <v>0.04360346463887264</v>
      </c>
      <c r="M55" s="28"/>
      <c r="N55" s="28"/>
      <c r="O55" s="28"/>
      <c r="P55" s="28"/>
      <c r="Q55" s="28"/>
      <c r="R55" s="28"/>
      <c r="S55" s="28"/>
      <c r="T55" s="28"/>
      <c r="U55" s="28"/>
      <c r="W55" s="3">
        <v>39264</v>
      </c>
      <c r="X55" s="6">
        <f t="shared" si="19"/>
        <v>0</v>
      </c>
      <c r="Y55" s="6"/>
      <c r="AB55" s="3">
        <v>40360</v>
      </c>
      <c r="AC55" s="6">
        <f t="shared" si="20"/>
        <v>0</v>
      </c>
      <c r="AF55" s="3">
        <v>41456</v>
      </c>
      <c r="AG55" s="167">
        <f t="shared" si="21"/>
        <v>0</v>
      </c>
      <c r="AI55" s="6"/>
      <c r="AJ55" s="170">
        <v>42552</v>
      </c>
      <c r="AK55" s="171">
        <f t="shared" si="22"/>
        <v>96448.13034274563</v>
      </c>
      <c r="AL55" s="6"/>
      <c r="AM55" s="6"/>
      <c r="AN55" s="40"/>
      <c r="AO55" s="40">
        <f t="shared" si="23"/>
        <v>-2532.0409461599265</v>
      </c>
      <c r="AP55" s="40">
        <f t="shared" si="24"/>
        <v>-17724.286623119486</v>
      </c>
    </row>
    <row r="56" spans="1:42" ht="12.75">
      <c r="A56" s="3">
        <v>38504</v>
      </c>
      <c r="B56" s="118">
        <v>14420639.499513073</v>
      </c>
      <c r="C56" s="108">
        <v>8.9</v>
      </c>
      <c r="D56" s="108">
        <v>146.3</v>
      </c>
      <c r="E56" s="9">
        <v>30</v>
      </c>
      <c r="F56" s="50">
        <v>0</v>
      </c>
      <c r="G56" s="9">
        <v>352.08</v>
      </c>
      <c r="H56" s="138">
        <v>0</v>
      </c>
      <c r="I56" s="104">
        <v>236.38104830971528</v>
      </c>
      <c r="J56" s="9">
        <f t="shared" si="11"/>
        <v>14808361.003985345</v>
      </c>
      <c r="K56" s="99">
        <f t="shared" si="12"/>
        <v>387721.50447227247</v>
      </c>
      <c r="L56" s="98">
        <f t="shared" si="13"/>
        <v>0.02688656799758182</v>
      </c>
      <c r="W56" s="3">
        <v>39295</v>
      </c>
      <c r="X56" s="6">
        <f t="shared" si="19"/>
        <v>0</v>
      </c>
      <c r="Y56" s="6"/>
      <c r="AB56" s="3">
        <v>40391</v>
      </c>
      <c r="AC56" s="6">
        <f t="shared" si="20"/>
        <v>0</v>
      </c>
      <c r="AF56" s="3">
        <v>41487</v>
      </c>
      <c r="AG56" s="167">
        <f t="shared" si="21"/>
        <v>0</v>
      </c>
      <c r="AI56" s="6"/>
      <c r="AJ56" s="170">
        <v>42583</v>
      </c>
      <c r="AK56" s="171">
        <f t="shared" si="22"/>
        <v>93916.08939658571</v>
      </c>
      <c r="AL56" s="6"/>
      <c r="AM56" s="6"/>
      <c r="AN56" s="40"/>
      <c r="AO56" s="40">
        <f t="shared" si="23"/>
        <v>-2532.0409461599265</v>
      </c>
      <c r="AP56" s="40">
        <f t="shared" si="24"/>
        <v>-20256.327569279412</v>
      </c>
    </row>
    <row r="57" spans="1:42" ht="12.75">
      <c r="A57" s="3">
        <v>38534</v>
      </c>
      <c r="B57" s="118">
        <v>14310580.960951652</v>
      </c>
      <c r="C57" s="108">
        <v>0</v>
      </c>
      <c r="D57" s="108">
        <v>188.7</v>
      </c>
      <c r="E57" s="9">
        <v>31</v>
      </c>
      <c r="F57" s="50">
        <v>0</v>
      </c>
      <c r="G57" s="9">
        <v>319.92</v>
      </c>
      <c r="H57" s="138">
        <v>0</v>
      </c>
      <c r="I57" s="104">
        <v>237.63414844395538</v>
      </c>
      <c r="J57" s="9">
        <f t="shared" si="11"/>
        <v>15160162.04324107</v>
      </c>
      <c r="K57" s="99">
        <f t="shared" si="12"/>
        <v>849581.0822894182</v>
      </c>
      <c r="L57" s="98">
        <f t="shared" si="13"/>
        <v>0.05936733698007192</v>
      </c>
      <c r="W57" s="3">
        <v>39326</v>
      </c>
      <c r="X57" s="6">
        <f t="shared" si="19"/>
        <v>0</v>
      </c>
      <c r="Y57" s="6"/>
      <c r="AB57" s="3">
        <v>40422</v>
      </c>
      <c r="AC57" s="6">
        <f t="shared" si="20"/>
        <v>0</v>
      </c>
      <c r="AF57" s="3">
        <v>41518</v>
      </c>
      <c r="AG57" s="167">
        <f t="shared" si="21"/>
        <v>0</v>
      </c>
      <c r="AI57" s="6"/>
      <c r="AJ57" s="170">
        <v>42614</v>
      </c>
      <c r="AK57" s="171">
        <f t="shared" si="22"/>
        <v>91384.04845042579</v>
      </c>
      <c r="AL57" s="6"/>
      <c r="AM57" s="6"/>
      <c r="AN57" s="40"/>
      <c r="AO57" s="40">
        <f t="shared" si="23"/>
        <v>-2532.0409461599265</v>
      </c>
      <c r="AP57" s="40">
        <f t="shared" si="24"/>
        <v>-22788.36851543934</v>
      </c>
    </row>
    <row r="58" spans="1:42" ht="12.75">
      <c r="A58" s="3">
        <v>38565</v>
      </c>
      <c r="B58" s="118">
        <v>14522664.429566</v>
      </c>
      <c r="C58" s="108">
        <v>0.2</v>
      </c>
      <c r="D58" s="108">
        <v>140.70000000000002</v>
      </c>
      <c r="E58" s="9">
        <v>31</v>
      </c>
      <c r="F58" s="50">
        <v>0</v>
      </c>
      <c r="G58" s="9">
        <v>351.912</v>
      </c>
      <c r="H58" s="138">
        <v>0</v>
      </c>
      <c r="I58" s="104">
        <v>238.89389149630443</v>
      </c>
      <c r="J58" s="9">
        <f t="shared" si="11"/>
        <v>15022358.201649029</v>
      </c>
      <c r="K58" s="99">
        <f t="shared" si="12"/>
        <v>499693.77208302915</v>
      </c>
      <c r="L58" s="98">
        <f t="shared" si="13"/>
        <v>0.034407857766494035</v>
      </c>
      <c r="W58" s="3">
        <v>39356</v>
      </c>
      <c r="X58" s="6">
        <f t="shared" si="19"/>
        <v>0</v>
      </c>
      <c r="Y58" s="6"/>
      <c r="AB58" s="3">
        <v>40452</v>
      </c>
      <c r="AC58" s="6">
        <f t="shared" si="20"/>
        <v>0</v>
      </c>
      <c r="AF58" s="3">
        <v>41548</v>
      </c>
      <c r="AG58" s="167">
        <f t="shared" si="21"/>
        <v>0</v>
      </c>
      <c r="AI58" s="6"/>
      <c r="AJ58" s="170">
        <v>42644</v>
      </c>
      <c r="AK58" s="171">
        <f t="shared" si="22"/>
        <v>88852.00750426587</v>
      </c>
      <c r="AL58" s="6"/>
      <c r="AM58" s="6"/>
      <c r="AN58" s="40"/>
      <c r="AO58" s="40">
        <f t="shared" si="23"/>
        <v>-2532.0409461599265</v>
      </c>
      <c r="AP58" s="40">
        <f t="shared" si="24"/>
        <v>-25320.409461599265</v>
      </c>
    </row>
    <row r="59" spans="1:42" ht="12.75">
      <c r="A59" s="3">
        <v>38596</v>
      </c>
      <c r="B59" s="118">
        <v>13779213.95059298</v>
      </c>
      <c r="C59" s="108">
        <v>22.6</v>
      </c>
      <c r="D59" s="108">
        <v>52.099999999999994</v>
      </c>
      <c r="E59" s="9">
        <v>30</v>
      </c>
      <c r="F59" s="50">
        <v>1</v>
      </c>
      <c r="G59" s="9">
        <v>336.24</v>
      </c>
      <c r="H59" s="138">
        <v>0</v>
      </c>
      <c r="I59" s="104">
        <v>240.1603126821134</v>
      </c>
      <c r="J59" s="9">
        <f t="shared" si="11"/>
        <v>13729839.98458612</v>
      </c>
      <c r="K59" s="99">
        <f t="shared" si="12"/>
        <v>-49373.96600686014</v>
      </c>
      <c r="L59" s="98">
        <f t="shared" si="13"/>
        <v>-0.0035832207979276903</v>
      </c>
      <c r="W59" s="3">
        <v>39387</v>
      </c>
      <c r="X59" s="6">
        <f t="shared" si="19"/>
        <v>0</v>
      </c>
      <c r="Y59" s="6"/>
      <c r="AB59" s="3">
        <v>40483</v>
      </c>
      <c r="AC59" s="6">
        <f t="shared" si="20"/>
        <v>0</v>
      </c>
      <c r="AF59" s="3">
        <v>41579</v>
      </c>
      <c r="AG59" s="167">
        <f t="shared" si="21"/>
        <v>0</v>
      </c>
      <c r="AI59" s="6"/>
      <c r="AJ59" s="170">
        <v>42675</v>
      </c>
      <c r="AK59" s="171">
        <f t="shared" si="22"/>
        <v>86319.96655810595</v>
      </c>
      <c r="AL59" s="6"/>
      <c r="AM59" s="6"/>
      <c r="AN59" s="40"/>
      <c r="AO59" s="40">
        <f t="shared" si="23"/>
        <v>-2532.0409461599265</v>
      </c>
      <c r="AP59" s="40">
        <f t="shared" si="24"/>
        <v>-27852.450407759192</v>
      </c>
    </row>
    <row r="60" spans="1:42" ht="12.75">
      <c r="A60" s="3">
        <v>38626</v>
      </c>
      <c r="B60" s="118">
        <v>13452154.484537208</v>
      </c>
      <c r="C60" s="108">
        <v>220.2</v>
      </c>
      <c r="D60" s="108">
        <v>7.6000000000000005</v>
      </c>
      <c r="E60" s="9">
        <v>31</v>
      </c>
      <c r="F60" s="50">
        <v>1</v>
      </c>
      <c r="G60" s="9">
        <v>319.92</v>
      </c>
      <c r="H60" s="138">
        <v>0</v>
      </c>
      <c r="I60" s="104">
        <v>241.4334474034164</v>
      </c>
      <c r="J60" s="9">
        <f t="shared" si="11"/>
        <v>13709416.217830516</v>
      </c>
      <c r="K60" s="99">
        <f t="shared" si="12"/>
        <v>257261.73329330795</v>
      </c>
      <c r="L60" s="98">
        <f t="shared" si="13"/>
        <v>0.019124203010679183</v>
      </c>
      <c r="W60" s="3">
        <v>39417</v>
      </c>
      <c r="X60" s="6">
        <f t="shared" si="19"/>
        <v>0</v>
      </c>
      <c r="Y60" s="6"/>
      <c r="Z60" s="6">
        <f>SUM(X49:X60)</f>
        <v>0</v>
      </c>
      <c r="AA60" s="6">
        <f>+X60*12</f>
        <v>0</v>
      </c>
      <c r="AB60" s="3">
        <v>40513</v>
      </c>
      <c r="AC60" s="6">
        <f t="shared" si="20"/>
        <v>0</v>
      </c>
      <c r="AD60" s="6">
        <f>SUM(AC49:AC60)</f>
        <v>0</v>
      </c>
      <c r="AE60" s="6">
        <f>+AC60*12</f>
        <v>0</v>
      </c>
      <c r="AF60" s="3">
        <v>41609</v>
      </c>
      <c r="AG60" s="167">
        <f t="shared" si="21"/>
        <v>0</v>
      </c>
      <c r="AH60" s="6">
        <f>SUM(AG49:AG60)</f>
        <v>0</v>
      </c>
      <c r="AI60" s="6">
        <f>+AG60*12</f>
        <v>0</v>
      </c>
      <c r="AJ60" s="172">
        <v>42705</v>
      </c>
      <c r="AK60" s="173">
        <f t="shared" si="22"/>
        <v>83787.92561194603</v>
      </c>
      <c r="AL60" s="6">
        <f>SUM(AK49:AK60)</f>
        <v>1172569.809789907</v>
      </c>
      <c r="AM60" s="6">
        <f>+AK60*12</f>
        <v>1005455.1073433524</v>
      </c>
      <c r="AN60" s="40"/>
      <c r="AO60" s="40">
        <f t="shared" si="23"/>
        <v>-2532.0409461599265</v>
      </c>
      <c r="AP60" s="40">
        <f t="shared" si="24"/>
        <v>-30384.49135391912</v>
      </c>
    </row>
    <row r="61" spans="1:42" ht="12.75">
      <c r="A61" s="3">
        <v>38657</v>
      </c>
      <c r="B61" s="118">
        <v>13745573.597460909</v>
      </c>
      <c r="C61" s="108">
        <v>388.4</v>
      </c>
      <c r="D61" s="108">
        <v>0</v>
      </c>
      <c r="E61" s="9">
        <v>30</v>
      </c>
      <c r="F61" s="50">
        <v>1</v>
      </c>
      <c r="G61" s="9">
        <v>352.08</v>
      </c>
      <c r="H61" s="138">
        <v>0</v>
      </c>
      <c r="I61" s="104">
        <v>242.71333124992034</v>
      </c>
      <c r="J61" s="9">
        <f t="shared" si="11"/>
        <v>14194480.280314641</v>
      </c>
      <c r="K61" s="99">
        <f t="shared" si="12"/>
        <v>448906.68285373226</v>
      </c>
      <c r="L61" s="98">
        <f t="shared" si="13"/>
        <v>0.03265827210998707</v>
      </c>
      <c r="W61" s="3"/>
      <c r="X61" s="6"/>
      <c r="Y61" s="6"/>
      <c r="AI61" s="6"/>
      <c r="AJ61" s="6"/>
      <c r="AK61" s="174">
        <f>SUM(AK37:AK60)</f>
        <v>1391400.2756411484</v>
      </c>
      <c r="AL61" s="6"/>
      <c r="AN61" s="40"/>
      <c r="AO61" s="40"/>
      <c r="AP61" s="40">
        <f>SUM(AP49:AP60)</f>
        <v>-197499.19380047428</v>
      </c>
    </row>
    <row r="62" spans="1:12" ht="12.75">
      <c r="A62" s="3">
        <v>38687</v>
      </c>
      <c r="B62" s="118">
        <v>13938524.751935082</v>
      </c>
      <c r="C62" s="108">
        <v>665.2999999999998</v>
      </c>
      <c r="D62" s="108">
        <v>0</v>
      </c>
      <c r="E62" s="9">
        <v>31</v>
      </c>
      <c r="F62" s="50">
        <v>0</v>
      </c>
      <c r="G62" s="9">
        <v>319.92</v>
      </c>
      <c r="H62" s="138">
        <v>0</v>
      </c>
      <c r="I62" s="104">
        <v>244</v>
      </c>
      <c r="J62" s="9">
        <f t="shared" si="11"/>
        <v>14797374.246916076</v>
      </c>
      <c r="K62" s="99">
        <f t="shared" si="12"/>
        <v>858849.4949809946</v>
      </c>
      <c r="L62" s="98">
        <f t="shared" si="13"/>
        <v>0.061616958054457</v>
      </c>
    </row>
    <row r="63" spans="1:12" ht="12.75">
      <c r="A63" s="3">
        <v>38718</v>
      </c>
      <c r="B63" s="118">
        <v>14466188.027154054</v>
      </c>
      <c r="C63" s="108">
        <v>551.8</v>
      </c>
      <c r="D63" s="108">
        <v>0</v>
      </c>
      <c r="E63" s="9">
        <v>31</v>
      </c>
      <c r="F63" s="50">
        <v>0</v>
      </c>
      <c r="G63" s="9">
        <v>336.288</v>
      </c>
      <c r="H63" s="138">
        <v>0</v>
      </c>
      <c r="I63" s="104">
        <v>244.08317720737378</v>
      </c>
      <c r="J63" s="9">
        <f t="shared" si="11"/>
        <v>14734484.635217855</v>
      </c>
      <c r="K63" s="99">
        <f t="shared" si="12"/>
        <v>268296.60806380026</v>
      </c>
      <c r="L63" s="98">
        <f t="shared" si="13"/>
        <v>0.01854646210599424</v>
      </c>
    </row>
    <row r="64" spans="1:12" ht="12.75">
      <c r="A64" s="3">
        <v>38749</v>
      </c>
      <c r="B64" s="118">
        <v>13583211.393649744</v>
      </c>
      <c r="C64" s="108">
        <v>604.3000000000001</v>
      </c>
      <c r="D64" s="108">
        <v>0</v>
      </c>
      <c r="E64" s="9">
        <v>28</v>
      </c>
      <c r="F64" s="50">
        <v>0</v>
      </c>
      <c r="G64" s="9">
        <v>319.872</v>
      </c>
      <c r="H64" s="138">
        <v>0</v>
      </c>
      <c r="I64" s="104">
        <v>244.16638276904195</v>
      </c>
      <c r="J64" s="9">
        <f t="shared" si="11"/>
        <v>14215692.240015306</v>
      </c>
      <c r="K64" s="99">
        <f t="shared" si="12"/>
        <v>632480.8463655617</v>
      </c>
      <c r="L64" s="98">
        <f t="shared" si="13"/>
        <v>0.04656342510146396</v>
      </c>
    </row>
    <row r="65" spans="1:12" ht="12.75">
      <c r="A65" s="3">
        <v>38777</v>
      </c>
      <c r="B65" s="118">
        <v>14311792.871626686</v>
      </c>
      <c r="C65" s="108">
        <v>516.6</v>
      </c>
      <c r="D65" s="108">
        <v>0</v>
      </c>
      <c r="E65" s="9">
        <v>31</v>
      </c>
      <c r="F65" s="50">
        <v>1</v>
      </c>
      <c r="G65" s="9">
        <v>368.28</v>
      </c>
      <c r="H65" s="138">
        <v>0</v>
      </c>
      <c r="I65" s="104">
        <v>244.24961669467018</v>
      </c>
      <c r="J65" s="9">
        <f t="shared" si="11"/>
        <v>14851151.875139067</v>
      </c>
      <c r="K65" s="99">
        <f t="shared" si="12"/>
        <v>539359.0035123806</v>
      </c>
      <c r="L65" s="98">
        <f t="shared" si="13"/>
        <v>0.03768633380529611</v>
      </c>
    </row>
    <row r="66" spans="1:12" ht="12.75">
      <c r="A66" s="3">
        <v>38808</v>
      </c>
      <c r="B66" s="118">
        <v>12560526.201037467</v>
      </c>
      <c r="C66" s="108">
        <v>293.2999999999999</v>
      </c>
      <c r="D66" s="108">
        <v>0</v>
      </c>
      <c r="E66" s="9">
        <v>30</v>
      </c>
      <c r="F66" s="50">
        <v>1</v>
      </c>
      <c r="G66" s="9">
        <v>303.84</v>
      </c>
      <c r="H66" s="138">
        <v>0</v>
      </c>
      <c r="I66" s="104">
        <v>244.33287899392747</v>
      </c>
      <c r="J66" s="9">
        <f t="shared" si="11"/>
        <v>13619301.53465548</v>
      </c>
      <c r="K66" s="99">
        <f t="shared" si="12"/>
        <v>1058775.3336180132</v>
      </c>
      <c r="L66" s="98">
        <f t="shared" si="13"/>
        <v>0.08429386768291293</v>
      </c>
    </row>
    <row r="67" spans="1:12" ht="12.75">
      <c r="A67" s="3">
        <v>38838</v>
      </c>
      <c r="B67" s="118">
        <v>13472684.330433587</v>
      </c>
      <c r="C67" s="108">
        <v>136.9</v>
      </c>
      <c r="D67" s="108">
        <v>26</v>
      </c>
      <c r="E67" s="9">
        <v>31</v>
      </c>
      <c r="F67" s="50">
        <v>1</v>
      </c>
      <c r="G67" s="9">
        <v>351.912</v>
      </c>
      <c r="H67" s="138">
        <v>0</v>
      </c>
      <c r="I67" s="104">
        <v>244.4161696764861</v>
      </c>
      <c r="J67" s="9">
        <f aca="true" t="shared" si="25" ref="J67:J98">$N$19+C67*$N$20+D67*$N$21+E67*$N$22+F67*$N$23+G67*$N$24+H67*$N$25+I67*$N$26</f>
        <v>14219382.33223014</v>
      </c>
      <c r="K67" s="99">
        <f aca="true" t="shared" si="26" ref="K67:K98">+J67-B67</f>
        <v>746698.0017965529</v>
      </c>
      <c r="L67" s="98">
        <f aca="true" t="shared" si="27" ref="L67:L98">+K67/B67</f>
        <v>0.05542310526120092</v>
      </c>
    </row>
    <row r="68" spans="1:12" ht="12.75">
      <c r="A68" s="3">
        <v>38869</v>
      </c>
      <c r="B68" s="118">
        <v>14114358.451031456</v>
      </c>
      <c r="C68" s="108">
        <v>19.5</v>
      </c>
      <c r="D68" s="108">
        <v>73.60000000000001</v>
      </c>
      <c r="E68" s="9">
        <v>30</v>
      </c>
      <c r="F68" s="50">
        <v>0</v>
      </c>
      <c r="G68" s="9">
        <v>352.08</v>
      </c>
      <c r="H68" s="138">
        <v>0</v>
      </c>
      <c r="I68" s="104">
        <v>244.4994887520217</v>
      </c>
      <c r="J68" s="9">
        <f t="shared" si="25"/>
        <v>14486143.512616891</v>
      </c>
      <c r="K68" s="99">
        <f t="shared" si="26"/>
        <v>371785.06158543564</v>
      </c>
      <c r="L68" s="98">
        <f t="shared" si="27"/>
        <v>0.026340911127863992</v>
      </c>
    </row>
    <row r="69" spans="1:12" ht="12.75">
      <c r="A69" s="3">
        <v>38899</v>
      </c>
      <c r="B69" s="118">
        <v>14425540.672095386</v>
      </c>
      <c r="C69" s="108">
        <v>0</v>
      </c>
      <c r="D69" s="108">
        <v>167.3</v>
      </c>
      <c r="E69" s="9">
        <v>31</v>
      </c>
      <c r="F69" s="50">
        <v>0</v>
      </c>
      <c r="G69" s="9">
        <v>319.92</v>
      </c>
      <c r="H69" s="138">
        <v>0</v>
      </c>
      <c r="I69" s="104">
        <v>244.58283623021313</v>
      </c>
      <c r="J69" s="9">
        <f t="shared" si="25"/>
        <v>15309370.933243534</v>
      </c>
      <c r="K69" s="99">
        <f t="shared" si="26"/>
        <v>883830.2611481473</v>
      </c>
      <c r="L69" s="98">
        <f t="shared" si="27"/>
        <v>0.06126843223684636</v>
      </c>
    </row>
    <row r="70" spans="1:12" ht="12.75">
      <c r="A70" s="3">
        <v>38930</v>
      </c>
      <c r="B70" s="118">
        <v>14403653.35934899</v>
      </c>
      <c r="C70" s="108">
        <v>4.2</v>
      </c>
      <c r="D70" s="108">
        <v>101.60000000000001</v>
      </c>
      <c r="E70" s="9">
        <v>31</v>
      </c>
      <c r="F70" s="50">
        <v>0</v>
      </c>
      <c r="G70" s="9">
        <v>351.912</v>
      </c>
      <c r="H70" s="138">
        <v>0</v>
      </c>
      <c r="I70" s="104">
        <v>244.66621212074259</v>
      </c>
      <c r="J70" s="9">
        <f t="shared" si="25"/>
        <v>14922846.087098422</v>
      </c>
      <c r="K70" s="99">
        <f t="shared" si="26"/>
        <v>519192.7277494315</v>
      </c>
      <c r="L70" s="98">
        <f t="shared" si="27"/>
        <v>0.036045905493305885</v>
      </c>
    </row>
    <row r="71" spans="1:12" ht="12.75">
      <c r="A71" s="3">
        <v>38961</v>
      </c>
      <c r="B71" s="118">
        <v>13195441.87318329</v>
      </c>
      <c r="C71" s="108">
        <v>80.9</v>
      </c>
      <c r="D71" s="108">
        <v>12.9</v>
      </c>
      <c r="E71" s="9">
        <v>30</v>
      </c>
      <c r="F71" s="50">
        <v>1</v>
      </c>
      <c r="G71" s="9">
        <v>319.68</v>
      </c>
      <c r="H71" s="138">
        <v>0</v>
      </c>
      <c r="I71" s="104">
        <v>244.74961643329556</v>
      </c>
      <c r="J71" s="9">
        <f t="shared" si="25"/>
        <v>13510948.912200743</v>
      </c>
      <c r="K71" s="99">
        <f t="shared" si="26"/>
        <v>315507.0390174538</v>
      </c>
      <c r="L71" s="98">
        <f t="shared" si="27"/>
        <v>0.02391030494087883</v>
      </c>
    </row>
    <row r="72" spans="1:12" ht="12.75">
      <c r="A72" s="3">
        <v>38991</v>
      </c>
      <c r="B72" s="118">
        <v>13499793.405946447</v>
      </c>
      <c r="C72" s="108">
        <v>288.3</v>
      </c>
      <c r="D72" s="108">
        <v>1.1</v>
      </c>
      <c r="E72" s="9">
        <v>31</v>
      </c>
      <c r="F72" s="50">
        <v>1</v>
      </c>
      <c r="G72" s="9">
        <v>336.288</v>
      </c>
      <c r="H72" s="138">
        <v>0</v>
      </c>
      <c r="I72" s="104">
        <v>244.83304917756084</v>
      </c>
      <c r="J72" s="9">
        <f t="shared" si="25"/>
        <v>14122820.879458465</v>
      </c>
      <c r="K72" s="99">
        <f t="shared" si="26"/>
        <v>623027.4735120181</v>
      </c>
      <c r="L72" s="98">
        <f t="shared" si="27"/>
        <v>0.04615088948232232</v>
      </c>
    </row>
    <row r="73" spans="1:12" ht="12.75">
      <c r="A73" s="3">
        <v>39022</v>
      </c>
      <c r="B73" s="118">
        <v>13609011.603892738</v>
      </c>
      <c r="C73" s="108">
        <v>382.2000000000001</v>
      </c>
      <c r="D73" s="108">
        <v>0</v>
      </c>
      <c r="E73" s="9">
        <v>30</v>
      </c>
      <c r="F73" s="50">
        <v>1</v>
      </c>
      <c r="G73" s="9">
        <v>352.08</v>
      </c>
      <c r="H73" s="138">
        <v>0</v>
      </c>
      <c r="I73" s="104">
        <v>244.9165103632305</v>
      </c>
      <c r="J73" s="9">
        <f t="shared" si="25"/>
        <v>14303000.017557794</v>
      </c>
      <c r="K73" s="99">
        <f t="shared" si="26"/>
        <v>693988.4136650562</v>
      </c>
      <c r="L73" s="98">
        <f t="shared" si="27"/>
        <v>0.05099476977935319</v>
      </c>
    </row>
    <row r="74" spans="1:12" ht="12.75">
      <c r="A74" s="3">
        <v>39052</v>
      </c>
      <c r="B74" s="118">
        <v>13667683.035697235</v>
      </c>
      <c r="C74" s="108">
        <v>500.4999999999999</v>
      </c>
      <c r="D74" s="108">
        <v>0</v>
      </c>
      <c r="E74" s="9">
        <v>31</v>
      </c>
      <c r="F74" s="50">
        <v>0</v>
      </c>
      <c r="G74" s="9">
        <v>304.296</v>
      </c>
      <c r="H74" s="138">
        <v>0</v>
      </c>
      <c r="I74" s="104">
        <v>245</v>
      </c>
      <c r="J74" s="9">
        <f t="shared" si="25"/>
        <v>14368040.595126411</v>
      </c>
      <c r="K74" s="99">
        <f t="shared" si="26"/>
        <v>700357.5594291762</v>
      </c>
      <c r="L74" s="98">
        <f t="shared" si="27"/>
        <v>0.051241864301358415</v>
      </c>
    </row>
    <row r="75" spans="1:12" ht="12.75">
      <c r="A75" s="3">
        <v>39083</v>
      </c>
      <c r="B75" s="118">
        <v>14499148.62807732</v>
      </c>
      <c r="C75" s="108">
        <v>647.1</v>
      </c>
      <c r="D75" s="108">
        <v>0</v>
      </c>
      <c r="E75" s="9">
        <v>31</v>
      </c>
      <c r="F75" s="50">
        <v>0</v>
      </c>
      <c r="G75" s="9">
        <v>351.912</v>
      </c>
      <c r="H75" s="138">
        <v>0</v>
      </c>
      <c r="I75" s="104">
        <v>247.21935248347722</v>
      </c>
      <c r="J75" s="9">
        <f t="shared" si="25"/>
        <v>15251331.010152966</v>
      </c>
      <c r="K75" s="99">
        <f t="shared" si="26"/>
        <v>752182.382075645</v>
      </c>
      <c r="L75" s="98">
        <f t="shared" si="27"/>
        <v>0.051877693054270674</v>
      </c>
    </row>
    <row r="76" spans="1:12" ht="12.75">
      <c r="A76" s="3">
        <v>39114</v>
      </c>
      <c r="B76" s="118">
        <v>13786101.957085518</v>
      </c>
      <c r="C76" s="108">
        <v>740.1</v>
      </c>
      <c r="D76" s="108">
        <v>0</v>
      </c>
      <c r="E76" s="9">
        <v>28</v>
      </c>
      <c r="F76" s="50">
        <v>0</v>
      </c>
      <c r="G76" s="9">
        <v>319.872</v>
      </c>
      <c r="H76" s="138">
        <v>0</v>
      </c>
      <c r="I76" s="104">
        <v>249.45880915244797</v>
      </c>
      <c r="J76" s="9">
        <f t="shared" si="25"/>
        <v>14779059.804716792</v>
      </c>
      <c r="K76" s="99">
        <f t="shared" si="26"/>
        <v>992957.8476312738</v>
      </c>
      <c r="L76" s="98">
        <f t="shared" si="27"/>
        <v>0.0720260049375982</v>
      </c>
    </row>
    <row r="77" spans="1:12" ht="12.75">
      <c r="A77" s="3">
        <v>39142</v>
      </c>
      <c r="B77" s="118">
        <v>14669987.932567721</v>
      </c>
      <c r="C77" s="108">
        <v>546.6999999999999</v>
      </c>
      <c r="D77" s="108">
        <v>0</v>
      </c>
      <c r="E77" s="9">
        <v>31</v>
      </c>
      <c r="F77" s="50">
        <v>1</v>
      </c>
      <c r="G77" s="9">
        <v>351.912</v>
      </c>
      <c r="H77" s="138">
        <v>0</v>
      </c>
      <c r="I77" s="104">
        <v>251.71855212231634</v>
      </c>
      <c r="J77" s="9">
        <f t="shared" si="25"/>
        <v>15161198.323718503</v>
      </c>
      <c r="K77" s="99">
        <f t="shared" si="26"/>
        <v>491210.3911507819</v>
      </c>
      <c r="L77" s="98">
        <f t="shared" si="27"/>
        <v>0.033484035120457264</v>
      </c>
    </row>
    <row r="78" spans="1:12" ht="12.75">
      <c r="A78" s="3">
        <v>39173</v>
      </c>
      <c r="B78" s="118">
        <v>13658496.962486433</v>
      </c>
      <c r="C78" s="108">
        <v>356.3999999999999</v>
      </c>
      <c r="D78" s="108">
        <v>0</v>
      </c>
      <c r="E78" s="9">
        <v>30</v>
      </c>
      <c r="F78" s="50">
        <v>1</v>
      </c>
      <c r="G78" s="9">
        <v>319.68</v>
      </c>
      <c r="H78" s="138">
        <v>0</v>
      </c>
      <c r="I78" s="104">
        <v>253.9987651581937</v>
      </c>
      <c r="J78" s="9">
        <f t="shared" si="25"/>
        <v>14432125.228567183</v>
      </c>
      <c r="K78" s="99">
        <f t="shared" si="26"/>
        <v>773628.2660807502</v>
      </c>
      <c r="L78" s="98">
        <f t="shared" si="27"/>
        <v>0.05664080522223996</v>
      </c>
    </row>
    <row r="79" spans="1:12" ht="12.75">
      <c r="A79" s="3">
        <v>39203</v>
      </c>
      <c r="B79" s="118">
        <v>14251535.67696068</v>
      </c>
      <c r="C79" s="108">
        <v>136.39999999999998</v>
      </c>
      <c r="D79" s="108">
        <v>22.4</v>
      </c>
      <c r="E79" s="9">
        <v>31</v>
      </c>
      <c r="F79" s="50">
        <v>1</v>
      </c>
      <c r="G79" s="9">
        <v>351.912</v>
      </c>
      <c r="H79" s="138">
        <v>0</v>
      </c>
      <c r="I79" s="104">
        <v>256.2996336898426</v>
      </c>
      <c r="J79" s="9">
        <f t="shared" si="25"/>
        <v>14831796.34232967</v>
      </c>
      <c r="K79" s="99">
        <f t="shared" si="26"/>
        <v>580260.6653689891</v>
      </c>
      <c r="L79" s="98">
        <f t="shared" si="27"/>
        <v>0.04071565889611813</v>
      </c>
    </row>
    <row r="80" spans="1:12" ht="12.75">
      <c r="A80" s="3">
        <v>39234</v>
      </c>
      <c r="B80" s="118">
        <v>14814543.203384256</v>
      </c>
      <c r="C80" s="108">
        <v>16.5</v>
      </c>
      <c r="D80" s="108">
        <v>99.2</v>
      </c>
      <c r="E80" s="9">
        <v>30</v>
      </c>
      <c r="F80" s="50">
        <v>0</v>
      </c>
      <c r="G80" s="9">
        <v>336.24</v>
      </c>
      <c r="H80" s="138">
        <v>0</v>
      </c>
      <c r="I80" s="104">
        <v>258.6213448267563</v>
      </c>
      <c r="J80" s="9">
        <f t="shared" si="25"/>
        <v>15378115.165996134</v>
      </c>
      <c r="K80" s="99">
        <f t="shared" si="26"/>
        <v>563571.9626118783</v>
      </c>
      <c r="L80" s="98">
        <f t="shared" si="27"/>
        <v>0.038041804926063134</v>
      </c>
    </row>
    <row r="81" spans="1:12" ht="12.75">
      <c r="A81" s="3">
        <v>39264</v>
      </c>
      <c r="B81" s="118">
        <v>14647679.79913173</v>
      </c>
      <c r="C81" s="108">
        <v>3.1999999999999997</v>
      </c>
      <c r="D81" s="108">
        <v>106.10000000000001</v>
      </c>
      <c r="E81" s="9">
        <v>31</v>
      </c>
      <c r="F81" s="50">
        <v>0</v>
      </c>
      <c r="G81" s="9">
        <v>336.288</v>
      </c>
      <c r="H81" s="138">
        <v>0</v>
      </c>
      <c r="I81" s="104">
        <v>260.9640873733746</v>
      </c>
      <c r="J81" s="9">
        <f t="shared" si="25"/>
        <v>15711359.4216673</v>
      </c>
      <c r="K81" s="99">
        <f t="shared" si="26"/>
        <v>1063679.6225355696</v>
      </c>
      <c r="L81" s="98">
        <f t="shared" si="27"/>
        <v>0.07261761842982267</v>
      </c>
    </row>
    <row r="82" spans="1:12" ht="12.75">
      <c r="A82" s="3">
        <v>39295</v>
      </c>
      <c r="B82" s="118">
        <v>15082402.015562033</v>
      </c>
      <c r="C82" s="108">
        <v>5.2</v>
      </c>
      <c r="D82" s="108">
        <v>140.99999999999997</v>
      </c>
      <c r="E82" s="9">
        <v>31</v>
      </c>
      <c r="F82" s="50">
        <v>0</v>
      </c>
      <c r="G82" s="9">
        <v>351.912</v>
      </c>
      <c r="H82" s="138">
        <v>0</v>
      </c>
      <c r="I82" s="104">
        <v>263.3280518444377</v>
      </c>
      <c r="J82" s="9">
        <f t="shared" si="25"/>
        <v>16377299.520959027</v>
      </c>
      <c r="K82" s="99">
        <f t="shared" si="26"/>
        <v>1294897.5053969938</v>
      </c>
      <c r="L82" s="98">
        <f t="shared" si="27"/>
        <v>0.08585485946210143</v>
      </c>
    </row>
    <row r="83" spans="1:12" ht="12.75">
      <c r="A83" s="3">
        <v>39326</v>
      </c>
      <c r="B83" s="118">
        <v>13794793.025220381</v>
      </c>
      <c r="C83" s="108">
        <v>36.9</v>
      </c>
      <c r="D83" s="108">
        <v>47.5</v>
      </c>
      <c r="E83" s="9">
        <v>30</v>
      </c>
      <c r="F83" s="50">
        <v>1</v>
      </c>
      <c r="G83" s="9">
        <v>303.84</v>
      </c>
      <c r="H83" s="138">
        <v>0</v>
      </c>
      <c r="I83" s="104">
        <v>265.7134304804792</v>
      </c>
      <c r="J83" s="9">
        <f t="shared" si="25"/>
        <v>14793958.823235271</v>
      </c>
      <c r="K83" s="99">
        <f t="shared" si="26"/>
        <v>999165.7980148904</v>
      </c>
      <c r="L83" s="98">
        <f t="shared" si="27"/>
        <v>0.07243064801249006</v>
      </c>
    </row>
    <row r="84" spans="1:12" ht="12.75">
      <c r="A84" s="3">
        <v>39356</v>
      </c>
      <c r="B84" s="118">
        <v>14221681.082969794</v>
      </c>
      <c r="C84" s="108">
        <v>137.7</v>
      </c>
      <c r="D84" s="108">
        <v>19.800000000000004</v>
      </c>
      <c r="E84" s="9">
        <v>31</v>
      </c>
      <c r="F84" s="50">
        <v>1</v>
      </c>
      <c r="G84" s="9">
        <v>351.912</v>
      </c>
      <c r="H84" s="138">
        <v>0</v>
      </c>
      <c r="I84" s="104">
        <v>268.1204172634592</v>
      </c>
      <c r="J84" s="9">
        <f t="shared" si="25"/>
        <v>15455240.824297503</v>
      </c>
      <c r="K84" s="99">
        <f t="shared" si="26"/>
        <v>1233559.7413277086</v>
      </c>
      <c r="L84" s="98">
        <f t="shared" si="27"/>
        <v>0.08673796959241858</v>
      </c>
    </row>
    <row r="85" spans="1:12" ht="12.75">
      <c r="A85" s="3">
        <v>39387</v>
      </c>
      <c r="B85" s="118">
        <v>14348083.254904356</v>
      </c>
      <c r="C85" s="108">
        <v>462.4999999999999</v>
      </c>
      <c r="D85" s="108">
        <v>0</v>
      </c>
      <c r="E85" s="9">
        <v>30</v>
      </c>
      <c r="F85" s="50">
        <v>1</v>
      </c>
      <c r="G85" s="9">
        <v>352.08</v>
      </c>
      <c r="H85" s="138">
        <v>0</v>
      </c>
      <c r="I85" s="104">
        <v>270.5492079325392</v>
      </c>
      <c r="J85" s="9">
        <f t="shared" si="25"/>
        <v>15871742.198900428</v>
      </c>
      <c r="K85" s="99">
        <f t="shared" si="26"/>
        <v>1523658.9439960718</v>
      </c>
      <c r="L85" s="98">
        <f t="shared" si="27"/>
        <v>0.10619250787210661</v>
      </c>
    </row>
    <row r="86" spans="1:12" ht="12.75">
      <c r="A86" s="3">
        <v>39417</v>
      </c>
      <c r="B86" s="118">
        <v>14560509.154587412</v>
      </c>
      <c r="C86" s="108">
        <v>630.7</v>
      </c>
      <c r="D86" s="108">
        <v>0</v>
      </c>
      <c r="E86" s="9">
        <v>31</v>
      </c>
      <c r="F86" s="50">
        <v>0</v>
      </c>
      <c r="G86" s="9">
        <v>304.296</v>
      </c>
      <c r="H86" s="138">
        <v>0</v>
      </c>
      <c r="I86" s="104">
        <v>273</v>
      </c>
      <c r="J86" s="9">
        <f t="shared" si="25"/>
        <v>16166997.091032706</v>
      </c>
      <c r="K86" s="99">
        <f t="shared" si="26"/>
        <v>1606487.936445294</v>
      </c>
      <c r="L86" s="98">
        <f t="shared" si="27"/>
        <v>0.1103318516811039</v>
      </c>
    </row>
    <row r="87" spans="1:12" ht="12.75">
      <c r="A87" s="3">
        <v>39448</v>
      </c>
      <c r="B87" s="118">
        <v>15500611.337879518</v>
      </c>
      <c r="C87" s="109">
        <v>623.4999999999999</v>
      </c>
      <c r="D87" s="109">
        <v>0</v>
      </c>
      <c r="E87" s="9">
        <v>31</v>
      </c>
      <c r="F87" s="50">
        <v>0</v>
      </c>
      <c r="G87" s="1">
        <v>352</v>
      </c>
      <c r="H87" s="138">
        <v>0</v>
      </c>
      <c r="I87" s="104">
        <v>273.0831937534877</v>
      </c>
      <c r="J87" s="9">
        <f t="shared" si="25"/>
        <v>16624933.72490641</v>
      </c>
      <c r="K87" s="99">
        <f t="shared" si="26"/>
        <v>1124322.387026891</v>
      </c>
      <c r="L87" s="98">
        <f t="shared" si="27"/>
        <v>0.072534067367997</v>
      </c>
    </row>
    <row r="88" spans="1:12" ht="12.75">
      <c r="A88" s="3">
        <v>39479</v>
      </c>
      <c r="B88" s="118">
        <v>14665320.310459876</v>
      </c>
      <c r="C88" s="109">
        <v>674.7</v>
      </c>
      <c r="D88" s="109">
        <v>0</v>
      </c>
      <c r="E88" s="9">
        <v>29</v>
      </c>
      <c r="F88" s="50">
        <v>0</v>
      </c>
      <c r="G88" s="1">
        <v>320</v>
      </c>
      <c r="H88" s="138">
        <v>0</v>
      </c>
      <c r="I88" s="104">
        <v>273.1664128593586</v>
      </c>
      <c r="J88" s="9">
        <f t="shared" si="25"/>
        <v>16106640.13282115</v>
      </c>
      <c r="K88" s="99">
        <f t="shared" si="26"/>
        <v>1441319.8223612737</v>
      </c>
      <c r="L88" s="98">
        <f t="shared" si="27"/>
        <v>0.09828082795663647</v>
      </c>
    </row>
    <row r="89" spans="1:12" ht="12.75">
      <c r="A89" s="3">
        <v>39508</v>
      </c>
      <c r="B89" s="118">
        <v>15470224.515767017</v>
      </c>
      <c r="C89" s="109">
        <v>610.1999999999999</v>
      </c>
      <c r="D89" s="109">
        <v>0</v>
      </c>
      <c r="E89" s="9">
        <v>31</v>
      </c>
      <c r="F89" s="50">
        <v>1</v>
      </c>
      <c r="G89" s="1">
        <v>304</v>
      </c>
      <c r="H89" s="138">
        <v>0</v>
      </c>
      <c r="I89" s="104">
        <v>273.2496573253386</v>
      </c>
      <c r="J89" s="9">
        <f t="shared" si="25"/>
        <v>16001113.52730859</v>
      </c>
      <c r="K89" s="99">
        <f t="shared" si="26"/>
        <v>530889.0115415733</v>
      </c>
      <c r="L89" s="98">
        <f t="shared" si="27"/>
        <v>0.03431682655933657</v>
      </c>
    </row>
    <row r="90" spans="1:12" ht="12.75">
      <c r="A90" s="3">
        <v>39539</v>
      </c>
      <c r="B90" s="118">
        <v>14493026.935654694</v>
      </c>
      <c r="C90" s="109">
        <v>253.90000000000003</v>
      </c>
      <c r="D90" s="109">
        <v>0</v>
      </c>
      <c r="E90" s="9">
        <v>30</v>
      </c>
      <c r="F90" s="50">
        <v>1</v>
      </c>
      <c r="G90" s="1">
        <v>352</v>
      </c>
      <c r="H90" s="138">
        <v>0</v>
      </c>
      <c r="I90" s="104">
        <v>273.33292715915593</v>
      </c>
      <c r="J90" s="9">
        <f t="shared" si="25"/>
        <v>15604811.970087957</v>
      </c>
      <c r="K90" s="99">
        <f t="shared" si="26"/>
        <v>1111785.0344332624</v>
      </c>
      <c r="L90" s="98">
        <f t="shared" si="27"/>
        <v>0.07671172070329418</v>
      </c>
    </row>
    <row r="91" spans="1:12" ht="12.75">
      <c r="A91" s="3">
        <v>39569</v>
      </c>
      <c r="B91" s="118">
        <v>14379603.674534883</v>
      </c>
      <c r="C91" s="109">
        <v>193.5</v>
      </c>
      <c r="D91" s="109">
        <v>2.5</v>
      </c>
      <c r="E91" s="9">
        <v>31</v>
      </c>
      <c r="F91" s="50">
        <v>1</v>
      </c>
      <c r="G91" s="1">
        <v>336</v>
      </c>
      <c r="H91" s="138">
        <v>0</v>
      </c>
      <c r="I91" s="104">
        <v>273.4162223685411</v>
      </c>
      <c r="J91" s="9">
        <f t="shared" si="25"/>
        <v>15514236.966157384</v>
      </c>
      <c r="K91" s="99">
        <f t="shared" si="26"/>
        <v>1134633.2916225009</v>
      </c>
      <c r="L91" s="98">
        <f t="shared" si="27"/>
        <v>0.07890574158395233</v>
      </c>
    </row>
    <row r="92" spans="1:12" ht="12.75">
      <c r="A92" s="3">
        <v>39600</v>
      </c>
      <c r="B92" s="118">
        <v>14950843.063142695</v>
      </c>
      <c r="C92" s="109">
        <v>22.7</v>
      </c>
      <c r="D92" s="109">
        <v>71.5</v>
      </c>
      <c r="E92" s="9">
        <v>30</v>
      </c>
      <c r="F92" s="50">
        <v>0</v>
      </c>
      <c r="G92" s="1">
        <v>336</v>
      </c>
      <c r="H92" s="138">
        <v>0</v>
      </c>
      <c r="I92" s="104">
        <v>273.49954296122706</v>
      </c>
      <c r="J92" s="9">
        <f t="shared" si="25"/>
        <v>15904423.695855437</v>
      </c>
      <c r="K92" s="99">
        <f t="shared" si="26"/>
        <v>953580.6327127423</v>
      </c>
      <c r="L92" s="98">
        <f t="shared" si="27"/>
        <v>0.06378106095324754</v>
      </c>
    </row>
    <row r="93" spans="1:12" ht="12.75">
      <c r="A93" s="3">
        <v>39630</v>
      </c>
      <c r="B93" s="118">
        <v>15930422.401201231</v>
      </c>
      <c r="C93" s="109">
        <v>1</v>
      </c>
      <c r="D93" s="109">
        <v>111.00000000000001</v>
      </c>
      <c r="E93" s="9">
        <v>31</v>
      </c>
      <c r="F93" s="50">
        <v>0</v>
      </c>
      <c r="G93" s="1">
        <v>352</v>
      </c>
      <c r="H93" s="138">
        <v>0</v>
      </c>
      <c r="I93" s="104">
        <v>273.5828889449491</v>
      </c>
      <c r="J93" s="9">
        <f t="shared" si="25"/>
        <v>16607103.415748402</v>
      </c>
      <c r="K93" s="99">
        <f t="shared" si="26"/>
        <v>676681.0145471711</v>
      </c>
      <c r="L93" s="98">
        <f t="shared" si="27"/>
        <v>0.04247728010627929</v>
      </c>
    </row>
    <row r="94" spans="1:12" ht="12.75">
      <c r="A94" s="3">
        <v>39661</v>
      </c>
      <c r="B94" s="118">
        <v>15111454.530038433</v>
      </c>
      <c r="C94" s="109">
        <v>12.700000000000001</v>
      </c>
      <c r="D94" s="109">
        <v>64</v>
      </c>
      <c r="E94" s="9">
        <v>31</v>
      </c>
      <c r="F94" s="50">
        <v>0</v>
      </c>
      <c r="G94" s="1">
        <v>320</v>
      </c>
      <c r="H94" s="138">
        <v>0</v>
      </c>
      <c r="I94" s="104">
        <v>273.66626032744483</v>
      </c>
      <c r="J94" s="9">
        <f t="shared" si="25"/>
        <v>15811096.393795464</v>
      </c>
      <c r="K94" s="99">
        <f t="shared" si="26"/>
        <v>699641.863757031</v>
      </c>
      <c r="L94" s="98">
        <f t="shared" si="27"/>
        <v>0.046298777021516246</v>
      </c>
    </row>
    <row r="95" spans="1:12" ht="12.75">
      <c r="A95" s="3">
        <v>39692</v>
      </c>
      <c r="B95" s="118">
        <v>14909314.589853948</v>
      </c>
      <c r="C95" s="110">
        <v>59.000000000000014</v>
      </c>
      <c r="D95" s="110">
        <v>26.7</v>
      </c>
      <c r="E95" s="9">
        <v>30</v>
      </c>
      <c r="F95" s="50">
        <v>1</v>
      </c>
      <c r="G95" s="1">
        <v>336</v>
      </c>
      <c r="H95" s="138">
        <v>0</v>
      </c>
      <c r="I95" s="104">
        <v>273.7496571164543</v>
      </c>
      <c r="J95" s="9">
        <f t="shared" si="25"/>
        <v>15369178.3524639</v>
      </c>
      <c r="K95" s="99">
        <f t="shared" si="26"/>
        <v>459863.7626099512</v>
      </c>
      <c r="L95" s="98">
        <f t="shared" si="27"/>
        <v>0.030844057910140055</v>
      </c>
    </row>
    <row r="96" spans="1:12" ht="12.75">
      <c r="A96" s="3">
        <v>39722</v>
      </c>
      <c r="B96" s="118">
        <v>14902218.392092124</v>
      </c>
      <c r="C96" s="110">
        <v>278.6</v>
      </c>
      <c r="D96" s="110">
        <v>0</v>
      </c>
      <c r="E96" s="9">
        <v>31</v>
      </c>
      <c r="F96" s="50">
        <v>1</v>
      </c>
      <c r="G96" s="1">
        <v>352</v>
      </c>
      <c r="H96" s="138">
        <v>0</v>
      </c>
      <c r="I96" s="104">
        <v>273.8330793197198</v>
      </c>
      <c r="J96" s="9">
        <f t="shared" si="25"/>
        <v>15837827.816203006</v>
      </c>
      <c r="K96" s="99">
        <f t="shared" si="26"/>
        <v>935609.424110882</v>
      </c>
      <c r="L96" s="98">
        <f t="shared" si="27"/>
        <v>0.06278323129443358</v>
      </c>
    </row>
    <row r="97" spans="1:12" ht="12.75">
      <c r="A97" s="3">
        <v>39753</v>
      </c>
      <c r="B97" s="118">
        <v>14939535.4424591</v>
      </c>
      <c r="C97" s="110">
        <v>451.60000000000014</v>
      </c>
      <c r="D97" s="110">
        <v>0</v>
      </c>
      <c r="E97" s="9">
        <v>30</v>
      </c>
      <c r="F97" s="50">
        <v>1</v>
      </c>
      <c r="G97" s="1">
        <v>304</v>
      </c>
      <c r="H97" s="138">
        <v>0</v>
      </c>
      <c r="I97" s="104">
        <v>273.9165269449861</v>
      </c>
      <c r="J97" s="9">
        <f t="shared" si="25"/>
        <v>15563224.600891635</v>
      </c>
      <c r="K97" s="99">
        <f t="shared" si="26"/>
        <v>623689.158432534</v>
      </c>
      <c r="L97" s="98">
        <f t="shared" si="27"/>
        <v>0.0417475604134229</v>
      </c>
    </row>
    <row r="98" spans="1:13" ht="12.75">
      <c r="A98" s="3">
        <v>39783</v>
      </c>
      <c r="B98" s="118">
        <v>15695159.710970486</v>
      </c>
      <c r="C98" s="110">
        <v>654.6000000000003</v>
      </c>
      <c r="D98" s="110">
        <v>0</v>
      </c>
      <c r="E98" s="9">
        <v>31</v>
      </c>
      <c r="F98" s="50">
        <v>0</v>
      </c>
      <c r="G98" s="1">
        <v>336</v>
      </c>
      <c r="H98" s="138">
        <v>0</v>
      </c>
      <c r="I98" s="104">
        <v>274</v>
      </c>
      <c r="J98" s="9">
        <f t="shared" si="25"/>
        <v>16580830.635326594</v>
      </c>
      <c r="K98" s="99">
        <f t="shared" si="26"/>
        <v>885670.9243561085</v>
      </c>
      <c r="L98" s="98">
        <f t="shared" si="27"/>
        <v>0.05642955794435458</v>
      </c>
      <c r="M98" s="81"/>
    </row>
    <row r="99" spans="1:34" s="13" customFormat="1" ht="12.75">
      <c r="A99" s="3">
        <v>39814</v>
      </c>
      <c r="B99" s="118">
        <v>16116629.738540292</v>
      </c>
      <c r="C99" s="110">
        <v>830.2</v>
      </c>
      <c r="D99" s="110">
        <v>0</v>
      </c>
      <c r="E99" s="9">
        <v>31</v>
      </c>
      <c r="F99" s="50">
        <v>0</v>
      </c>
      <c r="G99" s="1">
        <v>336</v>
      </c>
      <c r="H99" s="138">
        <v>0</v>
      </c>
      <c r="I99" s="104">
        <v>274.0831942617189</v>
      </c>
      <c r="J99" s="9">
        <f aca="true" t="shared" si="28" ref="J99:J130">$N$19+C99*$N$20+D99*$N$21+E99*$N$22+F99*$N$23+G99*$N$24+H99*$N$25+I99*$N$26</f>
        <v>16938110.00153508</v>
      </c>
      <c r="K99" s="99">
        <f aca="true" t="shared" si="29" ref="K99:K130">+J99-B99</f>
        <v>821480.2629947886</v>
      </c>
      <c r="L99" s="98">
        <f aca="true" t="shared" si="30" ref="L99:L130">+K99/B99</f>
        <v>0.05097097075019056</v>
      </c>
      <c r="M99" s="81"/>
      <c r="N99" s="1"/>
      <c r="O99" s="1"/>
      <c r="P99" s="1"/>
      <c r="Q99"/>
      <c r="R99"/>
      <c r="S99"/>
      <c r="T99"/>
      <c r="U99"/>
      <c r="V99"/>
      <c r="W99"/>
      <c r="X99"/>
      <c r="Y99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16" ht="12.75">
      <c r="A100" s="3">
        <v>39845</v>
      </c>
      <c r="B100" s="118">
        <v>14637377.98843449</v>
      </c>
      <c r="C100" s="110">
        <v>606.4</v>
      </c>
      <c r="D100" s="110">
        <v>0</v>
      </c>
      <c r="E100" s="9">
        <v>28</v>
      </c>
      <c r="F100" s="50">
        <v>0</v>
      </c>
      <c r="G100" s="1">
        <v>304</v>
      </c>
      <c r="H100" s="138">
        <v>0</v>
      </c>
      <c r="I100" s="104">
        <v>274.1664137836027</v>
      </c>
      <c r="J100" s="9">
        <f t="shared" si="28"/>
        <v>15711508.948824933</v>
      </c>
      <c r="K100" s="99">
        <f t="shared" si="29"/>
        <v>1074130.960390443</v>
      </c>
      <c r="L100" s="98">
        <f t="shared" si="30"/>
        <v>0.0733827439066718</v>
      </c>
      <c r="N100" s="1"/>
      <c r="O100" s="1"/>
      <c r="P100" s="1"/>
    </row>
    <row r="101" spans="1:16" ht="12.75">
      <c r="A101" s="3">
        <v>39873</v>
      </c>
      <c r="B101" s="118">
        <v>15472444.152294451</v>
      </c>
      <c r="C101" s="110">
        <v>533.8</v>
      </c>
      <c r="D101" s="110">
        <v>0</v>
      </c>
      <c r="E101" s="9">
        <v>31</v>
      </c>
      <c r="F101" s="50">
        <v>1</v>
      </c>
      <c r="G101" s="1">
        <v>352</v>
      </c>
      <c r="H101" s="138">
        <v>0</v>
      </c>
      <c r="I101" s="104">
        <v>274.24965857332114</v>
      </c>
      <c r="J101" s="9">
        <f t="shared" si="28"/>
        <v>16373297.904470395</v>
      </c>
      <c r="K101" s="99">
        <f t="shared" si="29"/>
        <v>900853.7521759439</v>
      </c>
      <c r="L101" s="98">
        <f t="shared" si="30"/>
        <v>0.05822310575555407</v>
      </c>
      <c r="M101" s="81"/>
      <c r="N101" s="1"/>
      <c r="O101" s="1"/>
      <c r="P101" s="1"/>
    </row>
    <row r="102" spans="1:16" ht="12.75">
      <c r="A102" s="3">
        <v>39904</v>
      </c>
      <c r="B102" s="118">
        <v>14249969.1380543</v>
      </c>
      <c r="C102" s="110">
        <v>305.8</v>
      </c>
      <c r="D102" s="110">
        <v>1.2</v>
      </c>
      <c r="E102" s="9">
        <v>30</v>
      </c>
      <c r="F102" s="50">
        <v>1</v>
      </c>
      <c r="G102" s="1">
        <v>320</v>
      </c>
      <c r="H102" s="138">
        <v>0</v>
      </c>
      <c r="I102" s="104">
        <v>274.3329286385462</v>
      </c>
      <c r="J102" s="9">
        <f t="shared" si="28"/>
        <v>15463172.872685498</v>
      </c>
      <c r="K102" s="99">
        <f t="shared" si="29"/>
        <v>1213203.7346311975</v>
      </c>
      <c r="L102" s="98">
        <f t="shared" si="30"/>
        <v>0.08513728857077715</v>
      </c>
      <c r="N102" s="1"/>
      <c r="O102" s="1"/>
      <c r="P102" s="1"/>
    </row>
    <row r="103" spans="1:16" ht="12.75">
      <c r="A103" s="3">
        <v>39934</v>
      </c>
      <c r="B103" s="118">
        <v>14657746.16005606</v>
      </c>
      <c r="C103" s="110">
        <v>158.79999999999998</v>
      </c>
      <c r="D103" s="110">
        <v>6.9</v>
      </c>
      <c r="E103" s="9">
        <v>31</v>
      </c>
      <c r="F103" s="50">
        <v>1</v>
      </c>
      <c r="G103" s="1">
        <v>320</v>
      </c>
      <c r="H103" s="138">
        <v>0</v>
      </c>
      <c r="I103" s="104">
        <v>274.4162239869523</v>
      </c>
      <c r="J103" s="9">
        <f t="shared" si="28"/>
        <v>15390305.019922301</v>
      </c>
      <c r="K103" s="99">
        <f t="shared" si="29"/>
        <v>732558.859866241</v>
      </c>
      <c r="L103" s="98">
        <f t="shared" si="30"/>
        <v>0.0499775921800681</v>
      </c>
      <c r="M103" s="81"/>
      <c r="N103" s="1"/>
      <c r="O103" s="1"/>
      <c r="P103" s="1"/>
    </row>
    <row r="104" spans="1:16" ht="12.75">
      <c r="A104" s="3">
        <v>39965</v>
      </c>
      <c r="B104" s="118">
        <v>15145976.355235014</v>
      </c>
      <c r="C104" s="110">
        <v>49.30000000000001</v>
      </c>
      <c r="D104" s="110">
        <v>34.2</v>
      </c>
      <c r="E104" s="9">
        <v>30</v>
      </c>
      <c r="F104" s="50">
        <v>0</v>
      </c>
      <c r="G104" s="1">
        <v>352</v>
      </c>
      <c r="H104" s="138">
        <v>0</v>
      </c>
      <c r="I104" s="104">
        <v>274.4995446262161</v>
      </c>
      <c r="J104" s="9">
        <f t="shared" si="28"/>
        <v>15764718.70080022</v>
      </c>
      <c r="K104" s="99">
        <f t="shared" si="29"/>
        <v>618742.3455652054</v>
      </c>
      <c r="L104" s="98">
        <f t="shared" si="30"/>
        <v>0.04085192866099682</v>
      </c>
      <c r="M104" s="81"/>
      <c r="N104" s="1"/>
      <c r="O104" s="1"/>
      <c r="P104" s="1"/>
    </row>
    <row r="105" spans="1:16" ht="12.75">
      <c r="A105" s="3">
        <v>39995</v>
      </c>
      <c r="B105" s="118">
        <v>15431247.77833362</v>
      </c>
      <c r="C105" s="110">
        <v>6.200000000000001</v>
      </c>
      <c r="D105" s="110">
        <v>43.699999999999996</v>
      </c>
      <c r="E105" s="9">
        <v>31</v>
      </c>
      <c r="F105" s="50">
        <v>0</v>
      </c>
      <c r="G105" s="1">
        <v>352</v>
      </c>
      <c r="H105" s="138">
        <v>0</v>
      </c>
      <c r="I105" s="104">
        <v>274.5828905640167</v>
      </c>
      <c r="J105" s="9">
        <f t="shared" si="28"/>
        <v>15941803.165480278</v>
      </c>
      <c r="K105" s="99">
        <f t="shared" si="29"/>
        <v>510555.3871466592</v>
      </c>
      <c r="L105" s="98">
        <f t="shared" si="30"/>
        <v>0.03308581357001532</v>
      </c>
      <c r="M105" s="81"/>
      <c r="N105" s="1"/>
      <c r="O105" s="1"/>
      <c r="P105" s="1"/>
    </row>
    <row r="106" spans="1:16" ht="12.75">
      <c r="A106" s="3">
        <v>40026</v>
      </c>
      <c r="B106" s="118">
        <v>15967682.253612908</v>
      </c>
      <c r="C106" s="110">
        <v>9.8</v>
      </c>
      <c r="D106" s="110">
        <v>91.00000000000001</v>
      </c>
      <c r="E106" s="9">
        <v>31</v>
      </c>
      <c r="F106" s="50">
        <v>0</v>
      </c>
      <c r="G106" s="1">
        <v>320</v>
      </c>
      <c r="H106" s="138">
        <v>0</v>
      </c>
      <c r="I106" s="104">
        <v>274.66626180803536</v>
      </c>
      <c r="J106" s="9">
        <f t="shared" si="28"/>
        <v>16153309.883116439</v>
      </c>
      <c r="K106" s="99">
        <f t="shared" si="29"/>
        <v>185627.62950353138</v>
      </c>
      <c r="L106" s="98">
        <f t="shared" si="30"/>
        <v>0.011625208126967242</v>
      </c>
      <c r="M106" s="81"/>
      <c r="N106" s="1"/>
      <c r="O106" s="1"/>
      <c r="P106" s="1"/>
    </row>
    <row r="107" spans="1:16" ht="12.75">
      <c r="A107" s="3">
        <v>40057</v>
      </c>
      <c r="B107" s="118">
        <v>15426669.714280626</v>
      </c>
      <c r="C107" s="110">
        <v>55.19999999999999</v>
      </c>
      <c r="D107" s="110">
        <v>20.9</v>
      </c>
      <c r="E107" s="9">
        <v>30</v>
      </c>
      <c r="F107" s="50">
        <v>1</v>
      </c>
      <c r="G107" s="1">
        <v>336</v>
      </c>
      <c r="H107" s="138">
        <v>0</v>
      </c>
      <c r="I107" s="104">
        <v>274.74965836595584</v>
      </c>
      <c r="J107" s="9">
        <f t="shared" si="28"/>
        <v>15353485.488542862</v>
      </c>
      <c r="K107" s="99">
        <f t="shared" si="29"/>
        <v>-73184.22573776357</v>
      </c>
      <c r="L107" s="98">
        <f t="shared" si="30"/>
        <v>-0.004744006781322101</v>
      </c>
      <c r="N107" s="1"/>
      <c r="O107" s="1"/>
      <c r="P107" s="1"/>
    </row>
    <row r="108" spans="1:16" ht="12.75">
      <c r="A108" s="3">
        <v>40087</v>
      </c>
      <c r="B108" s="118">
        <v>15448823.536369728</v>
      </c>
      <c r="C108" s="110">
        <v>287.8</v>
      </c>
      <c r="D108" s="110">
        <v>0</v>
      </c>
      <c r="E108" s="9">
        <v>31</v>
      </c>
      <c r="F108" s="50">
        <v>1</v>
      </c>
      <c r="G108" s="1">
        <v>336</v>
      </c>
      <c r="H108" s="138">
        <v>0</v>
      </c>
      <c r="I108" s="104">
        <v>274.83308024546415</v>
      </c>
      <c r="J108" s="9">
        <f t="shared" si="28"/>
        <v>15754304.333313657</v>
      </c>
      <c r="K108" s="99">
        <f t="shared" si="29"/>
        <v>305480.79694392905</v>
      </c>
      <c r="L108" s="98">
        <f t="shared" si="30"/>
        <v>0.019773725567177592</v>
      </c>
      <c r="M108" s="81"/>
      <c r="N108" s="1"/>
      <c r="O108" s="1"/>
      <c r="P108" s="1"/>
    </row>
    <row r="109" spans="1:16" ht="12.75">
      <c r="A109" s="3">
        <v>40118</v>
      </c>
      <c r="B109" s="118">
        <v>15454893.336258916</v>
      </c>
      <c r="C109" s="110">
        <v>361.2</v>
      </c>
      <c r="D109" s="110">
        <v>0</v>
      </c>
      <c r="E109" s="9">
        <v>30</v>
      </c>
      <c r="F109" s="50">
        <v>1</v>
      </c>
      <c r="G109" s="1">
        <v>320</v>
      </c>
      <c r="H109" s="138">
        <v>0</v>
      </c>
      <c r="I109" s="104">
        <v>274.91652745424864</v>
      </c>
      <c r="J109" s="9">
        <f t="shared" si="28"/>
        <v>15593466.167488588</v>
      </c>
      <c r="K109" s="99">
        <f t="shared" si="29"/>
        <v>138572.83122967184</v>
      </c>
      <c r="L109" s="98">
        <f t="shared" si="30"/>
        <v>0.008966275484060728</v>
      </c>
      <c r="N109" s="1"/>
      <c r="O109" s="1"/>
      <c r="P109" s="1"/>
    </row>
    <row r="110" spans="1:34" s="28" customFormat="1" ht="12.75">
      <c r="A110" s="3">
        <v>40148</v>
      </c>
      <c r="B110" s="118">
        <v>16548794.714654937</v>
      </c>
      <c r="C110" s="110">
        <v>631.3</v>
      </c>
      <c r="D110" s="110">
        <v>0</v>
      </c>
      <c r="E110" s="9">
        <v>31</v>
      </c>
      <c r="F110" s="50">
        <v>0</v>
      </c>
      <c r="G110" s="1">
        <v>352</v>
      </c>
      <c r="H110" s="138">
        <v>0</v>
      </c>
      <c r="I110" s="104">
        <v>275</v>
      </c>
      <c r="J110" s="9">
        <f t="shared" si="28"/>
        <v>16745849.669666696</v>
      </c>
      <c r="K110" s="99">
        <f t="shared" si="29"/>
        <v>197054.95501175895</v>
      </c>
      <c r="L110" s="98">
        <f t="shared" si="30"/>
        <v>0.011907510994577455</v>
      </c>
      <c r="M110" s="81"/>
      <c r="N110" s="1"/>
      <c r="O110" s="1"/>
      <c r="P110" s="1"/>
      <c r="Q110"/>
      <c r="R110"/>
      <c r="S110"/>
      <c r="T110"/>
      <c r="U110"/>
      <c r="V110"/>
      <c r="W110"/>
      <c r="X110"/>
      <c r="Y110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1:28" ht="12.75">
      <c r="A111" s="3">
        <v>40179</v>
      </c>
      <c r="B111" s="24">
        <v>16607241.709999997</v>
      </c>
      <c r="C111" s="111">
        <v>719.9999999999999</v>
      </c>
      <c r="D111" s="110">
        <v>0</v>
      </c>
      <c r="E111" s="9">
        <v>31</v>
      </c>
      <c r="F111" s="50">
        <v>0</v>
      </c>
      <c r="G111" s="1">
        <v>320</v>
      </c>
      <c r="H111" s="138">
        <v>0</v>
      </c>
      <c r="I111" s="51">
        <v>278</v>
      </c>
      <c r="J111" s="9">
        <f t="shared" si="28"/>
        <v>16774916.064798584</v>
      </c>
      <c r="K111" s="99">
        <f t="shared" si="29"/>
        <v>167674.35479858704</v>
      </c>
      <c r="L111" s="98">
        <f t="shared" si="30"/>
        <v>0.01009646019047356</v>
      </c>
      <c r="M111" s="81"/>
      <c r="Z111" s="10"/>
      <c r="AA111" s="10"/>
      <c r="AB111" s="10"/>
    </row>
    <row r="112" spans="1:13" ht="12.75">
      <c r="A112" s="3">
        <v>40210</v>
      </c>
      <c r="B112" s="24">
        <v>15539340.130000005</v>
      </c>
      <c r="C112" s="110">
        <v>598.3</v>
      </c>
      <c r="D112" s="110">
        <v>0</v>
      </c>
      <c r="E112" s="9">
        <v>28</v>
      </c>
      <c r="F112" s="50">
        <v>0</v>
      </c>
      <c r="G112" s="1">
        <v>304</v>
      </c>
      <c r="H112" s="138">
        <v>0</v>
      </c>
      <c r="I112" s="51">
        <v>277</v>
      </c>
      <c r="J112" s="9">
        <f t="shared" si="28"/>
        <v>15850826.99555596</v>
      </c>
      <c r="K112" s="99">
        <f t="shared" si="29"/>
        <v>311486.8655559551</v>
      </c>
      <c r="L112" s="98">
        <f t="shared" si="30"/>
        <v>0.020045051009251254</v>
      </c>
      <c r="M112" s="81"/>
    </row>
    <row r="113" spans="1:13" ht="12.75">
      <c r="A113" s="3">
        <v>40238</v>
      </c>
      <c r="B113" s="24">
        <v>16314929.890000002</v>
      </c>
      <c r="C113" s="110">
        <v>422.8</v>
      </c>
      <c r="D113" s="110">
        <v>0</v>
      </c>
      <c r="E113" s="9">
        <v>31</v>
      </c>
      <c r="F113" s="50">
        <v>1</v>
      </c>
      <c r="G113" s="1">
        <v>368</v>
      </c>
      <c r="H113" s="138">
        <v>0</v>
      </c>
      <c r="I113" s="51">
        <v>280</v>
      </c>
      <c r="J113" s="9">
        <f t="shared" si="28"/>
        <v>16622995.920461096</v>
      </c>
      <c r="K113" s="99">
        <f t="shared" si="29"/>
        <v>308066.0304610934</v>
      </c>
      <c r="L113" s="98">
        <f t="shared" si="30"/>
        <v>0.018882461189730148</v>
      </c>
      <c r="M113" s="81"/>
    </row>
    <row r="114" spans="1:13" ht="12.75">
      <c r="A114" s="3">
        <v>40269</v>
      </c>
      <c r="B114" s="24">
        <v>15007424.999999998</v>
      </c>
      <c r="C114" s="110">
        <v>225.1</v>
      </c>
      <c r="D114" s="110">
        <v>0</v>
      </c>
      <c r="E114" s="9">
        <v>30</v>
      </c>
      <c r="F114" s="50">
        <v>1</v>
      </c>
      <c r="G114" s="1">
        <v>320</v>
      </c>
      <c r="H114" s="138">
        <v>0</v>
      </c>
      <c r="I114" s="51">
        <v>279</v>
      </c>
      <c r="J114" s="9">
        <f t="shared" si="28"/>
        <v>15544311.874200592</v>
      </c>
      <c r="K114" s="99">
        <f t="shared" si="29"/>
        <v>536886.8742005937</v>
      </c>
      <c r="L114" s="98">
        <f t="shared" si="30"/>
        <v>0.03577474977889903</v>
      </c>
      <c r="M114" s="81"/>
    </row>
    <row r="115" spans="1:13" ht="12.75">
      <c r="A115" s="3">
        <v>40299</v>
      </c>
      <c r="B115" s="24">
        <v>15885424.93</v>
      </c>
      <c r="C115" s="110">
        <v>107.9</v>
      </c>
      <c r="D115" s="110">
        <v>45.7</v>
      </c>
      <c r="E115" s="9">
        <v>31</v>
      </c>
      <c r="F115" s="50">
        <v>1</v>
      </c>
      <c r="G115" s="1">
        <v>320</v>
      </c>
      <c r="H115" s="138">
        <v>0</v>
      </c>
      <c r="I115" s="51">
        <v>275</v>
      </c>
      <c r="J115" s="9">
        <f t="shared" si="28"/>
        <v>15741359.753019894</v>
      </c>
      <c r="K115" s="99">
        <f t="shared" si="29"/>
        <v>-144065.17698010616</v>
      </c>
      <c r="L115" s="98">
        <f t="shared" si="30"/>
        <v>-0.009069016259554736</v>
      </c>
      <c r="M115" s="81"/>
    </row>
    <row r="116" spans="1:13" ht="12.75">
      <c r="A116" s="3">
        <v>40330</v>
      </c>
      <c r="B116" s="24">
        <v>16146635.93</v>
      </c>
      <c r="C116" s="112">
        <v>21.7</v>
      </c>
      <c r="D116" s="112">
        <v>58.7</v>
      </c>
      <c r="E116" s="9">
        <v>30</v>
      </c>
      <c r="F116" s="50">
        <v>0</v>
      </c>
      <c r="G116" s="1">
        <v>352</v>
      </c>
      <c r="H116" s="138">
        <v>0</v>
      </c>
      <c r="I116" s="51">
        <v>254</v>
      </c>
      <c r="J116" s="9">
        <f t="shared" si="28"/>
        <v>14849671.710218396</v>
      </c>
      <c r="K116" s="99">
        <f t="shared" si="29"/>
        <v>-1296964.2197816037</v>
      </c>
      <c r="L116" s="98">
        <f t="shared" si="30"/>
        <v>-0.08032411366703823</v>
      </c>
      <c r="M116" s="81"/>
    </row>
    <row r="117" spans="1:13" ht="12.75">
      <c r="A117" s="3">
        <v>40360</v>
      </c>
      <c r="B117" s="24">
        <v>17272629.269999992</v>
      </c>
      <c r="C117" s="112">
        <v>1.8</v>
      </c>
      <c r="D117" s="112">
        <v>164.9</v>
      </c>
      <c r="E117" s="9">
        <v>31</v>
      </c>
      <c r="F117" s="50">
        <v>0</v>
      </c>
      <c r="G117" s="1">
        <v>336</v>
      </c>
      <c r="H117" s="138">
        <v>0</v>
      </c>
      <c r="I117" s="51">
        <v>255</v>
      </c>
      <c r="J117" s="9">
        <f t="shared" si="28"/>
        <v>16016616.1923437</v>
      </c>
      <c r="K117" s="99">
        <f t="shared" si="29"/>
        <v>-1256013.0776562914</v>
      </c>
      <c r="L117" s="98">
        <f t="shared" si="30"/>
        <v>-0.07271695918569854</v>
      </c>
      <c r="M117" s="81"/>
    </row>
    <row r="118" spans="1:13" ht="12.75">
      <c r="A118" s="3">
        <v>40391</v>
      </c>
      <c r="B118" s="24">
        <v>17113332.800000004</v>
      </c>
      <c r="C118" s="112">
        <v>2.1</v>
      </c>
      <c r="D118" s="112">
        <v>138.8</v>
      </c>
      <c r="E118" s="9">
        <v>31</v>
      </c>
      <c r="F118" s="50">
        <v>0</v>
      </c>
      <c r="G118" s="1">
        <v>336</v>
      </c>
      <c r="H118" s="138">
        <v>0</v>
      </c>
      <c r="I118" s="51">
        <v>255</v>
      </c>
      <c r="J118" s="9">
        <f t="shared" si="28"/>
        <v>15733859.831550524</v>
      </c>
      <c r="K118" s="99">
        <f t="shared" si="29"/>
        <v>-1379472.9684494808</v>
      </c>
      <c r="L118" s="98">
        <f t="shared" si="30"/>
        <v>-0.08060808403430807</v>
      </c>
      <c r="M118" s="81"/>
    </row>
    <row r="119" spans="1:13" ht="12.75">
      <c r="A119" s="3">
        <v>40422</v>
      </c>
      <c r="B119" s="24">
        <v>15405576.329999993</v>
      </c>
      <c r="C119" s="112">
        <v>78.2</v>
      </c>
      <c r="D119" s="112">
        <v>31.5</v>
      </c>
      <c r="E119" s="9">
        <v>30</v>
      </c>
      <c r="F119" s="50">
        <v>1</v>
      </c>
      <c r="G119" s="1">
        <v>336</v>
      </c>
      <c r="H119" s="138">
        <v>0</v>
      </c>
      <c r="I119" s="51">
        <v>255</v>
      </c>
      <c r="J119" s="9">
        <f t="shared" si="28"/>
        <v>14430341.424649686</v>
      </c>
      <c r="K119" s="99">
        <f t="shared" si="29"/>
        <v>-975234.905350307</v>
      </c>
      <c r="L119" s="98">
        <f t="shared" si="30"/>
        <v>-0.06330401956148742</v>
      </c>
      <c r="M119" s="81"/>
    </row>
    <row r="120" spans="1:13" ht="12.75">
      <c r="A120" s="3">
        <v>40452</v>
      </c>
      <c r="B120" s="24">
        <v>14981294.210000005</v>
      </c>
      <c r="C120" s="115">
        <v>241.6</v>
      </c>
      <c r="D120" s="115">
        <v>0</v>
      </c>
      <c r="E120" s="9">
        <v>31</v>
      </c>
      <c r="F120" s="50">
        <v>1</v>
      </c>
      <c r="G120" s="1">
        <v>320</v>
      </c>
      <c r="H120" s="138">
        <v>0</v>
      </c>
      <c r="I120" s="51">
        <v>255</v>
      </c>
      <c r="J120" s="9">
        <f t="shared" si="28"/>
        <v>14415592.353013406</v>
      </c>
      <c r="K120" s="99">
        <f t="shared" si="29"/>
        <v>-565701.856986599</v>
      </c>
      <c r="L120" s="98">
        <f t="shared" si="30"/>
        <v>-0.03776054652267582</v>
      </c>
      <c r="M120" s="81"/>
    </row>
    <row r="121" spans="1:13" ht="12.75">
      <c r="A121" s="3">
        <v>40483</v>
      </c>
      <c r="B121" s="24">
        <v>15613489.4</v>
      </c>
      <c r="C121" s="113">
        <v>405.3</v>
      </c>
      <c r="D121" s="113">
        <v>0</v>
      </c>
      <c r="E121" s="9">
        <v>30</v>
      </c>
      <c r="F121" s="50">
        <v>1</v>
      </c>
      <c r="G121" s="1">
        <v>336</v>
      </c>
      <c r="H121" s="138">
        <v>0</v>
      </c>
      <c r="I121" s="51">
        <v>255</v>
      </c>
      <c r="J121" s="9">
        <f t="shared" si="28"/>
        <v>14745371.6777405</v>
      </c>
      <c r="K121" s="99">
        <f t="shared" si="29"/>
        <v>-868117.722259501</v>
      </c>
      <c r="L121" s="98">
        <f t="shared" si="30"/>
        <v>-0.05560049390749905</v>
      </c>
      <c r="M121" s="81"/>
    </row>
    <row r="122" spans="1:13" ht="12.75">
      <c r="A122" s="3">
        <v>40513</v>
      </c>
      <c r="B122" s="24">
        <v>16719948.32</v>
      </c>
      <c r="C122" s="113">
        <v>676.2</v>
      </c>
      <c r="D122" s="113">
        <v>0</v>
      </c>
      <c r="E122" s="9">
        <v>31</v>
      </c>
      <c r="F122" s="50">
        <v>0</v>
      </c>
      <c r="G122" s="1">
        <v>368</v>
      </c>
      <c r="H122" s="138">
        <v>0</v>
      </c>
      <c r="I122" s="51">
        <v>257</v>
      </c>
      <c r="J122" s="9">
        <f t="shared" si="28"/>
        <v>16004595.571180817</v>
      </c>
      <c r="K122" s="99">
        <f t="shared" si="29"/>
        <v>-715352.7488191836</v>
      </c>
      <c r="L122" s="98">
        <f t="shared" si="30"/>
        <v>-0.04278438755480457</v>
      </c>
      <c r="M122" s="81"/>
    </row>
    <row r="123" spans="1:12" ht="12.75">
      <c r="A123" s="3">
        <v>40544</v>
      </c>
      <c r="B123" s="80">
        <v>16624484.049999999</v>
      </c>
      <c r="C123" s="113">
        <v>775.3</v>
      </c>
      <c r="D123" s="113">
        <v>0</v>
      </c>
      <c r="E123" s="9">
        <v>31</v>
      </c>
      <c r="F123" s="50">
        <v>0</v>
      </c>
      <c r="G123" s="1">
        <v>320</v>
      </c>
      <c r="H123" s="138">
        <v>0</v>
      </c>
      <c r="I123" s="51">
        <v>257</v>
      </c>
      <c r="J123" s="9">
        <f t="shared" si="28"/>
        <v>15732915.056031687</v>
      </c>
      <c r="K123" s="99">
        <f t="shared" si="29"/>
        <v>-891568.9939683117</v>
      </c>
      <c r="L123" s="98">
        <f t="shared" si="30"/>
        <v>-0.05362987454448619</v>
      </c>
    </row>
    <row r="124" spans="1:12" ht="12.75">
      <c r="A124" s="3">
        <v>40575</v>
      </c>
      <c r="B124" s="24">
        <v>15658887.129999997</v>
      </c>
      <c r="C124" s="113">
        <v>654.2</v>
      </c>
      <c r="D124" s="113">
        <v>0</v>
      </c>
      <c r="E124" s="9">
        <v>28</v>
      </c>
      <c r="F124" s="50">
        <v>0</v>
      </c>
      <c r="G124" s="1">
        <v>304</v>
      </c>
      <c r="H124" s="138">
        <v>0</v>
      </c>
      <c r="I124" s="51">
        <v>255</v>
      </c>
      <c r="J124" s="9">
        <f t="shared" si="28"/>
        <v>14755122.724596953</v>
      </c>
      <c r="K124" s="99">
        <f t="shared" si="29"/>
        <v>-903764.4054030441</v>
      </c>
      <c r="L124" s="98">
        <f t="shared" si="30"/>
        <v>-0.057715749395215434</v>
      </c>
    </row>
    <row r="125" spans="1:12" ht="12.75">
      <c r="A125" s="3">
        <v>40603</v>
      </c>
      <c r="B125" s="24">
        <v>16577681.930000002</v>
      </c>
      <c r="C125" s="113">
        <v>572.8</v>
      </c>
      <c r="D125" s="113">
        <v>0</v>
      </c>
      <c r="E125" s="9">
        <v>31</v>
      </c>
      <c r="F125" s="50">
        <v>1</v>
      </c>
      <c r="G125" s="1">
        <v>368</v>
      </c>
      <c r="H125" s="138">
        <v>0</v>
      </c>
      <c r="I125" s="51">
        <v>256</v>
      </c>
      <c r="J125" s="9">
        <f t="shared" si="28"/>
        <v>15606484.668353083</v>
      </c>
      <c r="K125" s="99">
        <f t="shared" si="29"/>
        <v>-971197.261646919</v>
      </c>
      <c r="L125" s="98">
        <f t="shared" si="30"/>
        <v>-0.058584623938849986</v>
      </c>
    </row>
    <row r="126" spans="1:12" ht="12.75">
      <c r="A126" s="3">
        <v>40634</v>
      </c>
      <c r="B126" s="24">
        <v>14870365.83</v>
      </c>
      <c r="C126" s="113">
        <v>332.3</v>
      </c>
      <c r="D126" s="113">
        <v>0</v>
      </c>
      <c r="E126" s="9">
        <v>30</v>
      </c>
      <c r="F126" s="50">
        <v>1</v>
      </c>
      <c r="G126" s="1">
        <v>320</v>
      </c>
      <c r="H126" s="138">
        <v>0</v>
      </c>
      <c r="I126" s="51">
        <v>257</v>
      </c>
      <c r="J126" s="9">
        <f t="shared" si="28"/>
        <v>14551649.116352098</v>
      </c>
      <c r="K126" s="99">
        <f t="shared" si="29"/>
        <v>-318716.713647902</v>
      </c>
      <c r="L126" s="98">
        <f t="shared" si="30"/>
        <v>-0.0214330109488572</v>
      </c>
    </row>
    <row r="127" spans="1:12" ht="12.75">
      <c r="A127" s="3">
        <v>40664</v>
      </c>
      <c r="B127" s="24">
        <v>15387555.400000006</v>
      </c>
      <c r="C127" s="113">
        <v>134.1</v>
      </c>
      <c r="D127" s="113">
        <v>13</v>
      </c>
      <c r="E127" s="9">
        <v>31</v>
      </c>
      <c r="F127" s="50">
        <v>1</v>
      </c>
      <c r="G127" s="1">
        <v>336</v>
      </c>
      <c r="H127" s="138">
        <v>0</v>
      </c>
      <c r="I127" s="51">
        <v>263</v>
      </c>
      <c r="J127" s="9">
        <f t="shared" si="28"/>
        <v>14936982.341374652</v>
      </c>
      <c r="K127" s="99">
        <f t="shared" si="29"/>
        <v>-450573.0586253535</v>
      </c>
      <c r="L127" s="98">
        <f t="shared" si="30"/>
        <v>-0.029281653057467032</v>
      </c>
    </row>
    <row r="128" spans="1:12" ht="12.75">
      <c r="A128" s="3">
        <v>40695</v>
      </c>
      <c r="B128" s="24">
        <v>16284746.79</v>
      </c>
      <c r="C128" s="113">
        <v>19</v>
      </c>
      <c r="D128" s="113">
        <v>52.2</v>
      </c>
      <c r="E128" s="9">
        <v>30</v>
      </c>
      <c r="F128" s="50">
        <v>0</v>
      </c>
      <c r="G128" s="1">
        <v>352</v>
      </c>
      <c r="H128" s="138">
        <v>0</v>
      </c>
      <c r="I128" s="51">
        <v>263</v>
      </c>
      <c r="J128" s="9">
        <f t="shared" si="28"/>
        <v>15267855.988406047</v>
      </c>
      <c r="K128" s="99">
        <f t="shared" si="29"/>
        <v>-1016890.8015939519</v>
      </c>
      <c r="L128" s="98">
        <f t="shared" si="30"/>
        <v>-0.06244437292807007</v>
      </c>
    </row>
    <row r="129" spans="1:12" ht="12.75">
      <c r="A129" s="3">
        <v>40725</v>
      </c>
      <c r="B129" s="24">
        <v>16946151.27</v>
      </c>
      <c r="C129" s="113">
        <v>0</v>
      </c>
      <c r="D129" s="113">
        <v>198.5</v>
      </c>
      <c r="E129" s="9">
        <v>31</v>
      </c>
      <c r="F129" s="50">
        <v>0</v>
      </c>
      <c r="G129" s="1">
        <v>320</v>
      </c>
      <c r="H129" s="138">
        <v>0</v>
      </c>
      <c r="I129" s="51">
        <v>265</v>
      </c>
      <c r="J129" s="9">
        <f t="shared" si="28"/>
        <v>16769957.74827675</v>
      </c>
      <c r="K129" s="99">
        <f t="shared" si="29"/>
        <v>-176193.52172324993</v>
      </c>
      <c r="L129" s="98">
        <f t="shared" si="30"/>
        <v>-0.010397258877015201</v>
      </c>
    </row>
    <row r="130" spans="1:12" ht="12.75">
      <c r="A130" s="3">
        <v>40756</v>
      </c>
      <c r="B130" s="24">
        <v>16700144.319999998</v>
      </c>
      <c r="C130" s="113">
        <v>0</v>
      </c>
      <c r="D130" s="113">
        <v>122.2</v>
      </c>
      <c r="E130" s="9">
        <v>31</v>
      </c>
      <c r="F130" s="50">
        <v>0</v>
      </c>
      <c r="G130" s="1">
        <v>352</v>
      </c>
      <c r="H130" s="138">
        <v>0</v>
      </c>
      <c r="I130" s="51">
        <v>267</v>
      </c>
      <c r="J130" s="9">
        <f t="shared" si="28"/>
        <v>16365233.380270686</v>
      </c>
      <c r="K130" s="99">
        <f t="shared" si="29"/>
        <v>-334910.93972931243</v>
      </c>
      <c r="L130" s="98">
        <f t="shared" si="30"/>
        <v>-0.02005437398096165</v>
      </c>
    </row>
    <row r="131" spans="1:12" ht="12.75">
      <c r="A131" s="3">
        <v>40787</v>
      </c>
      <c r="B131" s="24">
        <v>15666778.779999997</v>
      </c>
      <c r="C131" s="113">
        <v>48.2</v>
      </c>
      <c r="D131" s="113">
        <v>39.7</v>
      </c>
      <c r="E131" s="9">
        <v>30</v>
      </c>
      <c r="F131" s="50">
        <v>1</v>
      </c>
      <c r="G131" s="1">
        <v>336</v>
      </c>
      <c r="H131" s="138">
        <v>0</v>
      </c>
      <c r="I131" s="51">
        <v>268</v>
      </c>
      <c r="J131" s="9">
        <f aca="true" t="shared" si="31" ref="J131:J162">$N$19+C131*$N$20+D131*$N$21+E131*$N$22+F131*$N$23+G131*$N$24+H131*$N$25+I131*$N$26</f>
        <v>15172917.417671343</v>
      </c>
      <c r="K131" s="99">
        <f aca="true" t="shared" si="32" ref="K131:K162">+J131-B131</f>
        <v>-493861.36232865416</v>
      </c>
      <c r="L131" s="98">
        <f aca="true" t="shared" si="33" ref="L131:L162">+K131/B131</f>
        <v>-0.03152284009774307</v>
      </c>
    </row>
    <row r="132" spans="1:12" ht="12.75">
      <c r="A132" s="3">
        <v>40817</v>
      </c>
      <c r="B132" s="24">
        <v>15493508.160000006</v>
      </c>
      <c r="C132" s="113">
        <v>235.5</v>
      </c>
      <c r="D132" s="113">
        <v>2.4</v>
      </c>
      <c r="E132" s="9">
        <v>31</v>
      </c>
      <c r="F132" s="50">
        <v>1</v>
      </c>
      <c r="G132" s="1">
        <v>320</v>
      </c>
      <c r="H132" s="138">
        <v>0</v>
      </c>
      <c r="I132" s="51">
        <v>270</v>
      </c>
      <c r="J132" s="9">
        <f t="shared" si="31"/>
        <v>15253022.239460694</v>
      </c>
      <c r="K132" s="99">
        <f t="shared" si="32"/>
        <v>-240485.92053931206</v>
      </c>
      <c r="L132" s="98">
        <f t="shared" si="33"/>
        <v>-0.01552172161758567</v>
      </c>
    </row>
    <row r="133" spans="1:12" ht="12.75">
      <c r="A133" s="3">
        <v>40848</v>
      </c>
      <c r="B133" s="24">
        <v>15848617.690000003</v>
      </c>
      <c r="C133" s="113">
        <v>341.9</v>
      </c>
      <c r="D133" s="113">
        <v>0</v>
      </c>
      <c r="E133" s="9">
        <v>30</v>
      </c>
      <c r="F133" s="50">
        <v>1</v>
      </c>
      <c r="G133" s="1">
        <v>352</v>
      </c>
      <c r="H133" s="138">
        <v>0</v>
      </c>
      <c r="I133" s="51">
        <v>271</v>
      </c>
      <c r="J133" s="9">
        <f t="shared" si="31"/>
        <v>15653471.98301807</v>
      </c>
      <c r="K133" s="99">
        <f t="shared" si="32"/>
        <v>-195145.70698193274</v>
      </c>
      <c r="L133" s="98">
        <f t="shared" si="33"/>
        <v>-0.012313105836672668</v>
      </c>
    </row>
    <row r="134" spans="1:12" ht="12.75">
      <c r="A134" s="3">
        <v>40878</v>
      </c>
      <c r="B134" s="24">
        <v>16723848.409999998</v>
      </c>
      <c r="C134" s="113">
        <v>534</v>
      </c>
      <c r="D134" s="113">
        <v>0</v>
      </c>
      <c r="E134" s="9">
        <v>31</v>
      </c>
      <c r="F134" s="50">
        <v>0</v>
      </c>
      <c r="G134" s="1">
        <v>320</v>
      </c>
      <c r="H134" s="138">
        <v>0</v>
      </c>
      <c r="I134" s="51">
        <v>271</v>
      </c>
      <c r="J134" s="9">
        <f t="shared" si="31"/>
        <v>16016956.274412494</v>
      </c>
      <c r="K134" s="99">
        <f t="shared" si="32"/>
        <v>-706892.1355875041</v>
      </c>
      <c r="L134" s="98">
        <f t="shared" si="33"/>
        <v>-0.0422685089135835</v>
      </c>
    </row>
    <row r="135" spans="1:12" ht="12.75">
      <c r="A135" s="3">
        <v>40909</v>
      </c>
      <c r="B135" s="24">
        <v>16556508.93</v>
      </c>
      <c r="C135" s="113">
        <v>611.1</v>
      </c>
      <c r="D135" s="113">
        <v>0</v>
      </c>
      <c r="E135" s="9">
        <f>+Residential!E135</f>
        <v>31</v>
      </c>
      <c r="F135" s="50">
        <f>+Residential!F135</f>
        <v>0</v>
      </c>
      <c r="G135" s="1">
        <v>336</v>
      </c>
      <c r="H135" s="138">
        <v>0</v>
      </c>
      <c r="I135" s="51">
        <v>271</v>
      </c>
      <c r="J135" s="9">
        <f t="shared" si="31"/>
        <v>16328730.974600043</v>
      </c>
      <c r="K135" s="99">
        <f t="shared" si="32"/>
        <v>-227777.95539995655</v>
      </c>
      <c r="L135" s="98">
        <f t="shared" si="33"/>
        <v>-0.013757607739831453</v>
      </c>
    </row>
    <row r="136" spans="1:12" ht="12.75">
      <c r="A136" s="3">
        <v>40940</v>
      </c>
      <c r="B136" s="24">
        <v>15850543.67</v>
      </c>
      <c r="C136" s="113">
        <v>531.7</v>
      </c>
      <c r="D136" s="113">
        <v>0</v>
      </c>
      <c r="E136" s="9">
        <f>+Residential!E136</f>
        <v>29</v>
      </c>
      <c r="F136" s="50">
        <f>+Residential!F136</f>
        <v>0</v>
      </c>
      <c r="G136" s="1">
        <v>320</v>
      </c>
      <c r="H136" s="138">
        <v>0</v>
      </c>
      <c r="I136" s="51">
        <v>272</v>
      </c>
      <c r="J136" s="9">
        <f t="shared" si="31"/>
        <v>15755363.50999113</v>
      </c>
      <c r="K136" s="99">
        <f t="shared" si="32"/>
        <v>-95180.16000887007</v>
      </c>
      <c r="L136" s="98">
        <f t="shared" si="33"/>
        <v>-0.0060048514417215615</v>
      </c>
    </row>
    <row r="137" spans="1:12" ht="12.75">
      <c r="A137" s="3">
        <v>40969</v>
      </c>
      <c r="B137" s="24">
        <v>16308714.269999996</v>
      </c>
      <c r="C137" s="113">
        <v>349.4</v>
      </c>
      <c r="D137" s="113">
        <v>0.2</v>
      </c>
      <c r="E137" s="9">
        <f>+Residential!E137</f>
        <v>31</v>
      </c>
      <c r="F137" s="50">
        <f>+Residential!F137</f>
        <v>1</v>
      </c>
      <c r="G137" s="1">
        <v>352</v>
      </c>
      <c r="H137" s="138">
        <v>0</v>
      </c>
      <c r="I137" s="51">
        <v>272</v>
      </c>
      <c r="J137" s="9">
        <f t="shared" si="31"/>
        <v>15881556.98848851</v>
      </c>
      <c r="K137" s="99">
        <f t="shared" si="32"/>
        <v>-427157.2815114856</v>
      </c>
      <c r="L137" s="98">
        <f t="shared" si="33"/>
        <v>-0.026191965500140295</v>
      </c>
    </row>
    <row r="138" spans="1:12" ht="12.75">
      <c r="A138" s="3">
        <v>41000</v>
      </c>
      <c r="B138" s="24">
        <v>14651507.389999997</v>
      </c>
      <c r="C138" s="114">
        <v>321.7</v>
      </c>
      <c r="D138" s="114">
        <v>0</v>
      </c>
      <c r="E138" s="9">
        <f>+Residential!E138</f>
        <v>30</v>
      </c>
      <c r="F138" s="50">
        <f>+Residential!F138</f>
        <v>1</v>
      </c>
      <c r="G138" s="1">
        <v>320</v>
      </c>
      <c r="H138" s="138">
        <v>0</v>
      </c>
      <c r="I138" s="51">
        <v>272</v>
      </c>
      <c r="J138" s="9">
        <f t="shared" si="31"/>
        <v>15353984.278844345</v>
      </c>
      <c r="K138" s="99">
        <f t="shared" si="32"/>
        <v>702476.8888443485</v>
      </c>
      <c r="L138" s="98">
        <f t="shared" si="33"/>
        <v>0.04794570757434868</v>
      </c>
    </row>
    <row r="139" spans="1:12" ht="12.75">
      <c r="A139" s="3">
        <v>41030</v>
      </c>
      <c r="B139" s="24">
        <v>16853445.38</v>
      </c>
      <c r="C139" s="114">
        <v>80.7</v>
      </c>
      <c r="D139" s="114">
        <v>36.7</v>
      </c>
      <c r="E139" s="9">
        <f>+Residential!E139</f>
        <v>31</v>
      </c>
      <c r="F139" s="50">
        <f>+Residential!F139</f>
        <v>1</v>
      </c>
      <c r="G139" s="1">
        <v>352</v>
      </c>
      <c r="H139" s="138">
        <v>0</v>
      </c>
      <c r="I139" s="51">
        <v>273</v>
      </c>
      <c r="J139" s="9">
        <f t="shared" si="31"/>
        <v>15793021.103063576</v>
      </c>
      <c r="K139" s="99">
        <f t="shared" si="32"/>
        <v>-1060424.276936423</v>
      </c>
      <c r="L139" s="98">
        <f t="shared" si="33"/>
        <v>-0.0629203259646143</v>
      </c>
    </row>
    <row r="140" spans="1:12" ht="12.75">
      <c r="A140" s="3">
        <v>41061</v>
      </c>
      <c r="B140" s="24">
        <v>16649642.679999992</v>
      </c>
      <c r="C140" s="114">
        <v>23.2</v>
      </c>
      <c r="D140" s="114">
        <v>101.6</v>
      </c>
      <c r="E140" s="9">
        <f>+Residential!E140</f>
        <v>30</v>
      </c>
      <c r="F140" s="50">
        <f>+Residential!F140</f>
        <v>0</v>
      </c>
      <c r="G140" s="1">
        <v>336</v>
      </c>
      <c r="H140" s="138">
        <v>0</v>
      </c>
      <c r="I140" s="51">
        <v>271</v>
      </c>
      <c r="J140" s="9">
        <f t="shared" si="31"/>
        <v>16094967.629794024</v>
      </c>
      <c r="K140" s="99">
        <f t="shared" si="32"/>
        <v>-554675.0502059683</v>
      </c>
      <c r="L140" s="98">
        <f t="shared" si="33"/>
        <v>-0.03331453178104892</v>
      </c>
    </row>
    <row r="141" spans="1:12" ht="12.75">
      <c r="A141" s="3">
        <v>41091</v>
      </c>
      <c r="B141" s="24">
        <v>16931323.719999995</v>
      </c>
      <c r="C141" s="114">
        <v>0</v>
      </c>
      <c r="D141" s="114">
        <v>195.1</v>
      </c>
      <c r="E141" s="9">
        <f>+Residential!E141</f>
        <v>31</v>
      </c>
      <c r="F141" s="50">
        <f>+Residential!F141</f>
        <v>0</v>
      </c>
      <c r="G141" s="1">
        <v>336</v>
      </c>
      <c r="H141" s="138">
        <v>0</v>
      </c>
      <c r="I141" s="51">
        <v>271</v>
      </c>
      <c r="J141" s="9">
        <f t="shared" si="31"/>
        <v>17219406.785145696</v>
      </c>
      <c r="K141" s="99">
        <f t="shared" si="32"/>
        <v>288083.06514570117</v>
      </c>
      <c r="L141" s="98">
        <f t="shared" si="33"/>
        <v>0.017014798719216812</v>
      </c>
    </row>
    <row r="142" spans="1:12" ht="12.75">
      <c r="A142" s="3">
        <v>41122</v>
      </c>
      <c r="B142" s="24">
        <v>16567283.779999997</v>
      </c>
      <c r="C142" s="114">
        <v>2</v>
      </c>
      <c r="D142" s="114">
        <v>112.1</v>
      </c>
      <c r="E142" s="9">
        <f>+Residential!E142</f>
        <v>31</v>
      </c>
      <c r="F142" s="50">
        <f>+Residential!F142</f>
        <v>0</v>
      </c>
      <c r="G142" s="1">
        <v>352</v>
      </c>
      <c r="H142" s="138">
        <v>0</v>
      </c>
      <c r="I142" s="51">
        <v>270</v>
      </c>
      <c r="J142" s="9">
        <f t="shared" si="31"/>
        <v>16424323.56034616</v>
      </c>
      <c r="K142" s="99">
        <f t="shared" si="32"/>
        <v>-142960.21965383738</v>
      </c>
      <c r="L142" s="98">
        <f t="shared" si="33"/>
        <v>-0.008629068080937852</v>
      </c>
    </row>
    <row r="143" spans="1:12" ht="12.75">
      <c r="A143" s="3">
        <v>41153</v>
      </c>
      <c r="B143" s="24">
        <v>15411421.599999998</v>
      </c>
      <c r="C143" s="114">
        <v>85</v>
      </c>
      <c r="D143" s="114">
        <v>35.6</v>
      </c>
      <c r="E143" s="9">
        <f>+Residential!E143</f>
        <v>30</v>
      </c>
      <c r="F143" s="50">
        <f>+Residential!F143</f>
        <v>1</v>
      </c>
      <c r="G143" s="1">
        <v>304</v>
      </c>
      <c r="H143" s="138">
        <v>0</v>
      </c>
      <c r="I143" s="51">
        <v>271</v>
      </c>
      <c r="J143" s="9">
        <f t="shared" si="31"/>
        <v>15053224.811458034</v>
      </c>
      <c r="K143" s="99">
        <f t="shared" si="32"/>
        <v>-358196.7885419633</v>
      </c>
      <c r="L143" s="98">
        <f t="shared" si="33"/>
        <v>-0.023242293789559516</v>
      </c>
    </row>
    <row r="144" spans="1:12" ht="12.75">
      <c r="A144" s="3">
        <v>41183</v>
      </c>
      <c r="B144" s="24">
        <v>15760124.100000001</v>
      </c>
      <c r="C144" s="114">
        <v>242.5</v>
      </c>
      <c r="D144" s="114">
        <v>1.1</v>
      </c>
      <c r="E144" s="9">
        <f>+Residential!E144</f>
        <v>31</v>
      </c>
      <c r="F144" s="50">
        <f>+Residential!F144</f>
        <v>1</v>
      </c>
      <c r="G144" s="1">
        <v>352</v>
      </c>
      <c r="H144" s="138">
        <v>0</v>
      </c>
      <c r="I144" s="51">
        <v>271</v>
      </c>
      <c r="J144" s="9">
        <f t="shared" si="31"/>
        <v>15621699.52628336</v>
      </c>
      <c r="K144" s="99">
        <f t="shared" si="32"/>
        <v>-138424.57371664234</v>
      </c>
      <c r="L144" s="98">
        <f t="shared" si="33"/>
        <v>-0.008783215972052042</v>
      </c>
    </row>
    <row r="145" spans="1:12" ht="12.75">
      <c r="A145" s="3">
        <v>41214</v>
      </c>
      <c r="B145" s="24">
        <v>16203457.51</v>
      </c>
      <c r="C145" s="113">
        <v>434</v>
      </c>
      <c r="D145" s="113">
        <v>0</v>
      </c>
      <c r="E145" s="9">
        <f>+Residential!E145</f>
        <v>30</v>
      </c>
      <c r="F145" s="50">
        <f>+Residential!F145</f>
        <v>1</v>
      </c>
      <c r="G145" s="1">
        <v>352</v>
      </c>
      <c r="H145" s="138">
        <v>0</v>
      </c>
      <c r="I145" s="51">
        <v>271</v>
      </c>
      <c r="J145" s="9">
        <f t="shared" si="31"/>
        <v>15838464.641058583</v>
      </c>
      <c r="K145" s="99">
        <f t="shared" si="32"/>
        <v>-364992.86894141696</v>
      </c>
      <c r="L145" s="98">
        <f t="shared" si="33"/>
        <v>-0.022525616444278068</v>
      </c>
    </row>
    <row r="146" spans="1:12" ht="12.75">
      <c r="A146" s="3">
        <v>41244</v>
      </c>
      <c r="B146" s="24">
        <v>16462599.949999996</v>
      </c>
      <c r="C146" s="113">
        <v>533.5</v>
      </c>
      <c r="D146" s="113">
        <v>0</v>
      </c>
      <c r="E146" s="9">
        <f>+Residential!E146</f>
        <v>31</v>
      </c>
      <c r="F146" s="50">
        <f>+Residential!F146</f>
        <v>0</v>
      </c>
      <c r="G146" s="1">
        <v>304</v>
      </c>
      <c r="H146" s="138">
        <v>0</v>
      </c>
      <c r="I146" s="51">
        <v>271</v>
      </c>
      <c r="J146" s="9">
        <f t="shared" si="31"/>
        <v>15859040.831618031</v>
      </c>
      <c r="K146" s="99">
        <f t="shared" si="32"/>
        <v>-603559.118381964</v>
      </c>
      <c r="L146" s="98">
        <f t="shared" si="33"/>
        <v>-0.036662442154646674</v>
      </c>
    </row>
    <row r="147" spans="1:12" ht="12.75">
      <c r="A147" s="3">
        <v>41275</v>
      </c>
      <c r="B147" s="24">
        <v>16989455.74</v>
      </c>
      <c r="C147" s="113">
        <v>624.4</v>
      </c>
      <c r="D147" s="113">
        <v>0</v>
      </c>
      <c r="E147" s="9">
        <f>+Residential!E147</f>
        <v>31</v>
      </c>
      <c r="F147" s="50">
        <f>+Residential!F147</f>
        <v>0</v>
      </c>
      <c r="G147" s="1">
        <v>352</v>
      </c>
      <c r="H147" s="138">
        <v>0</v>
      </c>
      <c r="I147" s="51">
        <v>271</v>
      </c>
      <c r="J147" s="9">
        <f t="shared" si="31"/>
        <v>16512356.5805098</v>
      </c>
      <c r="K147" s="99">
        <f t="shared" si="32"/>
        <v>-477099.1594901979</v>
      </c>
      <c r="L147" s="98">
        <f t="shared" si="33"/>
        <v>-0.028082074363742857</v>
      </c>
    </row>
    <row r="148" spans="1:12" ht="12.75">
      <c r="A148" s="3">
        <v>41306</v>
      </c>
      <c r="B148" s="24">
        <v>16279005.990000002</v>
      </c>
      <c r="C148" s="113">
        <v>631.5</v>
      </c>
      <c r="D148" s="113">
        <v>0</v>
      </c>
      <c r="E148" s="9">
        <f>+Residential!E148</f>
        <v>28</v>
      </c>
      <c r="F148" s="50">
        <f>+Residential!F148</f>
        <v>0</v>
      </c>
      <c r="G148" s="1">
        <v>304</v>
      </c>
      <c r="H148" s="138">
        <v>0</v>
      </c>
      <c r="I148" s="51">
        <v>271</v>
      </c>
      <c r="J148" s="9">
        <f t="shared" si="31"/>
        <v>15588062.174607413</v>
      </c>
      <c r="K148" s="99">
        <f t="shared" si="32"/>
        <v>-690943.8153925892</v>
      </c>
      <c r="L148" s="98">
        <f t="shared" si="33"/>
        <v>-0.0424438578017004</v>
      </c>
    </row>
    <row r="149" spans="1:12" ht="12.75">
      <c r="A149" s="3">
        <v>41334</v>
      </c>
      <c r="B149" s="24">
        <v>17118643.85</v>
      </c>
      <c r="C149" s="113">
        <v>554.8</v>
      </c>
      <c r="D149" s="113">
        <v>0</v>
      </c>
      <c r="E149" s="9">
        <f>+Residential!E149</f>
        <v>31</v>
      </c>
      <c r="F149" s="50">
        <f>+Residential!F149</f>
        <v>1</v>
      </c>
      <c r="G149" s="1">
        <v>320</v>
      </c>
      <c r="H149" s="138">
        <v>0</v>
      </c>
      <c r="I149" s="51">
        <v>272</v>
      </c>
      <c r="J149" s="9">
        <f t="shared" si="31"/>
        <v>15978131.150239123</v>
      </c>
      <c r="K149" s="99">
        <f t="shared" si="32"/>
        <v>-1140512.6997608785</v>
      </c>
      <c r="L149" s="98">
        <f t="shared" si="33"/>
        <v>-0.0666240100415944</v>
      </c>
    </row>
    <row r="150" spans="1:12" ht="12.75">
      <c r="A150" s="3">
        <v>41365</v>
      </c>
      <c r="B150" s="24">
        <v>16317712.539999994</v>
      </c>
      <c r="C150" s="113">
        <v>358.6</v>
      </c>
      <c r="D150" s="113">
        <v>0</v>
      </c>
      <c r="E150" s="9">
        <f>+Residential!E150</f>
        <v>30</v>
      </c>
      <c r="F150" s="50">
        <f>+Residential!F150</f>
        <v>1</v>
      </c>
      <c r="G150" s="1">
        <v>352</v>
      </c>
      <c r="H150" s="138">
        <v>0</v>
      </c>
      <c r="I150" s="51">
        <v>273</v>
      </c>
      <c r="J150" s="9">
        <f t="shared" si="31"/>
        <v>15796832.563633837</v>
      </c>
      <c r="K150" s="99">
        <f t="shared" si="32"/>
        <v>-520879.9763661567</v>
      </c>
      <c r="L150" s="98">
        <f t="shared" si="33"/>
        <v>-0.0319211393808606</v>
      </c>
    </row>
    <row r="151" spans="1:12" ht="12.75">
      <c r="A151" s="3">
        <v>41395</v>
      </c>
      <c r="B151" s="24">
        <v>16555856.940000001</v>
      </c>
      <c r="C151" s="113">
        <v>109.1</v>
      </c>
      <c r="D151" s="113">
        <v>23.1</v>
      </c>
      <c r="E151" s="9">
        <f>+Residential!E151</f>
        <v>31</v>
      </c>
      <c r="F151" s="50">
        <f>+Residential!F151</f>
        <v>1</v>
      </c>
      <c r="G151" s="1">
        <v>352</v>
      </c>
      <c r="H151" s="138">
        <v>0</v>
      </c>
      <c r="I151" s="51">
        <v>272</v>
      </c>
      <c r="J151" s="9">
        <f t="shared" si="31"/>
        <v>15647506.464556834</v>
      </c>
      <c r="K151" s="99">
        <f t="shared" si="32"/>
        <v>-908350.4754431676</v>
      </c>
      <c r="L151" s="98">
        <f t="shared" si="33"/>
        <v>-0.05486580844079023</v>
      </c>
    </row>
    <row r="152" spans="1:12" ht="12.75">
      <c r="A152" s="3">
        <v>41426</v>
      </c>
      <c r="B152" s="24">
        <v>16748419.36</v>
      </c>
      <c r="C152" s="113">
        <f>5.9+27.1</f>
        <v>33</v>
      </c>
      <c r="D152" s="113">
        <f>43.6+7.2</f>
        <v>50.800000000000004</v>
      </c>
      <c r="E152" s="9">
        <f>+Residential!E152</f>
        <v>30</v>
      </c>
      <c r="F152" s="50">
        <f>+Residential!F152</f>
        <v>0</v>
      </c>
      <c r="G152" s="1">
        <v>320</v>
      </c>
      <c r="H152" s="138">
        <v>0</v>
      </c>
      <c r="I152" s="51">
        <v>273</v>
      </c>
      <c r="J152" s="9">
        <f t="shared" si="31"/>
        <v>15516039.130837277</v>
      </c>
      <c r="K152" s="99">
        <f t="shared" si="32"/>
        <v>-1232380.2291627228</v>
      </c>
      <c r="L152" s="98">
        <f t="shared" si="33"/>
        <v>-0.07358188272416907</v>
      </c>
    </row>
    <row r="153" spans="1:12" ht="12.75">
      <c r="A153" s="3">
        <v>41456</v>
      </c>
      <c r="B153" s="24">
        <v>17797829.260000005</v>
      </c>
      <c r="C153" s="113">
        <v>1.3</v>
      </c>
      <c r="D153" s="113">
        <v>120.8</v>
      </c>
      <c r="E153" s="9">
        <f>+Residential!E153</f>
        <v>31</v>
      </c>
      <c r="F153" s="50">
        <f>+Residential!F153</f>
        <v>0</v>
      </c>
      <c r="G153" s="1">
        <v>352</v>
      </c>
      <c r="H153" s="138">
        <v>0</v>
      </c>
      <c r="I153" s="51">
        <v>271</v>
      </c>
      <c r="J153" s="9">
        <f t="shared" si="31"/>
        <v>16572278.942802662</v>
      </c>
      <c r="K153" s="99">
        <f t="shared" si="32"/>
        <v>-1225550.3171973433</v>
      </c>
      <c r="L153" s="98">
        <f t="shared" si="33"/>
        <v>-0.06885953895241172</v>
      </c>
    </row>
    <row r="154" spans="1:12" ht="12.75">
      <c r="A154" s="3">
        <v>41487</v>
      </c>
      <c r="B154" s="24">
        <v>17433510.79</v>
      </c>
      <c r="C154" s="113">
        <v>4.4</v>
      </c>
      <c r="D154" s="113">
        <v>93.8</v>
      </c>
      <c r="E154" s="9">
        <f>+Residential!E154</f>
        <v>31</v>
      </c>
      <c r="F154" s="50">
        <f>+Residential!F154</f>
        <v>0</v>
      </c>
      <c r="G154" s="1">
        <v>336</v>
      </c>
      <c r="H154" s="138">
        <v>0</v>
      </c>
      <c r="I154" s="51">
        <v>271</v>
      </c>
      <c r="J154" s="9">
        <f t="shared" si="31"/>
        <v>16128464.542617626</v>
      </c>
      <c r="K154" s="99">
        <f t="shared" si="32"/>
        <v>-1305046.2473823726</v>
      </c>
      <c r="L154" s="98">
        <f t="shared" si="33"/>
        <v>-0.0748584873754148</v>
      </c>
    </row>
    <row r="155" spans="1:12" ht="12.75">
      <c r="A155" s="3">
        <v>41518</v>
      </c>
      <c r="B155" s="24">
        <v>16323800.050000003</v>
      </c>
      <c r="C155" s="113">
        <v>83</v>
      </c>
      <c r="D155" s="113">
        <v>28.1</v>
      </c>
      <c r="E155" s="9">
        <f>+Residential!E155</f>
        <v>30</v>
      </c>
      <c r="F155" s="50">
        <f>+Residential!F155</f>
        <v>1</v>
      </c>
      <c r="G155" s="1">
        <v>320</v>
      </c>
      <c r="H155" s="138">
        <v>0</v>
      </c>
      <c r="I155" s="51">
        <v>272</v>
      </c>
      <c r="J155" s="9">
        <f t="shared" si="31"/>
        <v>15179602.180560863</v>
      </c>
      <c r="K155" s="99">
        <f t="shared" si="32"/>
        <v>-1144197.86943914</v>
      </c>
      <c r="L155" s="98">
        <f t="shared" si="33"/>
        <v>-0.07009384248364031</v>
      </c>
    </row>
    <row r="156" spans="1:12" ht="12.75">
      <c r="A156" s="3">
        <v>41548</v>
      </c>
      <c r="B156" s="24">
        <v>16888949.909999996</v>
      </c>
      <c r="C156" s="113">
        <v>208.5</v>
      </c>
      <c r="D156" s="113">
        <v>0.4</v>
      </c>
      <c r="E156" s="9">
        <f>+Residential!E156</f>
        <v>31</v>
      </c>
      <c r="F156" s="50">
        <f>+Residential!F156</f>
        <v>1</v>
      </c>
      <c r="G156" s="1">
        <v>352</v>
      </c>
      <c r="H156" s="138">
        <v>0</v>
      </c>
      <c r="I156" s="51">
        <v>274</v>
      </c>
      <c r="J156" s="9">
        <f t="shared" si="31"/>
        <v>15710532.51864179</v>
      </c>
      <c r="K156" s="99">
        <f t="shared" si="32"/>
        <v>-1178417.391358206</v>
      </c>
      <c r="L156" s="98">
        <f t="shared" si="33"/>
        <v>-0.06977446186044176</v>
      </c>
    </row>
    <row r="157" spans="1:12" ht="12.75">
      <c r="A157" s="3">
        <v>41579</v>
      </c>
      <c r="B157" s="24">
        <v>16378559.519999998</v>
      </c>
      <c r="C157" s="113">
        <v>478.2</v>
      </c>
      <c r="D157" s="113">
        <v>0</v>
      </c>
      <c r="E157" s="9">
        <f>+Residential!E157</f>
        <v>30</v>
      </c>
      <c r="F157" s="50">
        <f>+Residential!F157</f>
        <v>1</v>
      </c>
      <c r="G157" s="1">
        <v>336</v>
      </c>
      <c r="H157" s="138">
        <v>0</v>
      </c>
      <c r="I157" s="51">
        <v>273</v>
      </c>
      <c r="J157" s="9">
        <f t="shared" si="31"/>
        <v>15880150.76069459</v>
      </c>
      <c r="K157" s="99">
        <f t="shared" si="32"/>
        <v>-498408.7593054082</v>
      </c>
      <c r="L157" s="98">
        <f t="shared" si="33"/>
        <v>-0.03043056128939771</v>
      </c>
    </row>
    <row r="158" spans="1:12" ht="12.75">
      <c r="A158" s="3">
        <v>41609</v>
      </c>
      <c r="B158" s="24">
        <v>18347866.910000004</v>
      </c>
      <c r="C158" s="113">
        <v>687.9</v>
      </c>
      <c r="D158" s="113">
        <v>0</v>
      </c>
      <c r="E158" s="9">
        <f>+Residential!E158</f>
        <v>31</v>
      </c>
      <c r="F158" s="50">
        <f>+Residential!F158</f>
        <v>0</v>
      </c>
      <c r="G158" s="1">
        <v>320</v>
      </c>
      <c r="H158" s="138">
        <v>0</v>
      </c>
      <c r="I158" s="51">
        <v>273</v>
      </c>
      <c r="J158" s="9">
        <f t="shared" si="31"/>
        <v>16435897.665920313</v>
      </c>
      <c r="K158" s="99">
        <f t="shared" si="32"/>
        <v>-1911969.2440796904</v>
      </c>
      <c r="L158" s="98">
        <f t="shared" si="33"/>
        <v>-0.10420662268035222</v>
      </c>
    </row>
    <row r="159" spans="1:12" ht="12.75">
      <c r="A159" s="3">
        <v>41640</v>
      </c>
      <c r="B159" s="24">
        <v>18474770.990000002</v>
      </c>
      <c r="C159" s="113">
        <v>825.9</v>
      </c>
      <c r="D159" s="113">
        <v>0</v>
      </c>
      <c r="E159" s="9">
        <f>+Residential!E159</f>
        <v>31</v>
      </c>
      <c r="F159" s="50">
        <f>+Residential!F159</f>
        <v>0</v>
      </c>
      <c r="G159" s="1">
        <v>352</v>
      </c>
      <c r="H159" s="138">
        <v>0</v>
      </c>
      <c r="I159" s="51">
        <v>274</v>
      </c>
      <c r="J159" s="9">
        <f t="shared" si="31"/>
        <v>17081816.067190755</v>
      </c>
      <c r="K159" s="99">
        <f t="shared" si="32"/>
        <v>-1392954.922809247</v>
      </c>
      <c r="L159" s="98">
        <f t="shared" si="33"/>
        <v>-0.07539768279472712</v>
      </c>
    </row>
    <row r="160" spans="1:12" ht="12.75">
      <c r="A160" s="3">
        <v>41671</v>
      </c>
      <c r="B160" s="24">
        <v>17309349.019999996</v>
      </c>
      <c r="C160" s="113">
        <v>737.1</v>
      </c>
      <c r="D160" s="113">
        <v>0</v>
      </c>
      <c r="E160" s="9">
        <f>+Residential!E160</f>
        <v>28</v>
      </c>
      <c r="F160" s="50">
        <f>+Residential!F160</f>
        <v>0</v>
      </c>
      <c r="G160" s="1">
        <v>304</v>
      </c>
      <c r="H160" s="138">
        <v>0</v>
      </c>
      <c r="I160" s="51">
        <v>274</v>
      </c>
      <c r="J160" s="9">
        <f t="shared" si="31"/>
        <v>15964896.298573004</v>
      </c>
      <c r="K160" s="99">
        <f t="shared" si="32"/>
        <v>-1344452.7214269917</v>
      </c>
      <c r="L160" s="98">
        <f t="shared" si="33"/>
        <v>-0.07767205571241015</v>
      </c>
    </row>
    <row r="161" spans="1:12" ht="12.75">
      <c r="A161" s="3">
        <v>41699</v>
      </c>
      <c r="B161" s="24">
        <v>18435424.78</v>
      </c>
      <c r="C161" s="113">
        <v>690.6</v>
      </c>
      <c r="D161" s="113">
        <v>0</v>
      </c>
      <c r="E161" s="9">
        <f>+Residential!E161</f>
        <v>31</v>
      </c>
      <c r="F161" s="50">
        <f>+Residential!F161</f>
        <v>1</v>
      </c>
      <c r="G161" s="1">
        <v>336</v>
      </c>
      <c r="H161" s="138">
        <v>0</v>
      </c>
      <c r="I161" s="51">
        <v>275</v>
      </c>
      <c r="J161" s="9">
        <f t="shared" si="31"/>
        <v>16572536.329852633</v>
      </c>
      <c r="K161" s="99">
        <f t="shared" si="32"/>
        <v>-1862888.450147368</v>
      </c>
      <c r="L161" s="98">
        <f t="shared" si="33"/>
        <v>-0.10104939117911488</v>
      </c>
    </row>
    <row r="162" spans="1:12" ht="12.75">
      <c r="A162" s="3">
        <v>41730</v>
      </c>
      <c r="B162" s="24">
        <v>16625533.470000004</v>
      </c>
      <c r="C162" s="113">
        <v>356.9</v>
      </c>
      <c r="D162" s="113">
        <v>0</v>
      </c>
      <c r="E162" s="9">
        <f>+Residential!E162</f>
        <v>30</v>
      </c>
      <c r="F162" s="50">
        <f>+Residential!F162</f>
        <v>1</v>
      </c>
      <c r="G162" s="1">
        <v>336</v>
      </c>
      <c r="H162" s="138">
        <v>0</v>
      </c>
      <c r="I162" s="51">
        <v>276</v>
      </c>
      <c r="J162" s="9">
        <f t="shared" si="31"/>
        <v>15801232.071311733</v>
      </c>
      <c r="K162" s="99">
        <f t="shared" si="32"/>
        <v>-824301.3986882716</v>
      </c>
      <c r="L162" s="98">
        <f t="shared" si="33"/>
        <v>-0.04958044806055005</v>
      </c>
    </row>
    <row r="163" spans="1:12" ht="12.75">
      <c r="A163" s="3">
        <v>41760</v>
      </c>
      <c r="B163" s="24">
        <v>16304922.880000003</v>
      </c>
      <c r="C163" s="113">
        <v>132.1</v>
      </c>
      <c r="D163" s="113">
        <v>11.9</v>
      </c>
      <c r="E163" s="9">
        <f>+Residential!E163</f>
        <v>31</v>
      </c>
      <c r="F163" s="50">
        <f>+Residential!F163</f>
        <v>1</v>
      </c>
      <c r="G163" s="1">
        <v>336</v>
      </c>
      <c r="H163" s="138">
        <v>0</v>
      </c>
      <c r="I163" s="51">
        <v>278</v>
      </c>
      <c r="J163" s="9">
        <f aca="true" t="shared" si="34" ref="J163:J194">$N$19+C163*$N$20+D163*$N$21+E163*$N$22+F163*$N$23+G163*$N$24+H163*$N$25+I163*$N$26</f>
        <v>15744649.188789858</v>
      </c>
      <c r="K163" s="99">
        <f aca="true" t="shared" si="35" ref="K163:K180">+J163-B163</f>
        <v>-560273.6912101451</v>
      </c>
      <c r="L163" s="98">
        <f aca="true" t="shared" si="36" ref="L163:L180">+K163/B163</f>
        <v>-0.03436224110556143</v>
      </c>
    </row>
    <row r="164" spans="1:12" ht="12.75">
      <c r="A164" s="3">
        <v>41791</v>
      </c>
      <c r="B164" s="24">
        <v>16672277.809999999</v>
      </c>
      <c r="C164" s="113">
        <v>14.1</v>
      </c>
      <c r="D164" s="113">
        <v>68.1</v>
      </c>
      <c r="E164" s="9">
        <f>+Residential!E164</f>
        <v>30</v>
      </c>
      <c r="F164" s="50">
        <f>+Residential!F164</f>
        <v>0</v>
      </c>
      <c r="G164" s="1">
        <v>336</v>
      </c>
      <c r="H164" s="138">
        <v>0</v>
      </c>
      <c r="I164" s="51">
        <v>279</v>
      </c>
      <c r="J164" s="9">
        <f t="shared" si="34"/>
        <v>16152258.459569138</v>
      </c>
      <c r="K164" s="99">
        <f t="shared" si="35"/>
        <v>-520019.3504308611</v>
      </c>
      <c r="L164" s="98">
        <f t="shared" si="36"/>
        <v>-0.031190660109979368</v>
      </c>
    </row>
    <row r="165" spans="1:12" ht="12.75">
      <c r="A165" s="3">
        <v>41821</v>
      </c>
      <c r="B165" s="24">
        <v>16686928.11</v>
      </c>
      <c r="C165" s="113">
        <v>4</v>
      </c>
      <c r="D165" s="113">
        <v>71</v>
      </c>
      <c r="E165" s="9">
        <f>+Residential!E165</f>
        <v>31</v>
      </c>
      <c r="F165" s="50">
        <f>+Residential!F165</f>
        <v>0</v>
      </c>
      <c r="G165" s="1">
        <v>352</v>
      </c>
      <c r="H165" s="138">
        <v>0</v>
      </c>
      <c r="I165" s="51">
        <v>282</v>
      </c>
      <c r="J165" s="9">
        <f t="shared" si="34"/>
        <v>16641032.976556774</v>
      </c>
      <c r="K165" s="99">
        <f t="shared" si="35"/>
        <v>-45895.133443225175</v>
      </c>
      <c r="L165" s="98">
        <f t="shared" si="36"/>
        <v>-0.002750364425416415</v>
      </c>
    </row>
    <row r="166" spans="1:12" ht="12.75">
      <c r="A166" s="3">
        <v>41852</v>
      </c>
      <c r="B166" s="24">
        <v>16611492.549999997</v>
      </c>
      <c r="C166" s="113">
        <v>8.8</v>
      </c>
      <c r="D166" s="113">
        <v>81.8</v>
      </c>
      <c r="E166" s="9">
        <f>+Residential!E166</f>
        <v>31</v>
      </c>
      <c r="F166" s="50">
        <f>+Residential!F166</f>
        <v>0</v>
      </c>
      <c r="G166" s="1">
        <v>320</v>
      </c>
      <c r="H166" s="138">
        <v>0</v>
      </c>
      <c r="I166" s="51">
        <v>283</v>
      </c>
      <c r="J166" s="9">
        <f t="shared" si="34"/>
        <v>16509012.411024304</v>
      </c>
      <c r="K166" s="99">
        <f t="shared" si="35"/>
        <v>-102480.13897569291</v>
      </c>
      <c r="L166" s="98">
        <f t="shared" si="36"/>
        <v>-0.006169231251630844</v>
      </c>
    </row>
    <row r="167" spans="1:12" ht="12.75">
      <c r="A167" s="3">
        <v>41883</v>
      </c>
      <c r="B167" s="24">
        <v>16361292.15</v>
      </c>
      <c r="C167" s="113">
        <v>69.7</v>
      </c>
      <c r="D167" s="113">
        <v>30.1</v>
      </c>
      <c r="E167" s="9">
        <f>+Residential!E167</f>
        <v>30</v>
      </c>
      <c r="F167" s="50">
        <f>+Residential!F167</f>
        <v>1</v>
      </c>
      <c r="G167" s="1">
        <v>336</v>
      </c>
      <c r="H167" s="138">
        <v>0</v>
      </c>
      <c r="I167" s="51">
        <v>283</v>
      </c>
      <c r="J167" s="9">
        <f t="shared" si="34"/>
        <v>15935504.869661873</v>
      </c>
      <c r="K167" s="99">
        <f t="shared" si="35"/>
        <v>-425787.28033812717</v>
      </c>
      <c r="L167" s="98">
        <f t="shared" si="36"/>
        <v>-0.026024061940494544</v>
      </c>
    </row>
    <row r="168" spans="1:15" ht="12.75" customHeight="1">
      <c r="A168" s="3">
        <v>41913</v>
      </c>
      <c r="B168" s="24">
        <v>16487938.61</v>
      </c>
      <c r="C168" s="113">
        <v>224.3</v>
      </c>
      <c r="D168" s="113">
        <v>1.3</v>
      </c>
      <c r="E168" s="9">
        <f>+Residential!E168</f>
        <v>31</v>
      </c>
      <c r="F168" s="50">
        <f>+Residential!F168</f>
        <v>1</v>
      </c>
      <c r="G168" s="1">
        <v>352</v>
      </c>
      <c r="H168" s="138">
        <v>0</v>
      </c>
      <c r="I168" s="51">
        <v>282</v>
      </c>
      <c r="J168" s="9">
        <f t="shared" si="34"/>
        <v>16191306.907967908</v>
      </c>
      <c r="K168" s="99">
        <f t="shared" si="35"/>
        <v>-296631.7020320911</v>
      </c>
      <c r="L168" s="98">
        <f t="shared" si="36"/>
        <v>-0.017990830087891208</v>
      </c>
      <c r="M168" s="217" t="s">
        <v>143</v>
      </c>
      <c r="N168" s="210" t="s">
        <v>144</v>
      </c>
      <c r="O168" s="216" t="s">
        <v>174</v>
      </c>
    </row>
    <row r="169" spans="1:15" ht="12.75">
      <c r="A169" s="3">
        <v>41944</v>
      </c>
      <c r="B169" s="24">
        <v>17004284.76</v>
      </c>
      <c r="C169" s="113">
        <v>482.1</v>
      </c>
      <c r="D169" s="113">
        <v>0</v>
      </c>
      <c r="E169" s="9">
        <f>+Residential!E169</f>
        <v>30</v>
      </c>
      <c r="F169" s="50">
        <f>+Residential!F169</f>
        <v>1</v>
      </c>
      <c r="G169" s="1">
        <v>320</v>
      </c>
      <c r="H169" s="138">
        <v>0</v>
      </c>
      <c r="I169" s="51">
        <v>284</v>
      </c>
      <c r="J169" s="9">
        <f t="shared" si="34"/>
        <v>16335065.873440549</v>
      </c>
      <c r="K169" s="99">
        <f t="shared" si="35"/>
        <v>-669218.8865594529</v>
      </c>
      <c r="L169" s="98">
        <f t="shared" si="36"/>
        <v>-0.03935589741085074</v>
      </c>
      <c r="M169" s="217"/>
      <c r="N169" s="210"/>
      <c r="O169" s="217"/>
    </row>
    <row r="170" spans="1:15" ht="12.75">
      <c r="A170" s="3">
        <v>41974</v>
      </c>
      <c r="B170" s="24">
        <v>17950454.6</v>
      </c>
      <c r="C170" s="110">
        <v>557.3</v>
      </c>
      <c r="D170" s="110">
        <v>0</v>
      </c>
      <c r="E170" s="9">
        <f>+Residential!E170</f>
        <v>31</v>
      </c>
      <c r="F170" s="50">
        <f>+Residential!F170</f>
        <v>0</v>
      </c>
      <c r="G170" s="1">
        <v>336</v>
      </c>
      <c r="H170" s="138">
        <v>0</v>
      </c>
      <c r="I170" s="51">
        <v>284</v>
      </c>
      <c r="J170" s="9">
        <f t="shared" si="34"/>
        <v>16934477.484401893</v>
      </c>
      <c r="K170" s="99">
        <f t="shared" si="35"/>
        <v>-1015977.1155981086</v>
      </c>
      <c r="L170" s="98">
        <f t="shared" si="36"/>
        <v>-0.0565989629921745</v>
      </c>
      <c r="M170" s="217"/>
      <c r="N170" s="210"/>
      <c r="O170" s="217"/>
    </row>
    <row r="171" spans="1:15" ht="12.75">
      <c r="A171" s="3">
        <v>42005</v>
      </c>
      <c r="B171" s="24">
        <f>+GETPIVOTDATA("billed_consum",'[2]Pivot'!$A$4,"post_yr_month",DATE(2015,1,1),"Description","50 to 1000")+GETPIVOTDATA("billed_consum",'[2]Pivot'!$A$4,"post_yr_month",DATE(2015,2,1),"Description","50 to 1000")</f>
        <v>18428138.3</v>
      </c>
      <c r="C171" s="102">
        <v>792.4</v>
      </c>
      <c r="D171" s="102">
        <v>0</v>
      </c>
      <c r="E171" s="9">
        <f>+Residential!E171</f>
        <v>31</v>
      </c>
      <c r="F171" s="50">
        <f>+Residential!F171</f>
        <v>0</v>
      </c>
      <c r="G171" s="1">
        <v>336</v>
      </c>
      <c r="H171" s="138">
        <v>0</v>
      </c>
      <c r="I171" s="51">
        <v>284</v>
      </c>
      <c r="J171" s="9">
        <f t="shared" si="34"/>
        <v>17406700.870996077</v>
      </c>
      <c r="K171" s="99">
        <f t="shared" si="35"/>
        <v>-1021437.4290039241</v>
      </c>
      <c r="L171" s="98">
        <f t="shared" si="36"/>
        <v>-0.055428139965930476</v>
      </c>
      <c r="M171" s="40">
        <f>+J171-N171</f>
        <v>17406700.870996077</v>
      </c>
      <c r="N171" s="193"/>
      <c r="O171" s="81">
        <v>56298.94081831592</v>
      </c>
    </row>
    <row r="172" spans="1:15" ht="12.75">
      <c r="A172" s="3">
        <v>42036</v>
      </c>
      <c r="B172" s="24">
        <f>+GETPIVOTDATA("billed_consum",'[2]Pivot'!$A$4,"post_yr_month",DATE(2015,3,1),"Description","50 to 1000")</f>
        <v>17706686.309999995</v>
      </c>
      <c r="C172" s="102">
        <v>856.8</v>
      </c>
      <c r="D172" s="102">
        <v>0</v>
      </c>
      <c r="E172" s="9">
        <f>+Residential!E172</f>
        <v>28</v>
      </c>
      <c r="F172" s="50">
        <f>+Residential!F172</f>
        <v>0</v>
      </c>
      <c r="G172" s="1">
        <v>304</v>
      </c>
      <c r="H172" s="138">
        <v>0</v>
      </c>
      <c r="I172" s="51">
        <v>285</v>
      </c>
      <c r="J172" s="9">
        <f t="shared" si="34"/>
        <v>16809319.182800405</v>
      </c>
      <c r="K172" s="99">
        <f t="shared" si="35"/>
        <v>-897367.1271995902</v>
      </c>
      <c r="L172" s="98">
        <f t="shared" si="36"/>
        <v>-0.05067956315986661</v>
      </c>
      <c r="M172" s="40">
        <f aca="true" t="shared" si="37" ref="M172:M194">+J172-N172</f>
        <v>16809319.182800405</v>
      </c>
      <c r="N172" s="193"/>
      <c r="O172" s="81">
        <v>65812.34422666517</v>
      </c>
    </row>
    <row r="173" spans="1:15" ht="12.75">
      <c r="A173" s="3">
        <v>42064</v>
      </c>
      <c r="B173" s="24">
        <f>+GETPIVOTDATA("billed_consum",'[2]Pivot'!$A$4,"post_yr_month",DATE(2015,4,1),"Description","50 to 1000")</f>
        <v>18151653.140000004</v>
      </c>
      <c r="C173" s="102">
        <v>615.5</v>
      </c>
      <c r="D173" s="102">
        <v>0.02</v>
      </c>
      <c r="E173" s="9">
        <f>+Residential!E173</f>
        <v>31</v>
      </c>
      <c r="F173" s="50">
        <f>+Residential!F173</f>
        <v>1</v>
      </c>
      <c r="G173" s="1">
        <v>352</v>
      </c>
      <c r="H173" s="138">
        <v>0</v>
      </c>
      <c r="I173" s="51">
        <v>285</v>
      </c>
      <c r="J173" s="9">
        <f t="shared" si="34"/>
        <v>17127902.51591825</v>
      </c>
      <c r="K173" s="99">
        <f t="shared" si="35"/>
        <v>-1023750.6240817532</v>
      </c>
      <c r="L173" s="98">
        <f t="shared" si="36"/>
        <v>-0.056399856045384576</v>
      </c>
      <c r="M173" s="40">
        <f t="shared" si="37"/>
        <v>17127902.51591825</v>
      </c>
      <c r="N173" s="193"/>
      <c r="O173" s="81">
        <v>75325.74763501441</v>
      </c>
    </row>
    <row r="174" spans="1:15" ht="12.75">
      <c r="A174" s="3">
        <v>42095</v>
      </c>
      <c r="B174" s="24">
        <f>+GETPIVOTDATA("billed_consum",'[2]Pivot'!$A$4,"post_yr_month",DATE(2015,5,1),"Description","50 to 1000")</f>
        <v>16367067.26</v>
      </c>
      <c r="C174" s="102">
        <v>313.7</v>
      </c>
      <c r="D174" s="102">
        <v>0.12</v>
      </c>
      <c r="E174" s="9">
        <f>+Residential!E174</f>
        <v>30</v>
      </c>
      <c r="F174" s="50">
        <f>+Residential!F174</f>
        <v>1</v>
      </c>
      <c r="G174" s="1">
        <v>336</v>
      </c>
      <c r="H174" s="138">
        <v>0</v>
      </c>
      <c r="I174" s="51">
        <v>288</v>
      </c>
      <c r="J174" s="9">
        <f t="shared" si="34"/>
        <v>16374664.183592038</v>
      </c>
      <c r="K174" s="99">
        <f t="shared" si="35"/>
        <v>7596.923592038453</v>
      </c>
      <c r="L174" s="98">
        <f t="shared" si="36"/>
        <v>0.00046415912340048955</v>
      </c>
      <c r="M174" s="40">
        <f t="shared" si="37"/>
        <v>16374664.183592038</v>
      </c>
      <c r="N174" s="193"/>
      <c r="O174" s="81">
        <v>84839.15104336366</v>
      </c>
    </row>
    <row r="175" spans="1:15" ht="12.75">
      <c r="A175" s="3">
        <v>42125</v>
      </c>
      <c r="B175" s="24">
        <f>+GETPIVOTDATA("billed_consum",'[2]Pivot'!$A$4,"post_yr_month",DATE(2015,6,1),"Description","50 to 1000")</f>
        <v>16856047.67</v>
      </c>
      <c r="C175" s="179">
        <v>89.3</v>
      </c>
      <c r="D175" s="102">
        <v>34.1</v>
      </c>
      <c r="E175" s="9">
        <f>+Residential!E175</f>
        <v>31</v>
      </c>
      <c r="F175" s="50">
        <f>+Residential!F175</f>
        <v>1</v>
      </c>
      <c r="G175" s="1">
        <v>320</v>
      </c>
      <c r="H175" s="138">
        <v>0</v>
      </c>
      <c r="I175" s="51">
        <v>289</v>
      </c>
      <c r="J175" s="9">
        <f t="shared" si="34"/>
        <v>16346780.329591967</v>
      </c>
      <c r="K175" s="99">
        <f t="shared" si="35"/>
        <v>-509267.3404080346</v>
      </c>
      <c r="L175" s="98">
        <f t="shared" si="36"/>
        <v>-0.030212737314122377</v>
      </c>
      <c r="M175" s="40">
        <f t="shared" si="37"/>
        <v>16346780.329591967</v>
      </c>
      <c r="N175" s="193"/>
      <c r="O175" s="81">
        <v>94352.5544517129</v>
      </c>
    </row>
    <row r="176" spans="1:15" ht="12.75">
      <c r="A176" s="3">
        <v>42156</v>
      </c>
      <c r="B176" s="24">
        <f>+GETPIVOTDATA("billed_consum",'[2]Pivot'!$A$4,"post_yr_month",DATE(2015,7,1),"Description","50 to 1000")</f>
        <v>16548445.610000001</v>
      </c>
      <c r="C176" s="180">
        <v>33.8</v>
      </c>
      <c r="D176" s="102">
        <v>32.3</v>
      </c>
      <c r="E176" s="9">
        <f>+Residential!E176</f>
        <v>30</v>
      </c>
      <c r="F176" s="50">
        <f>+Residential!F176</f>
        <v>0</v>
      </c>
      <c r="G176" s="1">
        <v>352</v>
      </c>
      <c r="H176" s="138">
        <v>0</v>
      </c>
      <c r="I176" s="51">
        <v>289</v>
      </c>
      <c r="J176" s="9">
        <f t="shared" si="34"/>
        <v>16509154.819790177</v>
      </c>
      <c r="K176" s="99">
        <f t="shared" si="35"/>
        <v>-39290.79020982422</v>
      </c>
      <c r="L176" s="98">
        <f t="shared" si="36"/>
        <v>-0.002374288868924422</v>
      </c>
      <c r="M176" s="40">
        <f t="shared" si="37"/>
        <v>16509154.819790177</v>
      </c>
      <c r="N176" s="40"/>
      <c r="O176" s="81">
        <v>103865.95786006215</v>
      </c>
    </row>
    <row r="177" spans="1:15" ht="12.75">
      <c r="A177" s="3">
        <v>42186</v>
      </c>
      <c r="B177" s="24">
        <f>+GETPIVOTDATA("billed_consum",'[2]Pivot'!$A$4,"post_yr_month",DATE(2015,8,1),"Description","50 to 1000")</f>
        <v>17434109.390000004</v>
      </c>
      <c r="C177" s="180">
        <v>4</v>
      </c>
      <c r="D177" s="102">
        <v>114.3</v>
      </c>
      <c r="E177" s="9">
        <f>+Residential!E177</f>
        <v>31</v>
      </c>
      <c r="F177" s="50">
        <f>+Residential!F177</f>
        <v>0</v>
      </c>
      <c r="G177" s="1">
        <v>352</v>
      </c>
      <c r="H177" s="138">
        <v>0</v>
      </c>
      <c r="I177" s="51">
        <f>+I176+1</f>
        <v>290</v>
      </c>
      <c r="J177" s="9">
        <f t="shared" si="34"/>
        <v>17550393.956935976</v>
      </c>
      <c r="K177" s="99">
        <f t="shared" si="35"/>
        <v>116284.56693597138</v>
      </c>
      <c r="L177" s="98">
        <f t="shared" si="36"/>
        <v>0.0066699459281052125</v>
      </c>
      <c r="M177" s="40">
        <f t="shared" si="37"/>
        <v>17550393.956935976</v>
      </c>
      <c r="N177" s="40"/>
      <c r="O177" s="81">
        <v>113379.36126841139</v>
      </c>
    </row>
    <row r="178" spans="1:16" ht="12.75">
      <c r="A178" s="3">
        <v>42217</v>
      </c>
      <c r="B178" s="24">
        <f>+GETPIVOTDATA("billed_consum",'[2]Pivot'!$A$4,"post_yr_month",DATE(2015,9,1),"Description","50 to 1000")</f>
        <v>16992710.07</v>
      </c>
      <c r="C178" s="180">
        <v>4.4</v>
      </c>
      <c r="D178" s="102">
        <v>88.6</v>
      </c>
      <c r="E178" s="9">
        <f>+Residential!E178</f>
        <v>31</v>
      </c>
      <c r="F178" s="50">
        <f>+Residential!F178</f>
        <v>0</v>
      </c>
      <c r="G178" s="1">
        <v>320</v>
      </c>
      <c r="H178" s="138">
        <v>0</v>
      </c>
      <c r="I178" s="51">
        <v>290</v>
      </c>
      <c r="J178" s="9">
        <f t="shared" si="34"/>
        <v>16958358.84348573</v>
      </c>
      <c r="K178" s="99">
        <f t="shared" si="35"/>
        <v>-34351.22651426867</v>
      </c>
      <c r="L178" s="98">
        <f t="shared" si="36"/>
        <v>-0.0020215272533199093</v>
      </c>
      <c r="M178" s="40">
        <f t="shared" si="37"/>
        <v>16958358.84348573</v>
      </c>
      <c r="N178" s="40"/>
      <c r="O178" s="53">
        <v>122892.76467676063</v>
      </c>
      <c r="P178" s="39"/>
    </row>
    <row r="179" spans="1:15" ht="12.75">
      <c r="A179" s="3">
        <v>42248</v>
      </c>
      <c r="B179" s="24">
        <f>+GETPIVOTDATA("billed_consum",'[2]Pivot'!$A$4,"post_yr_month",DATE(2015,10,1),"Description","50 to 1000")</f>
        <v>17212369.709999993</v>
      </c>
      <c r="C179" s="180">
        <v>31.1</v>
      </c>
      <c r="D179" s="102">
        <v>81.9</v>
      </c>
      <c r="E179" s="9">
        <f>+Residential!E179</f>
        <v>30</v>
      </c>
      <c r="F179" s="50">
        <f>+Residential!F179</f>
        <v>1</v>
      </c>
      <c r="G179" s="1">
        <v>336</v>
      </c>
      <c r="H179" s="138">
        <v>0</v>
      </c>
      <c r="I179" s="51">
        <v>290</v>
      </c>
      <c r="J179" s="9">
        <f t="shared" si="34"/>
        <v>16804706.86132754</v>
      </c>
      <c r="K179" s="99">
        <f t="shared" si="35"/>
        <v>-407662.8486724533</v>
      </c>
      <c r="L179" s="98">
        <f t="shared" si="36"/>
        <v>-0.02368429539574731</v>
      </c>
      <c r="M179" s="40">
        <f t="shared" si="37"/>
        <v>16804706.86132754</v>
      </c>
      <c r="N179" s="40"/>
      <c r="O179" s="81">
        <v>132406.16808510988</v>
      </c>
    </row>
    <row r="180" spans="1:15" ht="12.75">
      <c r="A180" s="19">
        <v>42278</v>
      </c>
      <c r="B180" s="195">
        <f>+GETPIVOTDATA("billed_consum",'[2]Pivot'!$A$4,"post_yr_month",DATE(2015,11,1),"Description","50 to 1000")</f>
        <v>15943883.930000002</v>
      </c>
      <c r="C180" s="196">
        <v>249.8</v>
      </c>
      <c r="D180" s="197">
        <v>0</v>
      </c>
      <c r="E180" s="198">
        <f>+Residential!E180</f>
        <v>31</v>
      </c>
      <c r="F180" s="198">
        <f>+Residential!F180</f>
        <v>1</v>
      </c>
      <c r="G180" s="203">
        <v>336</v>
      </c>
      <c r="H180" s="199">
        <v>0</v>
      </c>
      <c r="I180" s="202">
        <v>290</v>
      </c>
      <c r="J180" s="9">
        <f t="shared" si="34"/>
        <v>16510768.978891809</v>
      </c>
      <c r="K180" s="99">
        <f t="shared" si="35"/>
        <v>566885.048891807</v>
      </c>
      <c r="L180" s="98">
        <f t="shared" si="36"/>
        <v>0.035555016041301984</v>
      </c>
      <c r="M180" s="40">
        <f t="shared" si="37"/>
        <v>16510768.978891809</v>
      </c>
      <c r="N180" s="40"/>
      <c r="O180" s="81">
        <v>141919.57149345914</v>
      </c>
    </row>
    <row r="181" spans="1:14" ht="12.75">
      <c r="A181" s="3">
        <v>42309</v>
      </c>
      <c r="C181" s="180">
        <v>418.74000000000007</v>
      </c>
      <c r="D181" s="102">
        <v>0</v>
      </c>
      <c r="E181" s="9">
        <f>+Residential!E181</f>
        <v>30</v>
      </c>
      <c r="F181" s="50">
        <f>+Residential!F181</f>
        <v>1</v>
      </c>
      <c r="G181" s="1">
        <v>336</v>
      </c>
      <c r="H181" s="138">
        <v>0</v>
      </c>
      <c r="I181" s="51">
        <f>+I180+2</f>
        <v>292</v>
      </c>
      <c r="J181" s="9">
        <f t="shared" si="34"/>
        <v>16803979.114272736</v>
      </c>
      <c r="K181" s="99"/>
      <c r="L181" s="98" t="s">
        <v>170</v>
      </c>
      <c r="M181" s="40">
        <f t="shared" si="37"/>
        <v>16699321.065387359</v>
      </c>
      <c r="N181" s="40">
        <f aca="true" t="shared" si="38" ref="N181:N194">+AK47</f>
        <v>104658.04888537631</v>
      </c>
    </row>
    <row r="182" spans="1:14" ht="12.75">
      <c r="A182" s="3">
        <v>42339</v>
      </c>
      <c r="C182" s="180">
        <v>607.1299999999999</v>
      </c>
      <c r="D182" s="102">
        <v>0</v>
      </c>
      <c r="E182" s="9">
        <f>+Residential!E182</f>
        <v>31</v>
      </c>
      <c r="F182" s="50">
        <f>+Residential!F182</f>
        <v>0</v>
      </c>
      <c r="G182" s="1">
        <v>336</v>
      </c>
      <c r="H182" s="138">
        <v>0</v>
      </c>
      <c r="I182" s="51">
        <v>293</v>
      </c>
      <c r="J182" s="9">
        <f t="shared" si="34"/>
        <v>17528742.180760395</v>
      </c>
      <c r="K182" s="99"/>
      <c r="L182" s="98"/>
      <c r="M182" s="40">
        <f t="shared" si="37"/>
        <v>17414569.76379453</v>
      </c>
      <c r="N182" s="40">
        <f t="shared" si="38"/>
        <v>114172.41696586506</v>
      </c>
    </row>
    <row r="183" spans="1:14" ht="12.75">
      <c r="A183" s="3">
        <v>42370</v>
      </c>
      <c r="C183" s="102">
        <v>700.17</v>
      </c>
      <c r="D183" s="102">
        <v>0</v>
      </c>
      <c r="E183" s="9">
        <f>+Residential!E183</f>
        <v>31</v>
      </c>
      <c r="F183" s="50">
        <f>+Residential!F183</f>
        <v>0</v>
      </c>
      <c r="G183" s="1">
        <v>320</v>
      </c>
      <c r="H183" s="138">
        <v>0</v>
      </c>
      <c r="I183" s="51">
        <f>+I182</f>
        <v>293</v>
      </c>
      <c r="J183" s="9">
        <f t="shared" si="34"/>
        <v>17558711.789356913</v>
      </c>
      <c r="K183" s="99"/>
      <c r="L183" s="98"/>
      <c r="M183" s="40">
        <f t="shared" si="37"/>
        <v>17447071.41333721</v>
      </c>
      <c r="N183" s="40">
        <f t="shared" si="38"/>
        <v>111640.37601970515</v>
      </c>
    </row>
    <row r="184" spans="1:14" ht="12.75">
      <c r="A184" s="3">
        <v>42401</v>
      </c>
      <c r="C184" s="102">
        <v>663.51</v>
      </c>
      <c r="D184" s="102">
        <v>0</v>
      </c>
      <c r="E184" s="9">
        <f>+Residential!E184</f>
        <v>29</v>
      </c>
      <c r="F184" s="50">
        <f>+Residential!F184</f>
        <v>0</v>
      </c>
      <c r="G184" s="1">
        <v>320</v>
      </c>
      <c r="H184" s="138">
        <v>0</v>
      </c>
      <c r="I184" s="51">
        <f>+I183</f>
        <v>293</v>
      </c>
      <c r="J184" s="9">
        <f t="shared" si="34"/>
        <v>17173194.87973479</v>
      </c>
      <c r="K184" s="99"/>
      <c r="L184" s="98"/>
      <c r="M184" s="40">
        <f t="shared" si="37"/>
        <v>17064086.544661246</v>
      </c>
      <c r="N184" s="40">
        <f t="shared" si="38"/>
        <v>109108.33507354523</v>
      </c>
    </row>
    <row r="185" spans="1:14" ht="12.75">
      <c r="A185" s="3">
        <v>42430</v>
      </c>
      <c r="C185" s="102">
        <v>541.32</v>
      </c>
      <c r="D185" s="102">
        <v>0.02</v>
      </c>
      <c r="E185" s="9">
        <f>+Residential!E185</f>
        <v>31</v>
      </c>
      <c r="F185" s="50">
        <f>+Residential!F185</f>
        <v>1</v>
      </c>
      <c r="G185" s="1">
        <v>352</v>
      </c>
      <c r="H185" s="138">
        <v>0</v>
      </c>
      <c r="I185" s="51">
        <f aca="true" t="shared" si="39" ref="I185:I193">+I184+1</f>
        <v>294</v>
      </c>
      <c r="J185" s="9">
        <f t="shared" si="34"/>
        <v>17473079.92103241</v>
      </c>
      <c r="K185" s="99"/>
      <c r="L185" s="98"/>
      <c r="M185" s="40">
        <f t="shared" si="37"/>
        <v>17366503.626905024</v>
      </c>
      <c r="N185" s="40">
        <f t="shared" si="38"/>
        <v>106576.2941273853</v>
      </c>
    </row>
    <row r="186" spans="1:14" ht="12.75">
      <c r="A186" s="3">
        <v>42461</v>
      </c>
      <c r="C186" s="102">
        <v>311.7699999999999</v>
      </c>
      <c r="D186" s="102">
        <v>0.12</v>
      </c>
      <c r="E186" s="9">
        <f>+Residential!E186</f>
        <v>30</v>
      </c>
      <c r="F186" s="50">
        <f>+Residential!F186</f>
        <v>1</v>
      </c>
      <c r="G186" s="1">
        <v>336</v>
      </c>
      <c r="H186" s="138">
        <v>0</v>
      </c>
      <c r="I186" s="51">
        <f t="shared" si="39"/>
        <v>295</v>
      </c>
      <c r="J186" s="9">
        <f t="shared" si="34"/>
        <v>16755146.55567679</v>
      </c>
      <c r="K186" s="99"/>
      <c r="L186" s="98"/>
      <c r="M186" s="40">
        <f t="shared" si="37"/>
        <v>16651102.302495565</v>
      </c>
      <c r="N186" s="40">
        <f t="shared" si="38"/>
        <v>104044.25318122539</v>
      </c>
    </row>
    <row r="187" spans="1:14" ht="12.75">
      <c r="A187" s="3">
        <v>42491</v>
      </c>
      <c r="C187" s="102">
        <v>127.87999999999997</v>
      </c>
      <c r="D187" s="102">
        <v>22.229999999999997</v>
      </c>
      <c r="E187" s="9">
        <f>+Residential!E187</f>
        <v>31</v>
      </c>
      <c r="F187" s="50">
        <f>+Residential!F187</f>
        <v>1</v>
      </c>
      <c r="G187" s="1">
        <v>336</v>
      </c>
      <c r="H187" s="138">
        <v>0</v>
      </c>
      <c r="I187" s="51">
        <f t="shared" si="39"/>
        <v>296</v>
      </c>
      <c r="J187" s="9">
        <f t="shared" si="34"/>
        <v>16836673.882978767</v>
      </c>
      <c r="K187" s="99"/>
      <c r="L187" s="98"/>
      <c r="M187" s="40">
        <f t="shared" si="37"/>
        <v>16735161.670743702</v>
      </c>
      <c r="N187" s="40">
        <f t="shared" si="38"/>
        <v>101512.21223506547</v>
      </c>
    </row>
    <row r="188" spans="1:16" ht="12.75">
      <c r="A188" s="3">
        <v>42522</v>
      </c>
      <c r="C188" s="102">
        <v>25.28</v>
      </c>
      <c r="D188" s="102">
        <v>64.22</v>
      </c>
      <c r="E188" s="9">
        <f>+Residential!E188</f>
        <v>30</v>
      </c>
      <c r="F188" s="50">
        <f>+Residential!F188</f>
        <v>0</v>
      </c>
      <c r="G188" s="1">
        <v>352</v>
      </c>
      <c r="H188" s="138">
        <v>0</v>
      </c>
      <c r="I188" s="51">
        <f t="shared" si="39"/>
        <v>297</v>
      </c>
      <c r="J188" s="9">
        <f t="shared" si="34"/>
        <v>17277853.631144814</v>
      </c>
      <c r="K188" s="99"/>
      <c r="L188" s="98"/>
      <c r="M188" s="40">
        <f t="shared" si="37"/>
        <v>17178873.45985591</v>
      </c>
      <c r="N188" s="40">
        <f t="shared" si="38"/>
        <v>98980.17128890555</v>
      </c>
      <c r="O188" s="28"/>
      <c r="P188" s="39"/>
    </row>
    <row r="189" spans="1:14" ht="12.75">
      <c r="A189" s="3">
        <v>42552</v>
      </c>
      <c r="C189" s="102">
        <v>2.15</v>
      </c>
      <c r="D189" s="102">
        <v>129.3</v>
      </c>
      <c r="E189" s="9">
        <f>+Residential!E189</f>
        <v>31</v>
      </c>
      <c r="F189" s="50">
        <f>+Residential!F189</f>
        <v>0</v>
      </c>
      <c r="G189" s="1">
        <v>320</v>
      </c>
      <c r="H189" s="138">
        <v>0</v>
      </c>
      <c r="I189" s="51">
        <f t="shared" si="39"/>
        <v>298</v>
      </c>
      <c r="J189" s="9">
        <f t="shared" si="34"/>
        <v>17834973.131625433</v>
      </c>
      <c r="K189" s="99"/>
      <c r="L189" s="98"/>
      <c r="M189" s="40">
        <f t="shared" si="37"/>
        <v>17738525.00128269</v>
      </c>
      <c r="N189" s="40">
        <f t="shared" si="38"/>
        <v>96448.13034274563</v>
      </c>
    </row>
    <row r="190" spans="1:14" ht="12.75">
      <c r="A190" s="3">
        <v>42583</v>
      </c>
      <c r="C190" s="102">
        <v>5.36</v>
      </c>
      <c r="D190" s="102">
        <v>103.48999999999998</v>
      </c>
      <c r="E190" s="9">
        <f>+Residential!E190</f>
        <v>31</v>
      </c>
      <c r="F190" s="50">
        <f>+Residential!F190</f>
        <v>0</v>
      </c>
      <c r="G190" s="1">
        <v>352</v>
      </c>
      <c r="H190" s="138">
        <v>0</v>
      </c>
      <c r="I190" s="51">
        <f t="shared" si="39"/>
        <v>299</v>
      </c>
      <c r="J190" s="9">
        <f t="shared" si="34"/>
        <v>17929940.95360881</v>
      </c>
      <c r="K190" s="99"/>
      <c r="L190" s="98"/>
      <c r="M190" s="40">
        <f t="shared" si="37"/>
        <v>17836024.864212226</v>
      </c>
      <c r="N190" s="40">
        <f t="shared" si="38"/>
        <v>93916.08939658571</v>
      </c>
    </row>
    <row r="191" spans="1:14" ht="12.75">
      <c r="A191" s="3">
        <v>42614</v>
      </c>
      <c r="C191" s="102">
        <v>62.720000000000006</v>
      </c>
      <c r="D191" s="102">
        <v>35.489999999999995</v>
      </c>
      <c r="E191" s="9">
        <f>+Residential!E191</f>
        <v>30</v>
      </c>
      <c r="F191" s="50">
        <f>+Residential!F191</f>
        <v>1</v>
      </c>
      <c r="G191" s="1">
        <v>336</v>
      </c>
      <c r="H191" s="138">
        <v>0</v>
      </c>
      <c r="I191" s="51">
        <f t="shared" si="39"/>
        <v>300</v>
      </c>
      <c r="J191" s="9">
        <f t="shared" si="34"/>
        <v>16913445.461345065</v>
      </c>
      <c r="K191" s="99"/>
      <c r="L191" s="98"/>
      <c r="M191" s="40">
        <f t="shared" si="37"/>
        <v>16822061.41289464</v>
      </c>
      <c r="N191" s="40">
        <f t="shared" si="38"/>
        <v>91384.04845042579</v>
      </c>
    </row>
    <row r="192" spans="1:14" ht="12.75">
      <c r="A192" s="3">
        <v>42644</v>
      </c>
      <c r="C192" s="102">
        <v>239.46000000000004</v>
      </c>
      <c r="D192" s="102">
        <v>2.6100000000000003</v>
      </c>
      <c r="E192" s="9">
        <f>+Residential!E192</f>
        <v>31</v>
      </c>
      <c r="F192" s="50">
        <f>+Residential!F192</f>
        <v>1</v>
      </c>
      <c r="G192" s="1">
        <v>320</v>
      </c>
      <c r="H192" s="138">
        <v>0</v>
      </c>
      <c r="I192" s="51">
        <f t="shared" si="39"/>
        <v>301</v>
      </c>
      <c r="J192" s="9">
        <f t="shared" si="34"/>
        <v>16965417.429446124</v>
      </c>
      <c r="K192" s="99"/>
      <c r="L192" s="98"/>
      <c r="M192" s="40">
        <f t="shared" si="37"/>
        <v>16876565.421941858</v>
      </c>
      <c r="N192" s="40">
        <f t="shared" si="38"/>
        <v>88852.00750426587</v>
      </c>
    </row>
    <row r="193" spans="1:14" ht="12.75">
      <c r="A193" s="3">
        <v>42675</v>
      </c>
      <c r="C193" s="102">
        <v>418.74000000000007</v>
      </c>
      <c r="D193" s="102">
        <v>0</v>
      </c>
      <c r="E193" s="9">
        <f>+Residential!E193</f>
        <v>30</v>
      </c>
      <c r="F193" s="50">
        <f>+Residential!F193</f>
        <v>1</v>
      </c>
      <c r="G193" s="1">
        <v>352</v>
      </c>
      <c r="H193" s="138">
        <v>0</v>
      </c>
      <c r="I193" s="51">
        <f t="shared" si="39"/>
        <v>302</v>
      </c>
      <c r="J193" s="9">
        <f t="shared" si="34"/>
        <v>17509974.514701907</v>
      </c>
      <c r="K193" s="99"/>
      <c r="L193" s="98"/>
      <c r="M193" s="40">
        <f t="shared" si="37"/>
        <v>17423654.5481438</v>
      </c>
      <c r="N193" s="40">
        <f t="shared" si="38"/>
        <v>86319.96655810595</v>
      </c>
    </row>
    <row r="194" spans="1:14" ht="12.75">
      <c r="A194" s="3">
        <v>42705</v>
      </c>
      <c r="C194" s="102">
        <v>607.1299999999999</v>
      </c>
      <c r="D194" s="102">
        <v>0</v>
      </c>
      <c r="E194" s="9">
        <f>+Residential!E194</f>
        <v>31</v>
      </c>
      <c r="F194" s="50">
        <f>+Residential!F194</f>
        <v>0</v>
      </c>
      <c r="G194" s="1">
        <v>320</v>
      </c>
      <c r="H194" s="138">
        <v>0</v>
      </c>
      <c r="I194" s="131">
        <f>+'Rate Class Customer Model'!D20</f>
        <v>301.93278392268166</v>
      </c>
      <c r="J194" s="9">
        <f t="shared" si="34"/>
        <v>17862316.146992512</v>
      </c>
      <c r="K194" s="99"/>
      <c r="L194" s="98"/>
      <c r="M194" s="40">
        <f t="shared" si="37"/>
        <v>17778528.221380565</v>
      </c>
      <c r="N194" s="40">
        <f t="shared" si="38"/>
        <v>83787.92561194603</v>
      </c>
    </row>
    <row r="195" spans="1:14" ht="12.75">
      <c r="A195" s="3"/>
      <c r="C195" s="102"/>
      <c r="D195" s="102"/>
      <c r="E195" s="9"/>
      <c r="F195" s="50"/>
      <c r="I195" s="51"/>
      <c r="J195" s="9"/>
      <c r="K195" s="99"/>
      <c r="L195" s="98"/>
      <c r="N195" s="175">
        <f>SUM(N171:N194)</f>
        <v>1391400.2756411484</v>
      </c>
    </row>
    <row r="196" spans="1:12" ht="12.75">
      <c r="A196" s="3"/>
      <c r="C196" s="102">
        <f>SUM(C3:C195)</f>
        <v>59358.96</v>
      </c>
      <c r="D196" s="102">
        <f>SUM(D3:D195)</f>
        <v>5933.520000000002</v>
      </c>
      <c r="E196" s="9"/>
      <c r="F196" s="50"/>
      <c r="I196" s="51"/>
      <c r="J196" s="9"/>
      <c r="K196" s="99"/>
      <c r="L196" s="98"/>
    </row>
    <row r="197" spans="1:12" ht="12.75">
      <c r="A197" s="3"/>
      <c r="C197" s="102"/>
      <c r="D197" s="102"/>
      <c r="E197" s="9"/>
      <c r="F197" s="50"/>
      <c r="I197" s="51"/>
      <c r="J197" s="9"/>
      <c r="K197" s="99"/>
      <c r="L197" s="98"/>
    </row>
    <row r="198" spans="1:12" ht="12.75">
      <c r="A198" s="3"/>
      <c r="C198" s="102"/>
      <c r="D198" s="102"/>
      <c r="E198" s="104"/>
      <c r="F198" s="51"/>
      <c r="G198" s="20"/>
      <c r="H198" s="20"/>
      <c r="I198" s="51"/>
      <c r="J198" s="9"/>
      <c r="K198" s="99"/>
      <c r="L198" s="98"/>
    </row>
    <row r="199" spans="1:28" ht="12.75">
      <c r="A199" s="3"/>
      <c r="E199" s="37"/>
      <c r="F199" s="37"/>
      <c r="G199" s="37"/>
      <c r="H199" s="37"/>
      <c r="Z199" s="10"/>
      <c r="AA199" s="10"/>
      <c r="AB199" s="10"/>
    </row>
    <row r="200" spans="1:34" ht="12.75">
      <c r="A200" s="3"/>
      <c r="C200" s="58" t="s">
        <v>86</v>
      </c>
      <c r="D200" s="218" t="s">
        <v>72</v>
      </c>
      <c r="E200" s="218"/>
      <c r="J200" s="37">
        <f>SUM(J3:J194)</f>
        <v>2866318624.3219295</v>
      </c>
      <c r="Z200"/>
      <c r="AA200"/>
      <c r="AB200"/>
      <c r="AC200"/>
      <c r="AD200"/>
      <c r="AE200"/>
      <c r="AF200"/>
      <c r="AG200"/>
      <c r="AH200"/>
    </row>
    <row r="201" spans="1:34" ht="12.75">
      <c r="A201" s="3"/>
      <c r="Z201"/>
      <c r="AA201"/>
      <c r="AB201"/>
      <c r="AC201"/>
      <c r="AD201"/>
      <c r="AE201"/>
      <c r="AF201"/>
      <c r="AG201"/>
      <c r="AH201"/>
    </row>
    <row r="202" spans="1:34" ht="12.75">
      <c r="A202" s="3"/>
      <c r="Z202"/>
      <c r="AA202"/>
      <c r="AB202"/>
      <c r="AC202"/>
      <c r="AD202"/>
      <c r="AE202"/>
      <c r="AF202"/>
      <c r="AG202"/>
      <c r="AH202"/>
    </row>
    <row r="203" spans="1:34" ht="12.75">
      <c r="A203" s="15">
        <v>2001</v>
      </c>
      <c r="B203" s="24">
        <f>SUM(B3:B14)</f>
        <v>145138638.52955747</v>
      </c>
      <c r="J203" s="6">
        <f>SUM(J3:J14)</f>
        <v>136252812.74317944</v>
      </c>
      <c r="K203" s="30">
        <f aca="true" t="shared" si="40" ref="K203:K219">J203-B203</f>
        <v>-8885825.786378026</v>
      </c>
      <c r="L203" s="56">
        <f aca="true" t="shared" si="41" ref="L203:L218">+K203/B203</f>
        <v>-0.06122302011651039</v>
      </c>
      <c r="Z203"/>
      <c r="AA203"/>
      <c r="AB203"/>
      <c r="AC203"/>
      <c r="AD203"/>
      <c r="AE203"/>
      <c r="AF203"/>
      <c r="AG203"/>
      <c r="AH203"/>
    </row>
    <row r="204" spans="1:34" ht="12.75">
      <c r="A204" s="15">
        <v>2002</v>
      </c>
      <c r="B204" s="24">
        <f>SUM(B15:B26)</f>
        <v>147962300.54892254</v>
      </c>
      <c r="J204" s="6">
        <f>SUM(J15:J26)</f>
        <v>149273622.08241907</v>
      </c>
      <c r="K204" s="30">
        <f t="shared" si="40"/>
        <v>1311321.5334965289</v>
      </c>
      <c r="L204" s="56">
        <f t="shared" si="41"/>
        <v>0.008862538150810591</v>
      </c>
      <c r="Z204"/>
      <c r="AA204"/>
      <c r="AB204"/>
      <c r="AC204"/>
      <c r="AD204"/>
      <c r="AE204"/>
      <c r="AF204"/>
      <c r="AG204"/>
      <c r="AH204"/>
    </row>
    <row r="205" spans="1:34" ht="12.75">
      <c r="A205" s="15">
        <v>2003</v>
      </c>
      <c r="B205" s="24">
        <f>SUM(B27:B38)</f>
        <v>148063379.94480598</v>
      </c>
      <c r="J205" s="6">
        <f>SUM(J27:J38)</f>
        <v>152431179.8673046</v>
      </c>
      <c r="K205" s="30">
        <f t="shared" si="40"/>
        <v>4367799.922498614</v>
      </c>
      <c r="L205" s="56">
        <f t="shared" si="41"/>
        <v>0.029499528675671266</v>
      </c>
      <c r="Z205"/>
      <c r="AA205"/>
      <c r="AB205"/>
      <c r="AC205"/>
      <c r="AD205"/>
      <c r="AE205"/>
      <c r="AF205"/>
      <c r="AG205"/>
      <c r="AH205"/>
    </row>
    <row r="206" spans="1:34" ht="12.75">
      <c r="A206">
        <v>2004</v>
      </c>
      <c r="B206" s="24">
        <f>SUM(B39:B50)</f>
        <v>155978135.26211834</v>
      </c>
      <c r="J206" s="6">
        <f>SUM(J39:J50)</f>
        <v>156878067.94921395</v>
      </c>
      <c r="K206" s="30">
        <f t="shared" si="40"/>
        <v>899932.6870956123</v>
      </c>
      <c r="L206" s="56">
        <f t="shared" si="41"/>
        <v>0.005769607936287302</v>
      </c>
      <c r="Z206"/>
      <c r="AA206"/>
      <c r="AB206"/>
      <c r="AC206"/>
      <c r="AD206"/>
      <c r="AE206"/>
      <c r="AF206"/>
      <c r="AG206"/>
      <c r="AH206"/>
    </row>
    <row r="207" spans="1:34" ht="12.75">
      <c r="A207" s="15">
        <v>2005</v>
      </c>
      <c r="B207" s="24">
        <f>SUM(B51:B62)</f>
        <v>164259880.11562985</v>
      </c>
      <c r="J207" s="6">
        <f>SUM(J51:J62)</f>
        <v>170232124.28464496</v>
      </c>
      <c r="K207" s="30">
        <f t="shared" si="40"/>
        <v>5972244.16901511</v>
      </c>
      <c r="L207" s="56">
        <f t="shared" si="41"/>
        <v>0.03635850802284149</v>
      </c>
      <c r="Z207"/>
      <c r="AA207"/>
      <c r="AB207"/>
      <c r="AC207"/>
      <c r="AD207"/>
      <c r="AE207"/>
      <c r="AF207"/>
      <c r="AG207"/>
      <c r="AH207"/>
    </row>
    <row r="208" spans="1:34" ht="12.75">
      <c r="A208">
        <v>2006</v>
      </c>
      <c r="B208" s="24">
        <f>SUM(B63:B74)</f>
        <v>165309885.2250971</v>
      </c>
      <c r="J208" s="6">
        <f>SUM(J63:J74)</f>
        <v>172663183.55456012</v>
      </c>
      <c r="K208" s="30">
        <f t="shared" si="40"/>
        <v>7353298.329463035</v>
      </c>
      <c r="L208" s="56">
        <f t="shared" si="41"/>
        <v>0.044481903302094054</v>
      </c>
      <c r="Z208"/>
      <c r="AA208"/>
      <c r="AB208"/>
      <c r="AC208"/>
      <c r="AD208"/>
      <c r="AE208"/>
      <c r="AF208"/>
      <c r="AG208"/>
      <c r="AH208"/>
    </row>
    <row r="209" spans="1:34" ht="12.75">
      <c r="A209" s="15">
        <v>2007</v>
      </c>
      <c r="B209" s="24">
        <f>SUM(B75:B86)</f>
        <v>172334962.69293764</v>
      </c>
      <c r="J209" s="6">
        <f>SUM(J75:J86)</f>
        <v>184210223.7555735</v>
      </c>
      <c r="K209" s="30">
        <f t="shared" si="40"/>
        <v>11875261.062635869</v>
      </c>
      <c r="L209" s="56">
        <f t="shared" si="41"/>
        <v>0.06890802003882943</v>
      </c>
      <c r="Z209"/>
      <c r="AA209"/>
      <c r="AB209"/>
      <c r="AC209"/>
      <c r="AD209"/>
      <c r="AE209"/>
      <c r="AF209"/>
      <c r="AG209"/>
      <c r="AH209"/>
    </row>
    <row r="210" spans="1:34" ht="12.75">
      <c r="A210">
        <v>2008</v>
      </c>
      <c r="B210" s="24">
        <f>SUM(B87:B98)</f>
        <v>180947734.90405402</v>
      </c>
      <c r="J210" s="6">
        <f>SUM(J87:J98)</f>
        <v>191525421.23156592</v>
      </c>
      <c r="K210" s="30">
        <f t="shared" si="40"/>
        <v>10577686.327511907</v>
      </c>
      <c r="L210" s="56">
        <f t="shared" si="41"/>
        <v>0.05845713588578842</v>
      </c>
      <c r="Z210"/>
      <c r="AA210"/>
      <c r="AB210"/>
      <c r="AC210"/>
      <c r="AD210"/>
      <c r="AE210"/>
      <c r="AF210"/>
      <c r="AG210"/>
      <c r="AH210"/>
    </row>
    <row r="211" spans="1:34" ht="12.75">
      <c r="A211" s="15">
        <v>2009</v>
      </c>
      <c r="B211" s="24">
        <f>SUM(B99:B110)</f>
        <v>184558254.86612535</v>
      </c>
      <c r="J211" s="6">
        <f>SUM(J99:J110)</f>
        <v>191183332.15584695</v>
      </c>
      <c r="K211" s="30">
        <f t="shared" si="40"/>
        <v>6625077.289721608</v>
      </c>
      <c r="L211" s="56">
        <f t="shared" si="41"/>
        <v>0.03589694372937856</v>
      </c>
      <c r="Z211"/>
      <c r="AA211"/>
      <c r="AB211"/>
      <c r="AC211"/>
      <c r="AD211"/>
      <c r="AE211"/>
      <c r="AF211"/>
      <c r="AG211"/>
      <c r="AH211"/>
    </row>
    <row r="212" spans="1:34" ht="12.75">
      <c r="A212" s="15">
        <v>2010</v>
      </c>
      <c r="B212" s="24">
        <f>SUM(B111:B122)</f>
        <v>192607267.92</v>
      </c>
      <c r="J212" s="80">
        <f>SUM(J111:J122)</f>
        <v>186730459.36873317</v>
      </c>
      <c r="K212" s="30">
        <f t="shared" si="40"/>
        <v>-5876808.551266819</v>
      </c>
      <c r="L212" s="56">
        <f t="shared" si="41"/>
        <v>-0.030511873278363355</v>
      </c>
      <c r="M212" s="6"/>
      <c r="Z212"/>
      <c r="AA212"/>
      <c r="AB212"/>
      <c r="AC212"/>
      <c r="AD212"/>
      <c r="AE212"/>
      <c r="AF212"/>
      <c r="AG212"/>
      <c r="AH212"/>
    </row>
    <row r="213" spans="1:34" ht="12.75">
      <c r="A213">
        <v>2011</v>
      </c>
      <c r="B213" s="24">
        <f>SUM(B123:B134)</f>
        <v>192782769.75999996</v>
      </c>
      <c r="J213" s="80">
        <f>SUM(J123:J134)</f>
        <v>186082568.93822458</v>
      </c>
      <c r="K213" s="30">
        <f t="shared" si="40"/>
        <v>-6700200.821775377</v>
      </c>
      <c r="L213" s="56">
        <f t="shared" si="41"/>
        <v>-0.03475518496863917</v>
      </c>
      <c r="M213" s="6"/>
      <c r="Z213"/>
      <c r="AA213"/>
      <c r="AB213"/>
      <c r="AC213"/>
      <c r="AD213"/>
      <c r="AE213"/>
      <c r="AF213"/>
      <c r="AG213"/>
      <c r="AH213"/>
    </row>
    <row r="214" spans="1:34" ht="12.75">
      <c r="A214" s="15">
        <v>2012</v>
      </c>
      <c r="B214" s="24">
        <f>SUM(B135:B146)</f>
        <v>194206572.97999996</v>
      </c>
      <c r="J214" s="6">
        <f>SUM(J135:J146)</f>
        <v>191223784.6406915</v>
      </c>
      <c r="K214" s="30">
        <f t="shared" si="40"/>
        <v>-2982788.3393084705</v>
      </c>
      <c r="L214" s="56">
        <f t="shared" si="41"/>
        <v>-0.015358843387940573</v>
      </c>
      <c r="Z214"/>
      <c r="AA214"/>
      <c r="AB214"/>
      <c r="AC214"/>
      <c r="AD214"/>
      <c r="AE214"/>
      <c r="AF214"/>
      <c r="AG214"/>
      <c r="AH214"/>
    </row>
    <row r="215" spans="1:34" ht="12.75">
      <c r="A215" s="15">
        <v>2013</v>
      </c>
      <c r="B215" s="24">
        <f>SUM(B147:B158)</f>
        <v>203179610.86</v>
      </c>
      <c r="C215" s="105"/>
      <c r="D215" s="83"/>
      <c r="E215" s="83"/>
      <c r="F215" s="83"/>
      <c r="G215" s="83"/>
      <c r="H215" s="83"/>
      <c r="I215" s="106"/>
      <c r="J215" s="6">
        <f>SUM(J147:J158)</f>
        <v>190945854.67562214</v>
      </c>
      <c r="K215" s="30">
        <f t="shared" si="40"/>
        <v>-12233756.184377879</v>
      </c>
      <c r="L215" s="56">
        <f t="shared" si="41"/>
        <v>-0.06021153467415337</v>
      </c>
      <c r="M215" s="194" t="s">
        <v>167</v>
      </c>
      <c r="Z215"/>
      <c r="AA215"/>
      <c r="AB215"/>
      <c r="AC215"/>
      <c r="AD215"/>
      <c r="AE215"/>
      <c r="AF215"/>
      <c r="AG215"/>
      <c r="AH215"/>
    </row>
    <row r="216" spans="1:34" ht="12.75">
      <c r="A216">
        <v>2014</v>
      </c>
      <c r="B216" s="24">
        <f>SUM(B159:B170)</f>
        <v>204924669.73</v>
      </c>
      <c r="C216" s="105"/>
      <c r="D216" s="83"/>
      <c r="E216" s="83"/>
      <c r="F216" s="83"/>
      <c r="G216" s="83"/>
      <c r="H216" s="83"/>
      <c r="I216" s="106"/>
      <c r="J216" s="6">
        <f>SUM(J159:J170)</f>
        <v>195863788.93834043</v>
      </c>
      <c r="K216" s="30">
        <f t="shared" si="40"/>
        <v>-9060880.791659564</v>
      </c>
      <c r="L216" s="56">
        <f t="shared" si="41"/>
        <v>-0.044215666193815485</v>
      </c>
      <c r="Z216"/>
      <c r="AA216"/>
      <c r="AB216"/>
      <c r="AC216"/>
      <c r="AD216"/>
      <c r="AE216"/>
      <c r="AF216"/>
      <c r="AG216"/>
      <c r="AH216"/>
    </row>
    <row r="217" spans="1:34" ht="12.75">
      <c r="A217" s="15">
        <v>2015</v>
      </c>
      <c r="C217" s="105"/>
      <c r="D217" s="83"/>
      <c r="E217" s="83"/>
      <c r="F217" s="83"/>
      <c r="G217" s="83"/>
      <c r="H217" s="83"/>
      <c r="I217" s="106"/>
      <c r="J217" s="6">
        <f>SUM(J171:J182)</f>
        <v>202731471.8383631</v>
      </c>
      <c r="K217" s="30">
        <f t="shared" si="40"/>
        <v>202731471.8383631</v>
      </c>
      <c r="L217" s="56"/>
      <c r="M217" s="33">
        <f>SUM(M171:M182)</f>
        <v>202512641.3725119</v>
      </c>
      <c r="Z217"/>
      <c r="AA217"/>
      <c r="AB217"/>
      <c r="AC217"/>
      <c r="AD217"/>
      <c r="AE217"/>
      <c r="AF217"/>
      <c r="AG217"/>
      <c r="AH217"/>
    </row>
    <row r="218" spans="1:34" ht="12.75">
      <c r="A218" s="15">
        <v>2016</v>
      </c>
      <c r="C218" s="105"/>
      <c r="D218" s="83"/>
      <c r="E218" s="83"/>
      <c r="F218" s="83"/>
      <c r="G218" s="83"/>
      <c r="H218" s="83"/>
      <c r="I218" s="106"/>
      <c r="J218" s="6">
        <f>SUM(J183:J194)</f>
        <v>208090728.29764435</v>
      </c>
      <c r="K218" s="30">
        <f t="shared" si="40"/>
        <v>208090728.29764435</v>
      </c>
      <c r="L218" s="56"/>
      <c r="M218" s="33">
        <f>SUM(M183:M194)</f>
        <v>206918158.48785442</v>
      </c>
      <c r="Z218"/>
      <c r="AA218"/>
      <c r="AB218"/>
      <c r="AC218"/>
      <c r="AD218"/>
      <c r="AE218"/>
      <c r="AF218"/>
      <c r="AG218"/>
      <c r="AH218"/>
    </row>
    <row r="219" spans="1:34" ht="12.75">
      <c r="A219" s="52" t="s">
        <v>108</v>
      </c>
      <c r="B219" s="24">
        <f>SUM(B203:B216)</f>
        <v>2452254063.339248</v>
      </c>
      <c r="J219" s="6">
        <f>SUM(J203:J216)</f>
        <v>2455496424.1859207</v>
      </c>
      <c r="K219" s="6">
        <f t="shared" si="40"/>
        <v>3242360.846672535</v>
      </c>
      <c r="L219" s="56"/>
      <c r="Z219"/>
      <c r="AA219"/>
      <c r="AB219"/>
      <c r="AC219"/>
      <c r="AD219"/>
      <c r="AE219"/>
      <c r="AF219"/>
      <c r="AG219"/>
      <c r="AH219"/>
    </row>
    <row r="220" spans="26:34" ht="12.75">
      <c r="Z220"/>
      <c r="AA220"/>
      <c r="AB220"/>
      <c r="AC220"/>
      <c r="AD220"/>
      <c r="AE220"/>
      <c r="AF220"/>
      <c r="AG220"/>
      <c r="AH220"/>
    </row>
    <row r="221" spans="10:34" ht="12.75">
      <c r="J221" s="6">
        <f>SUM(J203:J218)</f>
        <v>2866318624.321928</v>
      </c>
      <c r="K221" s="37">
        <f>J200-J221</f>
        <v>0</v>
      </c>
      <c r="L221" s="37"/>
      <c r="Z221"/>
      <c r="AA221"/>
      <c r="AB221"/>
      <c r="AC221"/>
      <c r="AD221"/>
      <c r="AE221"/>
      <c r="AF221"/>
      <c r="AG221"/>
      <c r="AH221"/>
    </row>
    <row r="222" spans="10:34" ht="12.75">
      <c r="J222" s="16" t="s">
        <v>68</v>
      </c>
      <c r="K222" s="16"/>
      <c r="L222" s="20"/>
      <c r="Z222"/>
      <c r="AA222"/>
      <c r="AB222"/>
      <c r="AC222"/>
      <c r="AD222"/>
      <c r="AE222"/>
      <c r="AF222"/>
      <c r="AG222"/>
      <c r="AH222"/>
    </row>
    <row r="223" spans="2:34" ht="12.75">
      <c r="B223" s="20"/>
      <c r="C223"/>
      <c r="D223"/>
      <c r="E223"/>
      <c r="G223"/>
      <c r="H223"/>
      <c r="I223" s="28"/>
      <c r="J223"/>
      <c r="K223"/>
      <c r="L223"/>
      <c r="Z223"/>
      <c r="AA223"/>
      <c r="AB223"/>
      <c r="AC223"/>
      <c r="AD223"/>
      <c r="AE223"/>
      <c r="AF223"/>
      <c r="AG223"/>
      <c r="AH223"/>
    </row>
    <row r="224" spans="2:34" ht="12.75">
      <c r="B224" s="20"/>
      <c r="C224"/>
      <c r="D224"/>
      <c r="E224"/>
      <c r="G224"/>
      <c r="H224"/>
      <c r="I224" s="28"/>
      <c r="J224"/>
      <c r="K224"/>
      <c r="L224"/>
      <c r="M224" s="81"/>
      <c r="Z224"/>
      <c r="AA224"/>
      <c r="AB224"/>
      <c r="AC224"/>
      <c r="AD224"/>
      <c r="AE224"/>
      <c r="AF224"/>
      <c r="AG224"/>
      <c r="AH224"/>
    </row>
    <row r="225" spans="3:13" ht="12.75">
      <c r="C225" s="105"/>
      <c r="D225" s="83"/>
      <c r="E225" s="83"/>
      <c r="F225" s="83"/>
      <c r="G225" s="83"/>
      <c r="H225" s="83"/>
      <c r="I225" s="106"/>
      <c r="M225" s="81"/>
    </row>
    <row r="226" spans="3:8" ht="12.75">
      <c r="C226" s="20"/>
      <c r="D226" s="20"/>
      <c r="E226" s="20"/>
      <c r="F226" s="20"/>
      <c r="G226" s="20"/>
      <c r="H226" s="20"/>
    </row>
    <row r="227" ht="12.75">
      <c r="M227" s="81"/>
    </row>
    <row r="228" ht="12.75">
      <c r="M228" s="81"/>
    </row>
    <row r="233" spans="26:28" ht="12.75">
      <c r="Z233" s="10"/>
      <c r="AA233" s="10"/>
      <c r="AB233" s="10"/>
    </row>
  </sheetData>
  <sheetProtection/>
  <mergeCells count="15">
    <mergeCell ref="M168:M170"/>
    <mergeCell ref="N168:N170"/>
    <mergeCell ref="A1:C1"/>
    <mergeCell ref="D200:E200"/>
    <mergeCell ref="AB3:AB5"/>
    <mergeCell ref="AC3:AC5"/>
    <mergeCell ref="O168:O170"/>
    <mergeCell ref="AH3:AH5"/>
    <mergeCell ref="AF3:AF5"/>
    <mergeCell ref="AG3:AG5"/>
    <mergeCell ref="Z4:AA4"/>
    <mergeCell ref="Z6:Z17"/>
    <mergeCell ref="AB19:AC19"/>
    <mergeCell ref="AD3:AD5"/>
    <mergeCell ref="AE3:AE5"/>
  </mergeCells>
  <printOptions/>
  <pageMargins left="0.3937007874015748" right="0.7480314960629921" top="0.5511811023622047" bottom="0.5511811023622047" header="0.5118110236220472" footer="0.5118110236220472"/>
  <pageSetup horizontalDpi="600" verticalDpi="600" orientation="portrait" r:id="rId1"/>
  <rowBreaks count="1" manualBreakCount="1">
    <brk id="110" max="38" man="1"/>
  </rowBreaks>
  <colBreaks count="2" manualBreakCount="2">
    <brk id="12" max="65535" man="1"/>
    <brk id="22" max="2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8"/>
  <sheetViews>
    <sheetView zoomScalePageLayoutView="0" workbookViewId="0" topLeftCell="A1">
      <pane xSplit="1" ySplit="2" topLeftCell="G36" activePane="bottomRight" state="frozen"/>
      <selection pane="topLeft" activeCell="K153" sqref="K153"/>
      <selection pane="topRight" activeCell="K153" sqref="K153"/>
      <selection pane="bottomLeft" activeCell="K153" sqref="K153"/>
      <selection pane="bottomRight" activeCell="K77" sqref="K77"/>
    </sheetView>
  </sheetViews>
  <sheetFormatPr defaultColWidth="9.140625" defaultRowHeight="12.75"/>
  <cols>
    <col min="1" max="1" width="47.8515625" style="0" customWidth="1"/>
    <col min="2" max="2" width="12.7109375" style="1" customWidth="1"/>
    <col min="3" max="3" width="13.00390625" style="1" customWidth="1"/>
    <col min="4" max="4" width="9.140625" style="1" bestFit="1" customWidth="1"/>
    <col min="5" max="5" width="11.421875" style="1" bestFit="1" customWidth="1"/>
    <col min="6" max="6" width="10.8515625" style="1" bestFit="1" customWidth="1"/>
    <col min="7" max="7" width="15.7109375" style="6" customWidth="1"/>
    <col min="8" max="8" width="15.00390625" style="6" customWidth="1"/>
    <col min="9" max="9" width="14.8515625" style="6" bestFit="1" customWidth="1"/>
    <col min="10" max="10" width="15.421875" style="6" bestFit="1" customWidth="1"/>
    <col min="11" max="11" width="14.140625" style="6" customWidth="1"/>
    <col min="12" max="12" width="20.8515625" style="6" customWidth="1"/>
    <col min="13" max="13" width="14.140625" style="6" customWidth="1"/>
    <col min="14" max="14" width="14.7109375" style="6" customWidth="1"/>
    <col min="15" max="15" width="12.57421875" style="6" customWidth="1"/>
    <col min="16" max="16" width="13.28125" style="6" bestFit="1" customWidth="1"/>
    <col min="17" max="17" width="11.140625" style="6" bestFit="1" customWidth="1"/>
    <col min="18" max="18" width="11.7109375" style="6" bestFit="1" customWidth="1"/>
    <col min="19" max="19" width="10.7109375" style="6" bestFit="1" customWidth="1"/>
    <col min="20" max="20" width="9.140625" style="6" customWidth="1"/>
    <col min="21" max="21" width="11.140625" style="6" bestFit="1" customWidth="1"/>
  </cols>
  <sheetData>
    <row r="1" spans="8:15" ht="12.75">
      <c r="H1" s="230" t="s">
        <v>92</v>
      </c>
      <c r="I1" s="230"/>
      <c r="J1" s="230"/>
      <c r="K1" s="230"/>
      <c r="L1" s="230"/>
      <c r="M1" s="230"/>
      <c r="N1" s="230"/>
      <c r="O1" s="230"/>
    </row>
    <row r="2" spans="2:15" ht="42" customHeight="1">
      <c r="B2" s="2" t="s">
        <v>71</v>
      </c>
      <c r="C2" s="2" t="s">
        <v>83</v>
      </c>
      <c r="D2" s="2" t="s">
        <v>44</v>
      </c>
      <c r="E2" s="2" t="s">
        <v>5</v>
      </c>
      <c r="F2" s="2" t="s">
        <v>0</v>
      </c>
      <c r="G2" s="86"/>
      <c r="H2" s="87" t="s">
        <v>79</v>
      </c>
      <c r="I2" s="88" t="s">
        <v>100</v>
      </c>
      <c r="J2" s="88" t="s">
        <v>162</v>
      </c>
      <c r="K2" s="88" t="s">
        <v>161</v>
      </c>
      <c r="L2" s="88" t="s">
        <v>163</v>
      </c>
      <c r="M2" s="89" t="s">
        <v>80</v>
      </c>
      <c r="N2" s="89" t="s">
        <v>81</v>
      </c>
      <c r="O2" s="89" t="s">
        <v>82</v>
      </c>
    </row>
    <row r="4" spans="1:15" ht="12.75">
      <c r="A4" s="4"/>
      <c r="B4" s="6"/>
      <c r="C4" s="6"/>
      <c r="D4" s="30"/>
      <c r="E4" s="5"/>
      <c r="F4" s="21"/>
      <c r="J4" s="24"/>
      <c r="K4" s="24"/>
      <c r="L4" s="24"/>
      <c r="M4" s="24"/>
      <c r="N4" s="24"/>
      <c r="O4" s="24"/>
    </row>
    <row r="5" spans="1:15" ht="15">
      <c r="A5" s="4"/>
      <c r="B5" s="6"/>
      <c r="C5" s="6"/>
      <c r="D5" s="30"/>
      <c r="E5" s="5"/>
      <c r="F5" s="21"/>
      <c r="G5" s="24"/>
      <c r="H5" s="232"/>
      <c r="I5" s="233"/>
      <c r="J5" s="233"/>
      <c r="K5" s="234"/>
      <c r="L5" s="232"/>
      <c r="M5" s="233"/>
      <c r="N5" s="233"/>
      <c r="O5" s="234"/>
    </row>
    <row r="6" spans="1:15" ht="12.75">
      <c r="A6" s="4">
        <v>2001</v>
      </c>
      <c r="B6" s="6"/>
      <c r="C6" s="6"/>
      <c r="D6" s="30"/>
      <c r="E6" s="5"/>
      <c r="F6" s="21"/>
      <c r="G6" s="24">
        <f aca="true" t="shared" si="0" ref="G6:G19">SUM(H6:O6)</f>
        <v>525513861.920527</v>
      </c>
      <c r="H6" s="90">
        <f>+Residential!B203</f>
        <v>134047710.49640852</v>
      </c>
      <c r="I6" s="90">
        <f>+'GS &lt; 50 kW'!B203</f>
        <v>59298833.46320482</v>
      </c>
      <c r="J6" s="90">
        <f>+'GS &gt; 50 kW'!B203</f>
        <v>145138638.52955747</v>
      </c>
      <c r="K6" s="90">
        <v>136434026.9000911</v>
      </c>
      <c r="L6" s="90">
        <v>46895461.751254484</v>
      </c>
      <c r="M6" s="90">
        <v>2910384</v>
      </c>
      <c r="N6" s="90">
        <f>+N7</f>
        <v>193936</v>
      </c>
      <c r="O6" s="90">
        <v>594870.7800105764</v>
      </c>
    </row>
    <row r="7" spans="1:15" ht="12.75">
      <c r="A7" s="4">
        <v>2002</v>
      </c>
      <c r="B7" s="6"/>
      <c r="C7" s="6"/>
      <c r="D7" s="30"/>
      <c r="E7" s="5"/>
      <c r="F7" s="41"/>
      <c r="G7" s="24">
        <f t="shared" si="0"/>
        <v>564764318.9143891</v>
      </c>
      <c r="H7" s="90">
        <f>+Residential!B204</f>
        <v>150212622.7341968</v>
      </c>
      <c r="I7" s="90">
        <f>+'GS &lt; 50 kW'!B204</f>
        <v>60711849.650126085</v>
      </c>
      <c r="J7" s="90">
        <f>+'GS &gt; 50 kW'!B204</f>
        <v>147962300.54892254</v>
      </c>
      <c r="K7" s="90">
        <v>142026097.2865849</v>
      </c>
      <c r="L7" s="90">
        <v>59872905.694558784</v>
      </c>
      <c r="M7" s="90">
        <v>3070173</v>
      </c>
      <c r="N7" s="90">
        <v>193936</v>
      </c>
      <c r="O7" s="90">
        <v>714434</v>
      </c>
    </row>
    <row r="8" spans="1:15" ht="12.75">
      <c r="A8" s="4">
        <v>2003</v>
      </c>
      <c r="B8" s="6"/>
      <c r="C8" s="6"/>
      <c r="D8" s="30"/>
      <c r="E8" s="5"/>
      <c r="F8" s="41"/>
      <c r="G8" s="24">
        <f t="shared" si="0"/>
        <v>585995585.0870725</v>
      </c>
      <c r="H8" s="90">
        <f>+Residential!B205</f>
        <v>158175326.68108305</v>
      </c>
      <c r="I8" s="90">
        <f>+'GS &lt; 50 kW'!B205</f>
        <v>61255640.12115057</v>
      </c>
      <c r="J8" s="90">
        <f>+'GS &gt; 50 kW'!B205</f>
        <v>148063379.94480598</v>
      </c>
      <c r="K8" s="90">
        <v>140546076.96195292</v>
      </c>
      <c r="L8" s="90">
        <v>73457084.37807998</v>
      </c>
      <c r="M8" s="90">
        <v>3488004</v>
      </c>
      <c r="N8" s="90">
        <v>192008</v>
      </c>
      <c r="O8" s="90">
        <v>818065</v>
      </c>
    </row>
    <row r="9" spans="1:15" ht="12.75">
      <c r="A9" s="4">
        <v>2004</v>
      </c>
      <c r="B9" s="6"/>
      <c r="C9" s="6"/>
      <c r="D9" s="30"/>
      <c r="E9" s="5"/>
      <c r="F9" s="21"/>
      <c r="G9" s="24">
        <f t="shared" si="0"/>
        <v>589630610.8135729</v>
      </c>
      <c r="H9" s="90">
        <f>+Residential!B206</f>
        <v>169087407.9317853</v>
      </c>
      <c r="I9" s="90">
        <f>+'GS &lt; 50 kW'!B206</f>
        <v>61650512.17297429</v>
      </c>
      <c r="J9" s="90">
        <f>+'GS &gt; 50 kW'!B206</f>
        <v>155978135.26211834</v>
      </c>
      <c r="K9" s="90">
        <v>114675484.53323162</v>
      </c>
      <c r="L9" s="90">
        <v>83457792.91346338</v>
      </c>
      <c r="M9" s="90">
        <v>3650549</v>
      </c>
      <c r="N9" s="90">
        <v>191280</v>
      </c>
      <c r="O9" s="90">
        <v>939449</v>
      </c>
    </row>
    <row r="10" spans="1:15" ht="12.75">
      <c r="A10" s="4">
        <v>2005</v>
      </c>
      <c r="B10" s="6"/>
      <c r="C10" s="6"/>
      <c r="D10" s="30"/>
      <c r="E10" s="5"/>
      <c r="F10" s="21"/>
      <c r="G10" s="24">
        <f t="shared" si="0"/>
        <v>636787690.2962409</v>
      </c>
      <c r="H10" s="90">
        <f>+Residential!B207</f>
        <v>192683717.00575626</v>
      </c>
      <c r="I10" s="90">
        <f>+'GS &lt; 50 kW'!B207</f>
        <v>65492217.28479891</v>
      </c>
      <c r="J10" s="90">
        <f>+'GS &gt; 50 kW'!B207</f>
        <v>164259880.11562985</v>
      </c>
      <c r="K10" s="90">
        <v>119553702.90836273</v>
      </c>
      <c r="L10" s="90">
        <v>89641173.17169322</v>
      </c>
      <c r="M10" s="90">
        <v>3961621.809999999</v>
      </c>
      <c r="N10" s="90">
        <v>184460.99999999988</v>
      </c>
      <c r="O10" s="90">
        <v>1010917</v>
      </c>
    </row>
    <row r="11" spans="1:15" ht="12.75">
      <c r="A11" s="4">
        <v>2006</v>
      </c>
      <c r="B11" s="6"/>
      <c r="C11" s="6"/>
      <c r="D11" s="30"/>
      <c r="E11" s="5"/>
      <c r="F11" s="21"/>
      <c r="G11" s="24">
        <f t="shared" si="0"/>
        <v>636829104.2023412</v>
      </c>
      <c r="H11" s="90">
        <f>+Residential!B208</f>
        <v>195292369.8922671</v>
      </c>
      <c r="I11" s="90">
        <f>+'GS &lt; 50 kW'!B208</f>
        <v>64355938.60585358</v>
      </c>
      <c r="J11" s="90">
        <f>+'GS &gt; 50 kW'!B208</f>
        <v>165309885.2250971</v>
      </c>
      <c r="K11" s="90">
        <v>116022864.47096446</v>
      </c>
      <c r="L11" s="90">
        <v>90399608.04815884</v>
      </c>
      <c r="M11" s="90">
        <v>4232884.96</v>
      </c>
      <c r="N11" s="90">
        <v>180811.99999999988</v>
      </c>
      <c r="O11" s="90">
        <v>1034741</v>
      </c>
    </row>
    <row r="12" spans="1:15" ht="12.75">
      <c r="A12" s="4">
        <v>2007</v>
      </c>
      <c r="B12" s="6"/>
      <c r="C12" s="6"/>
      <c r="D12" s="30"/>
      <c r="E12" s="5"/>
      <c r="F12" s="21"/>
      <c r="G12" s="24">
        <f t="shared" si="0"/>
        <v>672730918.0223122</v>
      </c>
      <c r="H12" s="90">
        <f>+Residential!B209</f>
        <v>211418657.82015693</v>
      </c>
      <c r="I12" s="90">
        <f>+'GS &lt; 50 kW'!B209</f>
        <v>68462630.69041939</v>
      </c>
      <c r="J12" s="90">
        <f>+'GS &gt; 50 kW'!B209</f>
        <v>172334962.69293764</v>
      </c>
      <c r="K12" s="90">
        <v>122900957.80117863</v>
      </c>
      <c r="L12" s="90">
        <v>91791513.2676196</v>
      </c>
      <c r="M12" s="90">
        <v>4566123.35</v>
      </c>
      <c r="N12" s="90">
        <v>178317.3999999999</v>
      </c>
      <c r="O12" s="90">
        <v>1077755</v>
      </c>
    </row>
    <row r="13" spans="1:15" ht="12.75">
      <c r="A13" s="4">
        <v>2008</v>
      </c>
      <c r="B13" s="6"/>
      <c r="C13" s="6"/>
      <c r="D13" s="30"/>
      <c r="E13" s="5"/>
      <c r="F13" s="21"/>
      <c r="G13" s="24">
        <f t="shared" si="0"/>
        <v>685172481.5561754</v>
      </c>
      <c r="H13" s="90">
        <f>+Residential!B210</f>
        <v>218391096.58213848</v>
      </c>
      <c r="I13" s="90">
        <f>+'GS &lt; 50 kW'!B210</f>
        <v>71310392.64507413</v>
      </c>
      <c r="J13" s="90">
        <f>+'GS &gt; 50 kW'!B210</f>
        <v>180947734.90405402</v>
      </c>
      <c r="K13" s="90">
        <v>124956583.52816156</v>
      </c>
      <c r="L13" s="90">
        <v>83253315.39674725</v>
      </c>
      <c r="M13" s="90">
        <v>4960008.7</v>
      </c>
      <c r="N13" s="90">
        <v>176575.79999999987</v>
      </c>
      <c r="O13" s="90">
        <v>1176774</v>
      </c>
    </row>
    <row r="14" spans="1:15" ht="12.75">
      <c r="A14" s="4">
        <v>2009</v>
      </c>
      <c r="B14" s="6"/>
      <c r="C14" s="6"/>
      <c r="D14" s="30"/>
      <c r="E14" s="5"/>
      <c r="F14" s="21"/>
      <c r="G14" s="24">
        <f t="shared" si="0"/>
        <v>673060305.5943639</v>
      </c>
      <c r="H14" s="90">
        <f>+Residential!B211</f>
        <v>230401040.6502598</v>
      </c>
      <c r="I14" s="90">
        <f>+'GS &lt; 50 kW'!B211</f>
        <v>73618222.92461503</v>
      </c>
      <c r="J14" s="90">
        <f>+'GS &gt; 50 kW'!B211</f>
        <v>184558254.86612535</v>
      </c>
      <c r="K14" s="90">
        <v>117357756.73847939</v>
      </c>
      <c r="L14" s="90">
        <v>60254116.21488424</v>
      </c>
      <c r="M14" s="90">
        <v>5438382.319999999</v>
      </c>
      <c r="N14" s="90">
        <v>172686.87999999983</v>
      </c>
      <c r="O14" s="90">
        <v>1259845</v>
      </c>
    </row>
    <row r="15" spans="1:15" ht="12.75">
      <c r="A15" s="4">
        <v>2010</v>
      </c>
      <c r="B15" s="6"/>
      <c r="C15" s="6"/>
      <c r="D15" s="30"/>
      <c r="E15" s="5"/>
      <c r="F15" s="21"/>
      <c r="G15" s="24">
        <f>SUM(H15:O15)</f>
        <v>725606710.2899997</v>
      </c>
      <c r="H15" s="90">
        <f>+Residential!B212</f>
        <v>258659734.84999987</v>
      </c>
      <c r="I15" s="90">
        <f>+'GS &lt; 50 kW'!B212</f>
        <v>79867181.44999999</v>
      </c>
      <c r="J15" s="90">
        <f>+'GS &gt; 50 kW'!B212</f>
        <v>192607267.92</v>
      </c>
      <c r="K15" s="90">
        <v>110640752.77</v>
      </c>
      <c r="L15" s="90">
        <v>76336019.67999999</v>
      </c>
      <c r="M15" s="90">
        <v>6055918.620000001</v>
      </c>
      <c r="N15" s="90">
        <v>158811</v>
      </c>
      <c r="O15" s="90">
        <v>1281024</v>
      </c>
    </row>
    <row r="16" spans="1:15" ht="12.75">
      <c r="A16" s="4">
        <v>2011</v>
      </c>
      <c r="B16" s="6"/>
      <c r="C16" s="6"/>
      <c r="D16" s="30"/>
      <c r="E16" s="5"/>
      <c r="F16" s="21"/>
      <c r="G16" s="24">
        <f t="shared" si="0"/>
        <v>754466669.8199999</v>
      </c>
      <c r="H16" s="90">
        <f>+Residential!B213</f>
        <v>268725506.52</v>
      </c>
      <c r="I16" s="90">
        <f>+'GS &lt; 50 kW'!B213</f>
        <v>83338833.54000002</v>
      </c>
      <c r="J16" s="90">
        <f>+'GS &gt; 50 kW'!B213</f>
        <v>192782769.75999996</v>
      </c>
      <c r="K16" s="90">
        <v>121407487</v>
      </c>
      <c r="L16" s="90">
        <v>80336534</v>
      </c>
      <c r="M16" s="90">
        <v>6418516</v>
      </c>
      <c r="N16" s="90">
        <v>158082</v>
      </c>
      <c r="O16" s="90">
        <v>1298941</v>
      </c>
    </row>
    <row r="17" spans="1:15" ht="12.75">
      <c r="A17" s="4">
        <v>2012</v>
      </c>
      <c r="B17" s="6"/>
      <c r="C17" s="6"/>
      <c r="D17" s="30"/>
      <c r="E17" s="5"/>
      <c r="F17" s="21"/>
      <c r="G17" s="24">
        <f t="shared" si="0"/>
        <v>783449113.6999999</v>
      </c>
      <c r="H17" s="90">
        <f>+Residential!B214</f>
        <v>281220954.65</v>
      </c>
      <c r="I17" s="90">
        <f>+'GS &lt; 50 kW'!B214</f>
        <v>84168273.07</v>
      </c>
      <c r="J17" s="90">
        <f>+'GS &gt; 50 kW'!B214</f>
        <v>194206572.97999996</v>
      </c>
      <c r="K17" s="90">
        <v>128979851</v>
      </c>
      <c r="L17" s="90">
        <v>86554626</v>
      </c>
      <c r="M17" s="90">
        <v>6834941</v>
      </c>
      <c r="N17" s="90">
        <v>155804</v>
      </c>
      <c r="O17" s="90">
        <v>1328091</v>
      </c>
    </row>
    <row r="18" spans="1:15" ht="12.75">
      <c r="A18" s="4">
        <v>2013</v>
      </c>
      <c r="B18" s="6"/>
      <c r="C18" s="6"/>
      <c r="D18" s="30"/>
      <c r="E18" s="5"/>
      <c r="F18" s="21"/>
      <c r="G18" s="24">
        <f t="shared" si="0"/>
        <v>814644301.5</v>
      </c>
      <c r="H18" s="90">
        <f>+Residential!B215</f>
        <v>287291133.53</v>
      </c>
      <c r="I18" s="90">
        <f>+'GS &lt; 50 kW'!B215</f>
        <v>87021883.13</v>
      </c>
      <c r="J18" s="90">
        <f>+'GS &gt; 50 kW'!B215</f>
        <v>203179610.86</v>
      </c>
      <c r="K18" s="126">
        <v>100652663.27</v>
      </c>
      <c r="L18" s="126">
        <v>127931414.90000002</v>
      </c>
      <c r="M18" s="90">
        <v>7077824.87</v>
      </c>
      <c r="N18" s="90">
        <v>153123.74</v>
      </c>
      <c r="O18" s="90">
        <v>1336647.2</v>
      </c>
    </row>
    <row r="19" spans="1:15" ht="12.75">
      <c r="A19" s="4">
        <v>2014</v>
      </c>
      <c r="B19" s="6"/>
      <c r="C19" s="6"/>
      <c r="D19" s="30"/>
      <c r="E19" s="77" t="s">
        <v>120</v>
      </c>
      <c r="F19" s="21"/>
      <c r="G19" s="24">
        <f t="shared" si="0"/>
        <v>836470876.06</v>
      </c>
      <c r="H19" s="90">
        <f>+Residential!B216</f>
        <v>290591982.63</v>
      </c>
      <c r="I19" s="90">
        <f>+'GS &lt; 50 kW'!B216</f>
        <v>88384426.73</v>
      </c>
      <c r="J19" s="90">
        <f>+'GS &gt; 50 kW'!B216</f>
        <v>204924669.73</v>
      </c>
      <c r="K19" s="90">
        <v>110411188.92</v>
      </c>
      <c r="L19" s="90">
        <v>133427900.34</v>
      </c>
      <c r="M19" s="90">
        <v>7239934.31</v>
      </c>
      <c r="N19" s="90">
        <v>151002.67</v>
      </c>
      <c r="O19" s="93">
        <v>1339770.73</v>
      </c>
    </row>
    <row r="20" spans="1:15" ht="12.75">
      <c r="A20" s="4"/>
      <c r="B20" s="6"/>
      <c r="C20" s="6"/>
      <c r="D20" s="30"/>
      <c r="E20" s="5"/>
      <c r="F20" s="21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2.75">
      <c r="A21" s="4"/>
      <c r="B21" s="6"/>
      <c r="C21" s="6"/>
      <c r="D21" s="30"/>
      <c r="E21" s="5"/>
      <c r="F21" s="21"/>
      <c r="G21" s="24"/>
      <c r="H21" s="24"/>
      <c r="I21" s="24"/>
      <c r="J21" s="24"/>
      <c r="K21" s="127"/>
      <c r="L21" s="128" t="s">
        <v>116</v>
      </c>
      <c r="M21" s="126"/>
      <c r="N21" s="126"/>
      <c r="O21" s="24"/>
    </row>
    <row r="22" spans="1:15" ht="12.75">
      <c r="A22" s="4"/>
      <c r="B22" s="24"/>
      <c r="C22" s="6"/>
      <c r="F22" s="21"/>
      <c r="G22" s="24"/>
      <c r="H22" s="231"/>
      <c r="I22" s="231"/>
      <c r="J22" s="24"/>
      <c r="K22" s="24"/>
      <c r="L22" s="24"/>
      <c r="M22" s="24"/>
      <c r="N22" s="24"/>
      <c r="O22" s="24"/>
    </row>
    <row r="23" spans="2:15" ht="12.75">
      <c r="B23" s="24"/>
      <c r="C23" s="6"/>
      <c r="F23" s="21"/>
      <c r="G23" s="24"/>
      <c r="H23" s="231"/>
      <c r="I23" s="231"/>
      <c r="J23" s="24"/>
      <c r="K23" s="24"/>
      <c r="L23" s="24"/>
      <c r="M23" s="24"/>
      <c r="N23" s="24"/>
      <c r="O23" s="24"/>
    </row>
    <row r="25" spans="1:15" ht="12.75">
      <c r="A25" s="17" t="s">
        <v>9</v>
      </c>
      <c r="F25" s="41"/>
      <c r="G25" s="6">
        <f>+G6+G7+G8+G9+G10+G11+G12+G13+G14+G15+G16+G17+G18+G19</f>
        <v>9485122547.776995</v>
      </c>
      <c r="M25" s="6">
        <f>+M6+M7+M8+M9+M10+M11+M12+M13+M14+M15+M16+M17+M18+M19</f>
        <v>69905265.93999998</v>
      </c>
      <c r="N25" s="6">
        <f>+N6+N7+N8+N9+N10+N11+N12+N13+N14+N15+N16+N17+N18+N19</f>
        <v>2440836.4899999993</v>
      </c>
      <c r="O25" s="6">
        <f>+O6+O7+O8+O9+O10+O11+O12+O13+O14+O15+O16+O17+O18+O19</f>
        <v>15211324.710010577</v>
      </c>
    </row>
    <row r="26" spans="7:15" ht="12.75">
      <c r="G26" s="22"/>
      <c r="L26" s="57"/>
      <c r="M26" s="56">
        <f>+M25/$G$25</f>
        <v>0.007369990802742292</v>
      </c>
      <c r="N26" s="56">
        <f>+N25/$G$25</f>
        <v>0.0002573331528090854</v>
      </c>
      <c r="O26" s="56">
        <f>+O25/$G$25</f>
        <v>0.0016037035508387415</v>
      </c>
    </row>
    <row r="27" spans="13:15" ht="12.75">
      <c r="M27" s="56"/>
      <c r="N27" s="56"/>
      <c r="O27" s="56"/>
    </row>
    <row r="28" spans="1:2" ht="12.75">
      <c r="A28" s="19" t="s">
        <v>11</v>
      </c>
      <c r="B28" s="12"/>
    </row>
    <row r="30" spans="1:15" ht="12.75">
      <c r="A30">
        <f aca="true" t="shared" si="1" ref="A30:A38">A6</f>
        <v>2001</v>
      </c>
      <c r="H30" s="24">
        <f>H6/'Rate Class Customer Model'!B5</f>
        <v>13829.331527536215</v>
      </c>
      <c r="I30" s="24">
        <f>I6/'Rate Class Customer Model'!C5</f>
        <v>34881.66674306166</v>
      </c>
      <c r="J30" s="24">
        <f>J6/'Rate Class Customer Model'!D5</f>
        <v>755930.4090081118</v>
      </c>
      <c r="K30" s="24">
        <f>K6/'Rate Class Customer Model'!E5</f>
        <v>13643402.690009112</v>
      </c>
      <c r="L30" s="24">
        <f>L6/'Rate Class Customer Model'!F5</f>
        <v>46895461.751254484</v>
      </c>
      <c r="M30" s="24">
        <f>M6/'Rate Class Customer Model'!G5</f>
        <v>1274.8068331143234</v>
      </c>
      <c r="N30" s="24">
        <f>N6/'Rate Class Customer Model'!H5</f>
        <v>589.4711246200608</v>
      </c>
      <c r="O30" s="24">
        <f>O6/'Rate Class Customer Model'!I5</f>
        <v>5407.916181914331</v>
      </c>
    </row>
    <row r="31" spans="1:15" ht="12.75">
      <c r="A31">
        <f t="shared" si="1"/>
        <v>2002</v>
      </c>
      <c r="D31" s="6"/>
      <c r="H31" s="24">
        <f>H7/'Rate Class Customer Model'!B6</f>
        <v>12198.52385367848</v>
      </c>
      <c r="I31" s="24">
        <f>I7/'Rate Class Customer Model'!C6</f>
        <v>35441.82699948984</v>
      </c>
      <c r="J31" s="24">
        <f>J7/'Rate Class Customer Model'!D6</f>
        <v>678726.1493069842</v>
      </c>
      <c r="K31" s="24">
        <f>K7/'Rate Class Customer Model'!E6</f>
        <v>14202609.728658492</v>
      </c>
      <c r="L31" s="24">
        <f>L7/'Rate Class Customer Model'!F6</f>
        <v>29936452.847279392</v>
      </c>
      <c r="M31" s="24">
        <f>M7/'Rate Class Customer Model'!G6</f>
        <v>1307.5694207836457</v>
      </c>
      <c r="N31" s="24">
        <f>N7/'Rate Class Customer Model'!H6</f>
        <v>644.3056478405316</v>
      </c>
      <c r="O31" s="24">
        <f>O7/'Rate Class Customer Model'!I6</f>
        <v>6266.964912280701</v>
      </c>
    </row>
    <row r="32" spans="1:15" ht="12.75">
      <c r="A32">
        <f t="shared" si="1"/>
        <v>2003</v>
      </c>
      <c r="H32" s="24">
        <f>H8/'Rate Class Customer Model'!B7</f>
        <v>11444.564552570946</v>
      </c>
      <c r="I32" s="24">
        <f>I8/'Rate Class Customer Model'!C7</f>
        <v>34804.34097792646</v>
      </c>
      <c r="J32" s="24">
        <f>J8/'Rate Class Customer Model'!D7</f>
        <v>698412.1695509716</v>
      </c>
      <c r="K32" s="24">
        <f>K8/'Rate Class Customer Model'!E7</f>
        <v>14054607.696195293</v>
      </c>
      <c r="L32" s="24">
        <f>L8/'Rate Class Customer Model'!F7</f>
        <v>36728542.18903999</v>
      </c>
      <c r="M32" s="24">
        <f>M8/'Rate Class Customer Model'!G7</f>
        <v>1448.5066445182724</v>
      </c>
      <c r="N32" s="24">
        <f>N8/'Rate Class Customer Model'!H7</f>
        <v>617.3890675241157</v>
      </c>
      <c r="O32" s="24">
        <f>O8/'Rate Class Customer Model'!I7</f>
        <v>6705.450819672131</v>
      </c>
    </row>
    <row r="33" spans="1:15" ht="12.75">
      <c r="A33">
        <f t="shared" si="1"/>
        <v>2004</v>
      </c>
      <c r="H33" s="24">
        <f>H9/'Rate Class Customer Model'!B8</f>
        <v>10728.896442372163</v>
      </c>
      <c r="I33" s="24">
        <f>I9/'Rate Class Customer Model'!C8</f>
        <v>34193.29571435069</v>
      </c>
      <c r="J33" s="24">
        <f>J9/'Rate Class Customer Model'!D8</f>
        <v>681127.2282188574</v>
      </c>
      <c r="K33" s="24">
        <f>K9/'Rate Class Customer Model'!E8</f>
        <v>11467548.453323161</v>
      </c>
      <c r="L33" s="24">
        <f>L9/'Rate Class Customer Model'!F8</f>
        <v>41728896.45673169</v>
      </c>
      <c r="M33" s="24">
        <f>M9/'Rate Class Customer Model'!G8</f>
        <v>1480.3523925385239</v>
      </c>
      <c r="N33" s="24">
        <f>N9/'Rate Class Customer Model'!H8</f>
        <v>619.0291262135922</v>
      </c>
      <c r="O33" s="24">
        <f>O9/'Rate Class Customer Model'!I8</f>
        <v>6857.291970802919</v>
      </c>
    </row>
    <row r="34" spans="1:15" ht="12.75">
      <c r="A34">
        <f t="shared" si="1"/>
        <v>2005</v>
      </c>
      <c r="H34" s="24">
        <f>H10/'Rate Class Customer Model'!B9</f>
        <v>10941.10027856205</v>
      </c>
      <c r="I34" s="24">
        <f>I10/'Rate Class Customer Model'!C9</f>
        <v>32910.661952160255</v>
      </c>
      <c r="J34" s="24">
        <f>J10/'Rate Class Customer Model'!D9</f>
        <v>673196.2299820896</v>
      </c>
      <c r="K34" s="24">
        <f>K10/'Rate Class Customer Model'!E9</f>
        <v>10868518.446214793</v>
      </c>
      <c r="L34" s="24">
        <f>L10/'Rate Class Customer Model'!F9</f>
        <v>44820586.58584661</v>
      </c>
      <c r="M34" s="24">
        <f>M10/'Rate Class Customer Model'!G9</f>
        <v>1566.477584025306</v>
      </c>
      <c r="N34" s="24">
        <f>N10/'Rate Class Customer Model'!H9</f>
        <v>618.9966442953016</v>
      </c>
      <c r="O34" s="24">
        <f>O10/'Rate Class Customer Model'!I9</f>
        <v>7272.784172661871</v>
      </c>
    </row>
    <row r="35" spans="1:15" ht="12.75">
      <c r="A35">
        <f t="shared" si="1"/>
        <v>2006</v>
      </c>
      <c r="H35" s="24">
        <f>H11/'Rate Class Customer Model'!B10</f>
        <v>10432.28471646726</v>
      </c>
      <c r="I35" s="24">
        <f>I11/'Rate Class Customer Model'!C10</f>
        <v>32210.1794824092</v>
      </c>
      <c r="J35" s="24">
        <f>J11/'Rate Class Customer Model'!D10</f>
        <v>674734.2254085595</v>
      </c>
      <c r="K35" s="24">
        <f>K11/'Rate Class Customer Model'!E10</f>
        <v>8924835.728535729</v>
      </c>
      <c r="L35" s="24">
        <f>L11/'Rate Class Customer Model'!F10</f>
        <v>45199804.02407942</v>
      </c>
      <c r="M35" s="24">
        <f>M11/'Rate Class Customer Model'!G10</f>
        <v>1641.2892438929819</v>
      </c>
      <c r="N35" s="24">
        <f>N11/'Rate Class Customer Model'!H10</f>
        <v>612.9220338983047</v>
      </c>
      <c r="O35" s="24">
        <f>O11/'Rate Class Customer Model'!I10</f>
        <v>7286.908450704225</v>
      </c>
    </row>
    <row r="36" spans="1:15" ht="12.75">
      <c r="A36">
        <f t="shared" si="1"/>
        <v>2007</v>
      </c>
      <c r="H36" s="24">
        <f>H12/'Rate Class Customer Model'!B11</f>
        <v>10412.147639505389</v>
      </c>
      <c r="I36" s="24">
        <f>I12/'Rate Class Customer Model'!C11</f>
        <v>33421.9595347409</v>
      </c>
      <c r="J36" s="24">
        <f>J12/'Rate Class Customer Model'!D11</f>
        <v>631263.5996078302</v>
      </c>
      <c r="K36" s="24">
        <f>K12/'Rate Class Customer Model'!E11</f>
        <v>8778639.84294133</v>
      </c>
      <c r="L36" s="24">
        <f>L12/'Rate Class Customer Model'!F11</f>
        <v>45895756.6338098</v>
      </c>
      <c r="M36" s="24">
        <f>M12/'Rate Class Customer Model'!G11</f>
        <v>1733.5320235383447</v>
      </c>
      <c r="N36" s="24">
        <f>N12/'Rate Class Customer Model'!H11</f>
        <v>614.8875862068962</v>
      </c>
      <c r="O36" s="24">
        <f>O12/'Rate Class Customer Model'!I11</f>
        <v>6393.61377983003</v>
      </c>
    </row>
    <row r="37" spans="1:15" ht="12.75">
      <c r="A37">
        <f t="shared" si="1"/>
        <v>2008</v>
      </c>
      <c r="H37" s="24">
        <f>H13/'Rate Class Customer Model'!B12</f>
        <v>9597.499300467523</v>
      </c>
      <c r="I37" s="24">
        <f>I13/'Rate Class Customer Model'!C12</f>
        <v>33391.78393343513</v>
      </c>
      <c r="J37" s="24">
        <f>J13/'Rate Class Customer Model'!D12</f>
        <v>660393.193080489</v>
      </c>
      <c r="K37" s="24">
        <f>K13/'Rate Class Customer Model'!E12</f>
        <v>8925470.25201154</v>
      </c>
      <c r="L37" s="24">
        <f>L13/'Rate Class Customer Model'!F12</f>
        <v>41626657.69837362</v>
      </c>
      <c r="M37" s="24">
        <f>M13/'Rate Class Customer Model'!G12</f>
        <v>1830.9371354743448</v>
      </c>
      <c r="N37" s="24">
        <f>N13/'Rate Class Customer Model'!H12</f>
        <v>613.1104166666662</v>
      </c>
      <c r="O37" s="24">
        <f>O13/'Rate Class Customer Model'!I12</f>
        <v>6669.807580972352</v>
      </c>
    </row>
    <row r="38" spans="1:15" ht="12.75">
      <c r="A38">
        <f t="shared" si="1"/>
        <v>2009</v>
      </c>
      <c r="H38" s="24">
        <f>H14/'Rate Class Customer Model'!B13</f>
        <v>9278.39242309358</v>
      </c>
      <c r="I38" s="24">
        <f>I14/'Rate Class Customer Model'!C13</f>
        <v>33417.259611718124</v>
      </c>
      <c r="J38" s="24">
        <f>J14/'Rate Class Customer Model'!D13</f>
        <v>671120.9267859104</v>
      </c>
      <c r="K38" s="24">
        <f>K14/'Rate Class Customer Model'!E13</f>
        <v>9514979.466392038</v>
      </c>
      <c r="L38" s="24">
        <f>L14/'Rate Class Customer Model'!F13</f>
        <v>30127058.10744212</v>
      </c>
      <c r="M38" s="24">
        <f>M14/'Rate Class Customer Model'!G13</f>
        <v>1960.4838932948808</v>
      </c>
      <c r="N38" s="24">
        <f>N14/'Rate Class Customer Model'!H13</f>
        <v>618.949390681003</v>
      </c>
      <c r="O38" s="24">
        <f>O14/'Rate Class Customer Model'!I13</f>
        <v>6884.398907103826</v>
      </c>
    </row>
    <row r="39" spans="1:15" ht="12.75">
      <c r="A39">
        <v>2010</v>
      </c>
      <c r="H39" s="24">
        <f>H15/'Rate Class Customer Model'!B14</f>
        <v>9728.804861398423</v>
      </c>
      <c r="I39" s="24">
        <f>I15/'Rate Class Customer Model'!C14</f>
        <v>34983.434713096794</v>
      </c>
      <c r="J39" s="24">
        <f>J15/'Rate Class Customer Model'!D14</f>
        <v>749444.6222568093</v>
      </c>
      <c r="K39" s="24">
        <f>K15/'Rate Class Customer Model'!E14</f>
        <v>8510827.136153845</v>
      </c>
      <c r="L39" s="24">
        <f>L15/'Rate Class Customer Model'!F14</f>
        <v>38168009.839999996</v>
      </c>
      <c r="M39" s="24">
        <f>M15/'Rate Class Customer Model'!G14</f>
        <v>2166.6971806797856</v>
      </c>
      <c r="N39" s="24">
        <f>N15/'Rate Class Customer Model'!H14</f>
        <v>597.0338345864661</v>
      </c>
      <c r="O39" s="24">
        <f>O15/'Rate Class Customer Model'!I14</f>
        <v>6962.086956521739</v>
      </c>
    </row>
    <row r="40" spans="1:15" ht="12.75">
      <c r="A40">
        <v>2011</v>
      </c>
      <c r="H40" s="24">
        <f>H16/'Rate Class Customer Model'!B15</f>
        <v>9657.353069790843</v>
      </c>
      <c r="I40" s="24">
        <f>I16/'Rate Class Customer Model'!C15</f>
        <v>35104.816149957886</v>
      </c>
      <c r="J40" s="24">
        <f>J16/'Rate Class Customer Model'!D15</f>
        <v>711375.5341697416</v>
      </c>
      <c r="K40" s="24">
        <f>K16/'Rate Class Customer Model'!E15</f>
        <v>10117290.583333334</v>
      </c>
      <c r="L40" s="24">
        <f>L16/'Rate Class Customer Model'!F15</f>
        <v>40168267</v>
      </c>
      <c r="M40" s="24">
        <f>M16/'Rate Class Customer Model'!G15</f>
        <v>2213.2813793103446</v>
      </c>
      <c r="N40" s="24">
        <f>N16/'Rate Class Customer Model'!H15</f>
        <v>596.5358490566038</v>
      </c>
      <c r="O40" s="24">
        <f>O16/'Rate Class Customer Model'!I15</f>
        <v>6946.208556149732</v>
      </c>
    </row>
    <row r="41" spans="1:15" ht="12.75">
      <c r="A41">
        <v>2012</v>
      </c>
      <c r="H41" s="24">
        <f>H17/'Rate Class Customer Model'!B16</f>
        <v>9496.216473627337</v>
      </c>
      <c r="I41" s="24">
        <f>I17/'Rate Class Customer Model'!C16</f>
        <v>34708.56621443298</v>
      </c>
      <c r="J41" s="24">
        <f>J17/'Rate Class Customer Model'!D16</f>
        <v>716629.4205904057</v>
      </c>
      <c r="K41" s="24">
        <f>K17/'Rate Class Customer Model'!E16</f>
        <v>10748320.916666666</v>
      </c>
      <c r="L41" s="24">
        <f>L17/'Rate Class Customer Model'!F16</f>
        <v>43277313</v>
      </c>
      <c r="M41" s="24">
        <f>M17/'Rate Class Customer Model'!G16</f>
        <v>2285.1691741892346</v>
      </c>
      <c r="N41" s="24">
        <f>N17/'Rate Class Customer Model'!H16</f>
        <v>587.9396226415095</v>
      </c>
      <c r="O41" s="24">
        <f>O17/'Rate Class Customer Model'!I16</f>
        <v>6917.140625</v>
      </c>
    </row>
    <row r="42" spans="1:15" ht="12.75">
      <c r="A42">
        <v>2013</v>
      </c>
      <c r="H42" s="24">
        <f>H18/'Rate Class Customer Model'!B17</f>
        <v>9175.992000063878</v>
      </c>
      <c r="I42" s="24">
        <f>I18/'Rate Class Customer Model'!C17</f>
        <v>35131.96735163504</v>
      </c>
      <c r="J42" s="24">
        <f>J18/'Rate Class Customer Model'!D17</f>
        <v>744247.6588278388</v>
      </c>
      <c r="K42" s="24">
        <f>K18/'Rate Class Customer Model'!E17</f>
        <v>9150242.115454545</v>
      </c>
      <c r="L42" s="24">
        <f>L18/'Rate Class Customer Model'!F17</f>
        <v>42643804.966666676</v>
      </c>
      <c r="M42" s="24">
        <f>M18/'Rate Class Customer Model'!G17</f>
        <v>2323.6457222587</v>
      </c>
      <c r="N42" s="24">
        <f>N18/'Rate Class Customer Model'!H17</f>
        <v>598.139609375</v>
      </c>
      <c r="O42" s="24">
        <f>O18/'Rate Class Customer Model'!I17</f>
        <v>6961.704166666666</v>
      </c>
    </row>
    <row r="43" spans="1:15" ht="12.75">
      <c r="A43">
        <v>2014</v>
      </c>
      <c r="H43" s="24">
        <f>H19/'Rate Class Customer Model'!B18</f>
        <v>9005.577743584976</v>
      </c>
      <c r="I43" s="24">
        <f>I19/'Rate Class Customer Model'!C18</f>
        <v>34742.30610455975</v>
      </c>
      <c r="J43" s="24">
        <f>J19/'Rate Class Customer Model'!D18</f>
        <v>721565.7384859155</v>
      </c>
      <c r="K43" s="24">
        <f>K19/'Rate Class Customer Model'!E18</f>
        <v>9200932.41</v>
      </c>
      <c r="L43" s="24">
        <f>L19/'Rate Class Customer Model'!F18</f>
        <v>44475966.78</v>
      </c>
      <c r="M43" s="24">
        <f>M19/'Rate Class Customer Model'!G18</f>
        <v>2337.724995156603</v>
      </c>
      <c r="N43" s="24">
        <f>N19/'Rate Class Customer Model'!H18</f>
        <v>601.6042629482072</v>
      </c>
      <c r="O43" s="24">
        <f>O19/'Rate Class Customer Model'!I18</f>
        <v>7088.734021164021</v>
      </c>
    </row>
    <row r="44" spans="1:15" ht="15">
      <c r="A44">
        <v>2015</v>
      </c>
      <c r="H44" s="24"/>
      <c r="I44" s="24"/>
      <c r="J44" s="24"/>
      <c r="K44" s="66">
        <f>+K70/12.58</f>
        <v>8994872.764228934</v>
      </c>
      <c r="L44" s="66">
        <f>+L70/'Rate Class Customer Model'!F19</f>
        <v>45319302.967999995</v>
      </c>
      <c r="M44" s="66">
        <f>M43*M65</f>
        <v>2449.351074796695</v>
      </c>
      <c r="N44" s="66">
        <f>N43*N65</f>
        <v>601.6042629482072</v>
      </c>
      <c r="O44" s="66">
        <f>+(O19-101395)/'Rate Class Customer Model'!I19</f>
        <v>6957.16702247191</v>
      </c>
    </row>
    <row r="45" spans="1:15" ht="15">
      <c r="A45">
        <v>2016</v>
      </c>
      <c r="H45" s="24"/>
      <c r="I45" s="24"/>
      <c r="J45" s="24"/>
      <c r="K45" s="66">
        <f>K44*K65</f>
        <v>8994872.764228934</v>
      </c>
      <c r="L45" s="66">
        <f>L44*L65</f>
        <v>45319302.967999995</v>
      </c>
      <c r="M45" s="66">
        <f>M44*M65</f>
        <v>2566.3072859456815</v>
      </c>
      <c r="N45" s="66">
        <f>N44*N65</f>
        <v>601.6042629482072</v>
      </c>
      <c r="O45" s="66">
        <f>+(O19-243348)/'Rate Class Customer Model'!I20</f>
        <v>6159.678258426966</v>
      </c>
    </row>
    <row r="46" spans="1:12" ht="12.75">
      <c r="A46">
        <f>A22</f>
        <v>0</v>
      </c>
      <c r="H46" s="235"/>
      <c r="I46" s="235"/>
      <c r="J46" s="235"/>
      <c r="K46" s="82"/>
      <c r="L46" s="72"/>
    </row>
    <row r="47" spans="1:15" ht="12.75">
      <c r="A47">
        <f>A23</f>
        <v>0</v>
      </c>
      <c r="H47" s="235"/>
      <c r="I47" s="235"/>
      <c r="J47" s="235"/>
      <c r="K47" s="82"/>
      <c r="L47" s="22"/>
      <c r="M47" s="22"/>
      <c r="N47" s="22"/>
      <c r="O47" s="22"/>
    </row>
    <row r="48" spans="1:15" ht="12.75">
      <c r="A48" s="31">
        <v>1999</v>
      </c>
      <c r="D48" s="6"/>
      <c r="H48" s="22"/>
      <c r="I48" s="22"/>
      <c r="J48" s="22"/>
      <c r="K48" s="22"/>
      <c r="L48" s="22"/>
      <c r="M48" s="22"/>
      <c r="N48" s="22"/>
      <c r="O48" s="22"/>
    </row>
    <row r="49" spans="1:4" ht="12.75">
      <c r="A49" s="31">
        <v>2000</v>
      </c>
      <c r="D49" s="6"/>
    </row>
    <row r="50" spans="1:15" ht="12.75">
      <c r="A50" s="31">
        <v>2001</v>
      </c>
      <c r="D50" s="6"/>
      <c r="H50" s="22"/>
      <c r="I50" s="22"/>
      <c r="J50" s="22"/>
      <c r="K50" s="22"/>
      <c r="L50" s="22"/>
      <c r="M50" s="22"/>
      <c r="N50" s="22"/>
      <c r="O50" s="22"/>
    </row>
    <row r="51" spans="1:15" ht="12.75">
      <c r="A51" s="31">
        <v>2002</v>
      </c>
      <c r="D51" s="6"/>
      <c r="G51" s="22">
        <f aca="true" t="shared" si="2" ref="G51:G63">+G7/G6</f>
        <v>1.0746896701267188</v>
      </c>
      <c r="H51" s="22">
        <f aca="true" t="shared" si="3" ref="H51:O51">H31/H30</f>
        <v>0.882076174787584</v>
      </c>
      <c r="I51" s="22">
        <f t="shared" si="3"/>
        <v>1.0160588730049605</v>
      </c>
      <c r="J51" s="22">
        <f t="shared" si="3"/>
        <v>0.8978685619984111</v>
      </c>
      <c r="K51" s="22">
        <f t="shared" si="3"/>
        <v>1.040987358605114</v>
      </c>
      <c r="L51" s="22">
        <f t="shared" si="3"/>
        <v>0.6383656697117088</v>
      </c>
      <c r="M51" s="22">
        <f t="shared" si="3"/>
        <v>1.0257000408362136</v>
      </c>
      <c r="N51" s="22">
        <f t="shared" si="3"/>
        <v>1.0930232558139537</v>
      </c>
      <c r="O51" s="22">
        <f t="shared" si="3"/>
        <v>1.158850230193893</v>
      </c>
    </row>
    <row r="52" spans="1:15" ht="12.75">
      <c r="A52" s="31">
        <v>2003</v>
      </c>
      <c r="D52" s="6"/>
      <c r="G52" s="22">
        <f t="shared" si="2"/>
        <v>1.0375931436559145</v>
      </c>
      <c r="H52" s="22">
        <f aca="true" t="shared" si="4" ref="H52:O52">H32/H31</f>
        <v>0.9381925788602548</v>
      </c>
      <c r="I52" s="22">
        <f t="shared" si="4"/>
        <v>0.9820131726964146</v>
      </c>
      <c r="J52" s="22">
        <f t="shared" si="4"/>
        <v>1.029004363931002</v>
      </c>
      <c r="K52" s="22">
        <f t="shared" si="4"/>
        <v>0.9895792368240215</v>
      </c>
      <c r="L52" s="22">
        <f t="shared" si="4"/>
        <v>1.226883571557739</v>
      </c>
      <c r="M52" s="22">
        <f t="shared" si="4"/>
        <v>1.10778565290259</v>
      </c>
      <c r="N52" s="22">
        <f t="shared" si="4"/>
        <v>0.9582238951239523</v>
      </c>
      <c r="O52" s="22">
        <f t="shared" si="4"/>
        <v>1.0699678254990985</v>
      </c>
    </row>
    <row r="53" spans="1:15" ht="12.75">
      <c r="A53" s="31">
        <v>2004</v>
      </c>
      <c r="D53" s="6"/>
      <c r="G53" s="22">
        <f t="shared" si="2"/>
        <v>1.0062031623087404</v>
      </c>
      <c r="H53" s="22">
        <f aca="true" t="shared" si="5" ref="H53:O53">H33/H32</f>
        <v>0.9374665495649624</v>
      </c>
      <c r="I53" s="22">
        <f t="shared" si="5"/>
        <v>0.982443418079276</v>
      </c>
      <c r="J53" s="22">
        <f t="shared" si="5"/>
        <v>0.9752510879883047</v>
      </c>
      <c r="K53" s="22">
        <f t="shared" si="5"/>
        <v>0.815928035929991</v>
      </c>
      <c r="L53" s="22">
        <f t="shared" si="5"/>
        <v>1.1361435540227849</v>
      </c>
      <c r="M53" s="22">
        <f t="shared" si="5"/>
        <v>1.0219852274345917</v>
      </c>
      <c r="N53" s="22">
        <f t="shared" si="5"/>
        <v>1.0026564427129452</v>
      </c>
      <c r="O53" s="22">
        <f t="shared" si="5"/>
        <v>1.022644435879736</v>
      </c>
    </row>
    <row r="54" spans="1:15" ht="12.75">
      <c r="A54" s="31">
        <v>2005</v>
      </c>
      <c r="D54" s="6"/>
      <c r="G54" s="22">
        <f t="shared" si="2"/>
        <v>1.079977325833882</v>
      </c>
      <c r="H54" s="22">
        <f aca="true" t="shared" si="6" ref="H54:O54">H34/H33</f>
        <v>1.0197787197713848</v>
      </c>
      <c r="I54" s="22">
        <f t="shared" si="6"/>
        <v>0.9624887354262222</v>
      </c>
      <c r="J54" s="22">
        <f t="shared" si="6"/>
        <v>0.9883560693095366</v>
      </c>
      <c r="K54" s="22">
        <f t="shared" si="6"/>
        <v>0.9477630280310892</v>
      </c>
      <c r="L54" s="22">
        <f t="shared" si="6"/>
        <v>1.0740899087115967</v>
      </c>
      <c r="M54" s="22">
        <f t="shared" si="6"/>
        <v>1.05817884438927</v>
      </c>
      <c r="N54" s="22">
        <f t="shared" si="6"/>
        <v>0.9999475276414063</v>
      </c>
      <c r="O54" s="22">
        <f t="shared" si="6"/>
        <v>1.0605912951684193</v>
      </c>
    </row>
    <row r="55" spans="1:15" ht="12.75">
      <c r="A55" s="31">
        <v>2006</v>
      </c>
      <c r="D55" s="6"/>
      <c r="G55" s="22">
        <f t="shared" si="2"/>
        <v>1.0000650356574592</v>
      </c>
      <c r="H55" s="22">
        <f aca="true" t="shared" si="7" ref="H55:O55">H35/H34</f>
        <v>0.9534950280008163</v>
      </c>
      <c r="I55" s="22">
        <f t="shared" si="7"/>
        <v>0.9787156371765086</v>
      </c>
      <c r="J55" s="22">
        <f t="shared" si="7"/>
        <v>1.0022846168144923</v>
      </c>
      <c r="K55" s="22">
        <f t="shared" si="7"/>
        <v>0.8211639675363485</v>
      </c>
      <c r="L55" s="22">
        <f t="shared" si="7"/>
        <v>1.0084607870427238</v>
      </c>
      <c r="M55" s="22">
        <f t="shared" si="7"/>
        <v>1.0477578872692426</v>
      </c>
      <c r="N55" s="22">
        <f t="shared" si="7"/>
        <v>0.9901863597275029</v>
      </c>
      <c r="O55" s="22">
        <f t="shared" si="7"/>
        <v>1.0019420730365474</v>
      </c>
    </row>
    <row r="56" spans="1:15" ht="12.75">
      <c r="A56" s="31">
        <v>2007</v>
      </c>
      <c r="D56" s="6"/>
      <c r="G56" s="22">
        <f t="shared" si="2"/>
        <v>1.05637589988124</v>
      </c>
      <c r="H56" s="22">
        <f aca="true" t="shared" si="8" ref="H56:O56">H36/H35</f>
        <v>0.9980697347216679</v>
      </c>
      <c r="I56" s="22">
        <f t="shared" si="8"/>
        <v>1.037621027631761</v>
      </c>
      <c r="J56" s="22">
        <f t="shared" si="8"/>
        <v>0.9355737056699511</v>
      </c>
      <c r="K56" s="22">
        <f t="shared" si="8"/>
        <v>0.9836192071158285</v>
      </c>
      <c r="L56" s="22">
        <f t="shared" si="8"/>
        <v>1.0153972483898297</v>
      </c>
      <c r="M56" s="22">
        <f t="shared" si="8"/>
        <v>1.0562014160444821</v>
      </c>
      <c r="N56" s="22">
        <f t="shared" si="8"/>
        <v>1.0032068553582423</v>
      </c>
      <c r="O56" s="22">
        <f t="shared" si="8"/>
        <v>0.8774110204735912</v>
      </c>
    </row>
    <row r="57" spans="1:15" ht="12.75">
      <c r="A57" s="31">
        <v>2008</v>
      </c>
      <c r="D57" s="6"/>
      <c r="G57" s="22">
        <f t="shared" si="2"/>
        <v>1.0184941158501215</v>
      </c>
      <c r="H57" s="22">
        <f aca="true" t="shared" si="9" ref="H57:O57">H37/H36</f>
        <v>0.9217598167791093</v>
      </c>
      <c r="I57" s="22">
        <f t="shared" si="9"/>
        <v>0.9990971324923543</v>
      </c>
      <c r="J57" s="22">
        <f t="shared" si="9"/>
        <v>1.046144896507189</v>
      </c>
      <c r="K57" s="22">
        <f t="shared" si="9"/>
        <v>1.0167258723101928</v>
      </c>
      <c r="L57" s="22">
        <f t="shared" si="9"/>
        <v>0.906982709327614</v>
      </c>
      <c r="M57" s="22">
        <f t="shared" si="9"/>
        <v>1.056188816020361</v>
      </c>
      <c r="N57" s="22">
        <f t="shared" si="9"/>
        <v>0.9971097651341557</v>
      </c>
      <c r="O57" s="22">
        <f t="shared" si="9"/>
        <v>1.0431983868049135</v>
      </c>
    </row>
    <row r="58" spans="1:15" ht="12.75">
      <c r="A58" s="31">
        <v>2009</v>
      </c>
      <c r="D58" s="6"/>
      <c r="G58" s="22">
        <f t="shared" si="2"/>
        <v>0.9823224424683519</v>
      </c>
      <c r="H58" s="22">
        <f aca="true" t="shared" si="10" ref="H58:O58">H38/H37</f>
        <v>0.9667510392672394</v>
      </c>
      <c r="I58" s="22">
        <f t="shared" si="10"/>
        <v>1.0007629325325589</v>
      </c>
      <c r="J58" s="22">
        <f t="shared" si="10"/>
        <v>1.016244464385498</v>
      </c>
      <c r="K58" s="22">
        <f aca="true" t="shared" si="11" ref="K58:K63">K38/K37</f>
        <v>1.0660479725701446</v>
      </c>
      <c r="L58" s="22">
        <f t="shared" si="10"/>
        <v>0.7237443449277745</v>
      </c>
      <c r="M58" s="22">
        <f t="shared" si="10"/>
        <v>1.070754345034885</v>
      </c>
      <c r="N58" s="22">
        <f t="shared" si="10"/>
        <v>1.0095235276642043</v>
      </c>
      <c r="O58" s="22">
        <f t="shared" si="10"/>
        <v>1.032173540769551</v>
      </c>
    </row>
    <row r="59" spans="1:15" ht="12.75">
      <c r="A59" s="100">
        <v>2010</v>
      </c>
      <c r="D59" s="6"/>
      <c r="G59" s="22">
        <f>+G15/G14</f>
        <v>1.0780708715978033</v>
      </c>
      <c r="H59" s="22">
        <f aca="true" t="shared" si="12" ref="H59:O59">H39/H38</f>
        <v>1.0485442324236882</v>
      </c>
      <c r="I59" s="22">
        <f t="shared" si="12"/>
        <v>1.0468672512221642</v>
      </c>
      <c r="J59" s="22">
        <f t="shared" si="12"/>
        <v>1.1167057863118675</v>
      </c>
      <c r="K59" s="22">
        <f t="shared" si="11"/>
        <v>0.8944661589880493</v>
      </c>
      <c r="L59" s="22">
        <f t="shared" si="12"/>
        <v>1.2669013251769037</v>
      </c>
      <c r="M59" s="22">
        <f t="shared" si="12"/>
        <v>1.1051848924085437</v>
      </c>
      <c r="N59" s="22">
        <f t="shared" si="12"/>
        <v>0.9645923294787896</v>
      </c>
      <c r="O59" s="22">
        <f t="shared" si="12"/>
        <v>1.011284652511601</v>
      </c>
    </row>
    <row r="60" spans="1:15" ht="12.75">
      <c r="A60" s="100">
        <v>2011</v>
      </c>
      <c r="D60" s="6"/>
      <c r="G60" s="22">
        <f>+G16/G15</f>
        <v>1.039773556557196</v>
      </c>
      <c r="H60" s="22">
        <f aca="true" t="shared" si="13" ref="H60:O60">H40/H39</f>
        <v>0.9926556455160198</v>
      </c>
      <c r="I60" s="22">
        <f t="shared" si="13"/>
        <v>1.0034696832331231</v>
      </c>
      <c r="J60" s="22">
        <f t="shared" si="13"/>
        <v>0.9492036009646317</v>
      </c>
      <c r="K60" s="22">
        <f t="shared" si="11"/>
        <v>1.1887552668477146</v>
      </c>
      <c r="L60" s="22">
        <f t="shared" si="13"/>
        <v>1.0524066402305245</v>
      </c>
      <c r="M60" s="22">
        <f t="shared" si="13"/>
        <v>1.021500096573691</v>
      </c>
      <c r="N60" s="22">
        <f t="shared" si="13"/>
        <v>0.9991659006558526</v>
      </c>
      <c r="O60" s="22">
        <f t="shared" si="13"/>
        <v>0.9977193045029217</v>
      </c>
    </row>
    <row r="61" spans="1:15" ht="12.75">
      <c r="A61" s="100">
        <v>2012</v>
      </c>
      <c r="D61" s="6"/>
      <c r="G61" s="22">
        <f t="shared" si="2"/>
        <v>1.0384144787826275</v>
      </c>
      <c r="H61" s="22">
        <f aca="true" t="shared" si="14" ref="H61:O61">H41/H40</f>
        <v>0.9833146209940737</v>
      </c>
      <c r="I61" s="22">
        <f t="shared" si="14"/>
        <v>0.9887123768478879</v>
      </c>
      <c r="J61" s="22">
        <f t="shared" si="14"/>
        <v>1.007385531506641</v>
      </c>
      <c r="K61" s="22">
        <f t="shared" si="11"/>
        <v>1.062371474668609</v>
      </c>
      <c r="L61" s="22">
        <f t="shared" si="14"/>
        <v>1.0774005510369666</v>
      </c>
      <c r="M61" s="22">
        <f t="shared" si="14"/>
        <v>1.0324801878111358</v>
      </c>
      <c r="N61" s="22">
        <f t="shared" si="14"/>
        <v>0.9855897572146102</v>
      </c>
      <c r="O61" s="22">
        <f t="shared" si="14"/>
        <v>0.9958152809673418</v>
      </c>
    </row>
    <row r="62" spans="1:15" ht="12.75">
      <c r="A62" s="100">
        <v>2013</v>
      </c>
      <c r="D62" s="6"/>
      <c r="G62" s="22">
        <f t="shared" si="2"/>
        <v>1.039817758747182</v>
      </c>
      <c r="H62" s="22">
        <f aca="true" t="shared" si="15" ref="H62:O62">H42/H41</f>
        <v>0.9662787306446963</v>
      </c>
      <c r="I62" s="22">
        <f t="shared" si="15"/>
        <v>1.0121987504348708</v>
      </c>
      <c r="J62" s="22">
        <f t="shared" si="15"/>
        <v>1.0385390795352492</v>
      </c>
      <c r="K62" s="22">
        <f t="shared" si="11"/>
        <v>0.8513182837019602</v>
      </c>
      <c r="L62" s="22">
        <f t="shared" si="15"/>
        <v>0.9853616597376708</v>
      </c>
      <c r="M62" s="22">
        <f t="shared" si="15"/>
        <v>1.0168375052945988</v>
      </c>
      <c r="N62" s="22">
        <f t="shared" si="15"/>
        <v>1.0173486976224935</v>
      </c>
      <c r="O62" s="22">
        <f t="shared" si="15"/>
        <v>1.0064424802216112</v>
      </c>
    </row>
    <row r="63" spans="1:15" ht="12.75">
      <c r="A63" s="100">
        <v>2014</v>
      </c>
      <c r="D63" s="6"/>
      <c r="G63" s="22">
        <f t="shared" si="2"/>
        <v>1.0267927665114833</v>
      </c>
      <c r="H63" s="22">
        <f aca="true" t="shared" si="16" ref="H63:O63">H43/H42</f>
        <v>0.9814282470519029</v>
      </c>
      <c r="I63" s="22">
        <f t="shared" si="16"/>
        <v>0.9889086414325967</v>
      </c>
      <c r="J63" s="22">
        <f t="shared" si="16"/>
        <v>0.9695236927212556</v>
      </c>
      <c r="K63" s="22">
        <f t="shared" si="11"/>
        <v>1.0055397763147536</v>
      </c>
      <c r="L63" s="22">
        <f t="shared" si="16"/>
        <v>1.042964313685551</v>
      </c>
      <c r="M63" s="22">
        <f t="shared" si="16"/>
        <v>1.0060591305994002</v>
      </c>
      <c r="N63" s="22">
        <f t="shared" si="16"/>
        <v>1.0057923827797117</v>
      </c>
      <c r="O63" s="22">
        <f t="shared" si="16"/>
        <v>1.018246948082854</v>
      </c>
    </row>
    <row r="64" spans="1:7" ht="12.75">
      <c r="A64" s="100"/>
      <c r="D64" s="6"/>
      <c r="G64" s="22"/>
    </row>
    <row r="65" spans="1:15" ht="12.75">
      <c r="A65" t="s">
        <v>19</v>
      </c>
      <c r="D65" s="6"/>
      <c r="G65" s="22"/>
      <c r="H65" s="22">
        <f aca="true" t="shared" si="17" ref="H65:M65">H67</f>
        <v>0.9675424539475559</v>
      </c>
      <c r="I65" s="22">
        <f t="shared" si="17"/>
        <v>0.9996921056760859</v>
      </c>
      <c r="J65" s="22">
        <f t="shared" si="17"/>
        <v>0.9964274864604358</v>
      </c>
      <c r="K65" s="125">
        <v>1</v>
      </c>
      <c r="L65" s="125">
        <v>1</v>
      </c>
      <c r="M65" s="22">
        <f t="shared" si="17"/>
        <v>1.047749876427451</v>
      </c>
      <c r="N65" s="125">
        <v>1</v>
      </c>
      <c r="O65" s="125">
        <v>1</v>
      </c>
    </row>
    <row r="66" spans="1:17" ht="12.75">
      <c r="A66" s="3"/>
      <c r="D66" s="6"/>
      <c r="E66" s="6"/>
      <c r="F66" s="6"/>
      <c r="I66" s="74"/>
      <c r="J66" s="74"/>
      <c r="K66" s="73" t="s">
        <v>97</v>
      </c>
      <c r="L66" s="60"/>
      <c r="M66" s="60"/>
      <c r="N66" s="75"/>
      <c r="O66" s="75"/>
      <c r="P66" s="124"/>
      <c r="Q66" s="124"/>
    </row>
    <row r="67" spans="1:15" ht="12.75">
      <c r="A67" t="s">
        <v>10</v>
      </c>
      <c r="D67" s="6"/>
      <c r="G67" s="22">
        <f aca="true" t="shared" si="18" ref="G67:O67">GEOMEAN(G51:G63)</f>
        <v>1.0364019076725206</v>
      </c>
      <c r="H67" s="22">
        <f t="shared" si="18"/>
        <v>0.9675424539475559</v>
      </c>
      <c r="I67" s="22">
        <f t="shared" si="18"/>
        <v>0.9996921056760859</v>
      </c>
      <c r="J67" s="22">
        <f t="shared" si="18"/>
        <v>0.9964274864604358</v>
      </c>
      <c r="K67" s="22">
        <f t="shared" si="18"/>
        <v>0.9701506183510059</v>
      </c>
      <c r="L67" s="22">
        <f t="shared" si="18"/>
        <v>0.9959335263193945</v>
      </c>
      <c r="M67" s="22">
        <f t="shared" si="18"/>
        <v>1.047749876427451</v>
      </c>
      <c r="N67" s="22">
        <f t="shared" si="18"/>
        <v>1.0015684689691733</v>
      </c>
      <c r="O67" s="22">
        <f t="shared" si="18"/>
        <v>1.0210369072366332</v>
      </c>
    </row>
    <row r="68" spans="4:17" ht="12.75">
      <c r="D68" s="6"/>
      <c r="H68" s="22"/>
      <c r="I68" s="22"/>
      <c r="J68" s="22"/>
      <c r="K68" s="22"/>
      <c r="L68" s="22"/>
      <c r="M68" s="22"/>
      <c r="N68" s="22"/>
      <c r="O68" s="22"/>
      <c r="P68" s="24"/>
      <c r="Q68" s="24"/>
    </row>
    <row r="69" ht="12.75">
      <c r="A69" s="17" t="s">
        <v>47</v>
      </c>
    </row>
    <row r="70" spans="1:15" ht="12.75">
      <c r="A70">
        <v>2015</v>
      </c>
      <c r="F70" s="83" t="s">
        <v>89</v>
      </c>
      <c r="G70" s="84">
        <f>G22</f>
        <v>0</v>
      </c>
      <c r="I70" s="228" t="s">
        <v>173</v>
      </c>
      <c r="J70" s="228"/>
      <c r="K70" s="90">
        <f>+(GETPIVOTDATA("billed_consum",'[2]Pivot'!$A$4,"post_yr_month",DATE(2015,1,1),"Description","1000 to 5000")+GETPIVOTDATA("billed_consum",'[2]Pivot'!$A$4,"post_yr_month",DATE(2015,2,1),"Description","1000 to 5000")+GETPIVOTDATA("billed_consum",'[2]Pivot'!$A$4,"post_yr_month",DATE(2015,3,1),"Description","1000 to 5000")+GETPIVOTDATA("billed_consum",'[2]Pivot'!$A$4,"post_yr_month",DATE(2015,4,1),"Description","1000 to 5000")+GETPIVOTDATA("billed_consum",'[2]Pivot'!$A$4,"post_yr_month",DATE(2015,5,1),"Description","1000 to 5000")+GETPIVOTDATA("billed_consum",'[2]Pivot'!$A$4,"post_yr_month",DATE(2015,6,1),"Description","1000 to 5000"))+((GETPIVOTDATA("billed_consum",'[2]Pivot'!$A$4,"post_yr_month",DATE(2015,7,1),"Description","1000 to 5000")+GETPIVOTDATA("billed_consum",'[2]Pivot'!$A$4,"post_yr_month",DATE(2015,8,1),"Description","1000 to 5000")+GETPIVOTDATA("billed_consum",'[2]Pivot'!$A$4,"post_yr_month",DATE(2015,9,1),"Description","1000 to 5000")+GETPIVOTDATA("billed_consum",'[2]Pivot'!$A$4,"post_yr_month",DATE(2015,10,1),"Description","1000 to 5000")+GETPIVOTDATA("billed_consum",'[2]Pivot'!$A$4,"post_yr_month",DATE(2015,11,1),"Description","1000 to 5000"))/5*7)</f>
        <v>113155499.374</v>
      </c>
      <c r="L70" s="90">
        <f>+GETPIVOTDATA("billed_consum",'[2]Pivot'!$A$4,"Description","Large User")/10*12</f>
        <v>135957908.90399998</v>
      </c>
      <c r="M70" s="24">
        <f>+M44*'Rate Class Customer Model'!G19</f>
        <v>7751250.811508366</v>
      </c>
      <c r="N70" s="24">
        <f>+N44*'Rate Class Customer Model'!H19</f>
        <v>148333.0585207993</v>
      </c>
      <c r="O70" s="24">
        <f>+O44*'Rate Class Customer Model'!I19</f>
        <v>1238375.73</v>
      </c>
    </row>
    <row r="71" spans="1:15" ht="12.75">
      <c r="A71">
        <v>2016</v>
      </c>
      <c r="F71" s="83" t="s">
        <v>89</v>
      </c>
      <c r="G71" s="84">
        <f>G23</f>
        <v>0</v>
      </c>
      <c r="K71" s="6">
        <f>+K45*'Rate Class Customer Model'!E20</f>
        <v>116933345.93497615</v>
      </c>
      <c r="L71" s="6">
        <f>+L45*'Rate Class Customer Model'!F20</f>
        <v>135957908.90399998</v>
      </c>
      <c r="M71" s="6">
        <f>+M45*'Rate Class Customer Model'!G20</f>
        <v>8298678.76838638</v>
      </c>
      <c r="N71" s="6">
        <f>+N45*'Rate Class Customer Model'!H20</f>
        <v>145710.64372659678</v>
      </c>
      <c r="O71" s="6">
        <f>+O45*'Rate Class Customer Model'!I20</f>
        <v>1096422.73</v>
      </c>
    </row>
    <row r="72" ht="12.75">
      <c r="P72" s="30"/>
    </row>
    <row r="73" ht="12.75">
      <c r="P73" s="30"/>
    </row>
    <row r="74" spans="7:16" ht="12.75"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1:21" s="65" customFormat="1" ht="14.25">
      <c r="A75" s="61" t="s">
        <v>46</v>
      </c>
      <c r="B75" s="62"/>
      <c r="C75" s="62"/>
      <c r="D75" s="62"/>
      <c r="E75" s="62"/>
      <c r="F75" s="62"/>
      <c r="G75" s="63"/>
      <c r="H75" s="63"/>
      <c r="I75" s="63"/>
      <c r="J75" s="63"/>
      <c r="K75" s="63"/>
      <c r="L75" s="63"/>
      <c r="M75" s="63"/>
      <c r="N75" s="63"/>
      <c r="O75" s="63"/>
      <c r="P75" s="63" t="s">
        <v>18</v>
      </c>
      <c r="Q75" s="64"/>
      <c r="R75" s="64"/>
      <c r="S75" s="64"/>
      <c r="T75" s="64"/>
      <c r="U75" s="64"/>
    </row>
    <row r="76" spans="1:21" s="65" customFormat="1" ht="12.75" customHeight="1">
      <c r="A76" s="69" t="s">
        <v>109</v>
      </c>
      <c r="B76" s="62"/>
      <c r="C76" s="229" t="s">
        <v>90</v>
      </c>
      <c r="D76" s="229"/>
      <c r="E76" s="229"/>
      <c r="F76" s="229"/>
      <c r="G76" s="66">
        <f>+SUM(H76:O76)</f>
        <v>855893834.2471356</v>
      </c>
      <c r="H76" s="67">
        <f>+Residential!L217</f>
        <v>305198832.556156</v>
      </c>
      <c r="I76" s="67">
        <f>+'GS &lt; 50 kW'!L217</f>
        <v>89986483.03337984</v>
      </c>
      <c r="J76" s="66">
        <f>+'GS &gt; 50 kW'!M217</f>
        <v>202512641.3725119</v>
      </c>
      <c r="K76" s="67">
        <f>+K70-'[3]CDM_GS&gt;1000_&amp;_LU_Load_Forecast'!$R$47</f>
        <v>113132018.5243982</v>
      </c>
      <c r="L76" s="67">
        <f>+L70-'[3]CDM_GS&gt;1000_&amp;_LU_Load_Forecast'!$AJ$47</f>
        <v>135925899.16066048</v>
      </c>
      <c r="M76" s="67">
        <f>+M70</f>
        <v>7751250.811508366</v>
      </c>
      <c r="N76" s="67">
        <f>N44*'Rate Class Customer Model'!H19</f>
        <v>148333.0585207993</v>
      </c>
      <c r="O76" s="67">
        <f>O44*'Rate Class Customer Model'!I19</f>
        <v>1238375.73</v>
      </c>
      <c r="P76" s="63">
        <f>SUM(H76:O76)</f>
        <v>855893834.2471356</v>
      </c>
      <c r="Q76" s="68"/>
      <c r="R76" s="64"/>
      <c r="S76" s="64"/>
      <c r="T76" s="64"/>
      <c r="U76" s="64"/>
    </row>
    <row r="77" spans="1:21" s="65" customFormat="1" ht="15.75" thickBot="1">
      <c r="A77" s="69" t="s">
        <v>117</v>
      </c>
      <c r="B77" s="62"/>
      <c r="C77" s="229"/>
      <c r="D77" s="229"/>
      <c r="E77" s="229"/>
      <c r="F77" s="229"/>
      <c r="G77" s="66">
        <f>+SUM(H77:O77)</f>
        <v>871840466.1865236</v>
      </c>
      <c r="H77" s="67">
        <f>+Residential!L218</f>
        <v>311504507.1056592</v>
      </c>
      <c r="I77" s="67">
        <f>+'GS &lt; 50 kW'!L218</f>
        <v>91412831.73008005</v>
      </c>
      <c r="J77" s="66">
        <f>+'GS &gt; 50 kW'!M218</f>
        <v>206918158.48785442</v>
      </c>
      <c r="K77" s="67">
        <f>+K71-'[3]CDM_GS&gt;1000_&amp;_LU_Load_Forecast'!$P$59</f>
        <v>116570267.303496</v>
      </c>
      <c r="L77" s="67">
        <f>+L71-'[3]CDM_GS&gt;1000_&amp;_LU_Load_Forecast'!$AH$59</f>
        <v>135893889.41732097</v>
      </c>
      <c r="M77" s="67">
        <f>+M71</f>
        <v>8298678.76838638</v>
      </c>
      <c r="N77" s="67">
        <f>N45*'Rate Class Customer Model'!H20</f>
        <v>145710.64372659678</v>
      </c>
      <c r="O77" s="67">
        <f>O45*'Rate Class Customer Model'!I20</f>
        <v>1096422.73</v>
      </c>
      <c r="P77" s="63">
        <f>SUM(H77:O77)</f>
        <v>871840466.1865236</v>
      </c>
      <c r="Q77" s="68"/>
      <c r="R77" s="64"/>
      <c r="S77" s="64"/>
      <c r="T77" s="64"/>
      <c r="U77" s="64"/>
    </row>
    <row r="78" spans="1:18" ht="13.5" thickBot="1">
      <c r="A78" s="133"/>
      <c r="B78" s="134"/>
      <c r="C78" s="134"/>
      <c r="D78" s="134"/>
      <c r="E78" s="134"/>
      <c r="F78" s="134"/>
      <c r="G78" s="135"/>
      <c r="H78" s="137"/>
      <c r="I78" s="135"/>
      <c r="J78" s="135"/>
      <c r="K78" s="225" t="s">
        <v>172</v>
      </c>
      <c r="L78" s="226"/>
      <c r="M78" s="227"/>
      <c r="N78" s="135"/>
      <c r="O78" s="135"/>
      <c r="P78" s="137"/>
      <c r="Q78" s="136"/>
      <c r="R78" s="136"/>
    </row>
    <row r="79" spans="1:16" ht="12.75">
      <c r="A79" s="39" t="s">
        <v>48</v>
      </c>
      <c r="G79" s="85"/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30" t="s">
        <v>18</v>
      </c>
    </row>
    <row r="80" spans="1:16" ht="12.75">
      <c r="A80">
        <v>2010</v>
      </c>
      <c r="G80" s="84"/>
      <c r="H80" s="30">
        <f aca="true" t="shared" si="19" ref="H80:O80">H76*H79</f>
        <v>0</v>
      </c>
      <c r="I80" s="30">
        <f t="shared" si="19"/>
        <v>0</v>
      </c>
      <c r="J80" s="30">
        <f t="shared" si="19"/>
        <v>0</v>
      </c>
      <c r="K80" s="30">
        <f t="shared" si="19"/>
        <v>0</v>
      </c>
      <c r="L80" s="30">
        <f t="shared" si="19"/>
        <v>0</v>
      </c>
      <c r="M80" s="30">
        <f t="shared" si="19"/>
        <v>0</v>
      </c>
      <c r="N80" s="30">
        <f t="shared" si="19"/>
        <v>0</v>
      </c>
      <c r="O80" s="30">
        <f t="shared" si="19"/>
        <v>0</v>
      </c>
      <c r="P80" s="30"/>
    </row>
    <row r="81" spans="1:16" ht="12.75">
      <c r="A81">
        <v>2011</v>
      </c>
      <c r="G81" s="84"/>
      <c r="H81" s="30">
        <f aca="true" t="shared" si="20" ref="H81:O81">H77*H79</f>
        <v>0</v>
      </c>
      <c r="I81" s="30">
        <f t="shared" si="20"/>
        <v>0</v>
      </c>
      <c r="J81" s="30">
        <f t="shared" si="20"/>
        <v>0</v>
      </c>
      <c r="K81" s="30">
        <f t="shared" si="20"/>
        <v>0</v>
      </c>
      <c r="L81" s="30">
        <f t="shared" si="20"/>
        <v>0</v>
      </c>
      <c r="M81" s="30">
        <f t="shared" si="20"/>
        <v>0</v>
      </c>
      <c r="N81" s="30">
        <f t="shared" si="20"/>
        <v>0</v>
      </c>
      <c r="O81" s="30">
        <f t="shared" si="20"/>
        <v>0</v>
      </c>
      <c r="P81" s="30"/>
    </row>
    <row r="82" spans="7:16" ht="12" customHeight="1"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1:16" ht="12.75">
      <c r="A83" t="s">
        <v>49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ht="102">
      <c r="A84">
        <v>2010</v>
      </c>
      <c r="G84" s="85"/>
      <c r="H84" s="84"/>
      <c r="I84" s="84"/>
      <c r="J84" s="84"/>
      <c r="K84" s="204" t="s">
        <v>171</v>
      </c>
      <c r="L84" s="84"/>
      <c r="M84" s="84"/>
      <c r="N84" s="84"/>
      <c r="O84" s="84"/>
      <c r="P84" s="84"/>
    </row>
    <row r="85" spans="1:16" ht="12.75">
      <c r="A85">
        <v>2011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7:16" ht="12.75"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8" ht="12.75">
      <c r="A88" s="17" t="s">
        <v>94</v>
      </c>
    </row>
    <row r="89" spans="1:15" ht="12.75">
      <c r="A89">
        <v>2010</v>
      </c>
      <c r="H89" s="70">
        <f>+H76/'Rate Class Customer Model'!B19</f>
        <v>9248.169223846427</v>
      </c>
      <c r="I89" s="70">
        <f>+I76/'Rate Class Customer Model'!C19</f>
        <v>34959.783618251684</v>
      </c>
      <c r="J89" s="70">
        <f>+J76/'Rate Class Customer Model'!D19</f>
        <v>691169.4244795628</v>
      </c>
      <c r="K89" s="70">
        <f>+K76/'Rate Class Customer Model'!E19</f>
        <v>8702462.963415246</v>
      </c>
      <c r="L89" s="70">
        <f>+L76/'Rate Class Customer Model'!F19</f>
        <v>45308633.05355349</v>
      </c>
      <c r="M89" s="70">
        <f>+M76/'Rate Class Customer Model'!G19</f>
        <v>2449.351074796695</v>
      </c>
      <c r="N89" s="70">
        <f>+N76/'Rate Class Customer Model'!H19</f>
        <v>601.6042629482072</v>
      </c>
      <c r="O89" s="70">
        <f>+O76/'Rate Class Customer Model'!I19</f>
        <v>6957.16702247191</v>
      </c>
    </row>
    <row r="90" spans="1:15" ht="12.75">
      <c r="A90">
        <v>2011</v>
      </c>
      <c r="H90" s="70">
        <f>+H77/'Rate Class Customer Model'!B20</f>
        <v>9028.854442064265</v>
      </c>
      <c r="I90" s="70">
        <f>+I77/'Rate Class Customer Model'!C20</f>
        <v>34599.198833993374</v>
      </c>
      <c r="J90" s="70">
        <f>+J77/'Rate Class Customer Model'!D20</f>
        <v>685311.9949400447</v>
      </c>
      <c r="K90" s="70">
        <f>+K77/'Rate Class Customer Model'!E20</f>
        <v>8966943.638730463</v>
      </c>
      <c r="L90" s="70">
        <f>+L77/'Rate Class Customer Model'!F20</f>
        <v>45297963.13910699</v>
      </c>
      <c r="M90" s="70">
        <f>+M77/'Rate Class Customer Model'!G20</f>
        <v>2566.3072859456815</v>
      </c>
      <c r="N90" s="70">
        <f>+N77/'Rate Class Customer Model'!H20</f>
        <v>601.6042629482072</v>
      </c>
      <c r="O90" s="70">
        <f>+O77/'Rate Class Customer Model'!I20</f>
        <v>6159.678258426966</v>
      </c>
    </row>
    <row r="93" ht="12.75">
      <c r="A93" s="17" t="s">
        <v>95</v>
      </c>
    </row>
    <row r="94" spans="1:15" ht="12.75">
      <c r="A94">
        <v>2010</v>
      </c>
      <c r="H94" s="70" t="s">
        <v>93</v>
      </c>
      <c r="I94" s="70" t="s">
        <v>93</v>
      </c>
      <c r="J94" s="70">
        <f>+'Rate Class Load Model'!B13/'Rate Class Customer Model'!D14</f>
        <v>1955.6225680933853</v>
      </c>
      <c r="K94" s="70">
        <f>+'Rate Class Load Model'!C13/'Rate Class Customer Model'!E14</f>
        <v>18736.923076923078</v>
      </c>
      <c r="L94" s="70">
        <f>+'Rate Class Load Model'!D13/'Rate Class Customer Model'!F14</f>
        <v>87011.5</v>
      </c>
      <c r="M94" s="70">
        <f>+'Rate Class Load Model'!E13/'Rate Class Customer Model'!G14</f>
        <v>6.043649373881932</v>
      </c>
      <c r="N94" s="70">
        <f>+'Rate Class Load Model'!F13/'Rate Class Customer Model'!H14</f>
        <v>1.6584273182957392</v>
      </c>
      <c r="O94" s="70" t="s">
        <v>93</v>
      </c>
    </row>
    <row r="95" spans="1:15" ht="12.75">
      <c r="A95">
        <v>2011</v>
      </c>
      <c r="H95" s="70" t="s">
        <v>93</v>
      </c>
      <c r="I95" s="70" t="s">
        <v>93</v>
      </c>
      <c r="J95" s="70">
        <f>+'Rate Class Load Model'!B14/'Rate Class Customer Model'!D15</f>
        <v>1856.9409594095941</v>
      </c>
      <c r="K95" s="70">
        <f>+'Rate Class Load Model'!C14/'Rate Class Customer Model'!E15</f>
        <v>21747.666666666668</v>
      </c>
      <c r="L95" s="70">
        <f>+'Rate Class Load Model'!D14/'Rate Class Customer Model'!F15</f>
        <v>87692.5</v>
      </c>
      <c r="M95" s="70">
        <f>+'Rate Class Load Model'!E14/'Rate Class Customer Model'!G15</f>
        <v>6.170344827586207</v>
      </c>
      <c r="N95" s="70">
        <f>+'Rate Class Load Model'!F14/'Rate Class Customer Model'!H15</f>
        <v>1.6570440251572327</v>
      </c>
      <c r="O95" s="70" t="s">
        <v>93</v>
      </c>
    </row>
    <row r="148" spans="2:21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2:21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2:21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2:21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2:21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2:21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2:21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2:21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2:21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2:21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2:21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2:21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2:21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2:21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2:21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2:21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2:21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2:21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2:21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2:21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2:21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</sheetData>
  <sheetProtection/>
  <mergeCells count="8">
    <mergeCell ref="K78:M78"/>
    <mergeCell ref="I70:J70"/>
    <mergeCell ref="C76:F77"/>
    <mergeCell ref="H1:O1"/>
    <mergeCell ref="H22:I23"/>
    <mergeCell ref="L5:O5"/>
    <mergeCell ref="H5:K5"/>
    <mergeCell ref="H46:J47"/>
  </mergeCells>
  <printOptions/>
  <pageMargins left="0.38" right="0.75" top="0.73" bottom="0.74" header="0.5" footer="0.5"/>
  <pageSetup fitToHeight="1" fitToWidth="1" horizontalDpi="600" verticalDpi="600" orientation="portrait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33.57421875" style="0" bestFit="1" customWidth="1"/>
    <col min="2" max="2" width="15.00390625" style="6" customWidth="1"/>
    <col min="3" max="4" width="14.140625" style="6" bestFit="1" customWidth="1"/>
    <col min="5" max="7" width="14.140625" style="6" customWidth="1"/>
    <col min="8" max="8" width="17.57421875" style="6" customWidth="1"/>
    <col min="9" max="9" width="12.57421875" style="6" customWidth="1"/>
    <col min="10" max="11" width="12.7109375" style="6" bestFit="1" customWidth="1"/>
    <col min="12" max="12" width="11.7109375" style="6" bestFit="1" customWidth="1"/>
    <col min="13" max="13" width="10.7109375" style="6" bestFit="1" customWidth="1"/>
    <col min="14" max="15" width="9.140625" style="6" customWidth="1"/>
  </cols>
  <sheetData>
    <row r="2" spans="2:12" ht="42" customHeight="1">
      <c r="B2" s="87" t="s">
        <v>79</v>
      </c>
      <c r="C2" s="88" t="s">
        <v>100</v>
      </c>
      <c r="D2" s="88" t="s">
        <v>164</v>
      </c>
      <c r="E2" s="88" t="s">
        <v>161</v>
      </c>
      <c r="F2" s="88" t="s">
        <v>163</v>
      </c>
      <c r="G2" s="89" t="s">
        <v>80</v>
      </c>
      <c r="H2" s="89" t="s">
        <v>81</v>
      </c>
      <c r="I2" s="89" t="s">
        <v>82</v>
      </c>
      <c r="J2" s="79" t="s">
        <v>6</v>
      </c>
      <c r="L2" s="78" t="s">
        <v>96</v>
      </c>
    </row>
    <row r="3" spans="1:12" ht="12.75">
      <c r="A3" s="4">
        <v>1999</v>
      </c>
      <c r="B3" s="91">
        <v>9299</v>
      </c>
      <c r="C3" s="91">
        <v>1720</v>
      </c>
      <c r="D3" s="91">
        <v>181</v>
      </c>
      <c r="E3" s="91">
        <v>12</v>
      </c>
      <c r="F3" s="91">
        <v>1</v>
      </c>
      <c r="G3" s="91">
        <v>2240</v>
      </c>
      <c r="H3" s="91">
        <v>328</v>
      </c>
      <c r="I3" s="91"/>
      <c r="J3" s="90">
        <f>SUM(B3:I3)</f>
        <v>13781</v>
      </c>
      <c r="L3" s="6">
        <f>+B3+C3+D3+E3+F3</f>
        <v>11213</v>
      </c>
    </row>
    <row r="4" spans="1:12" ht="12.75">
      <c r="A4" s="4">
        <v>2000</v>
      </c>
      <c r="B4" s="90">
        <v>9409</v>
      </c>
      <c r="C4" s="92">
        <v>1710</v>
      </c>
      <c r="D4" s="92">
        <v>185</v>
      </c>
      <c r="E4" s="93">
        <v>12</v>
      </c>
      <c r="F4" s="91">
        <v>1</v>
      </c>
      <c r="G4" s="91">
        <v>2244</v>
      </c>
      <c r="H4" s="91">
        <v>328</v>
      </c>
      <c r="I4" s="92"/>
      <c r="J4" s="90">
        <f aca="true" t="shared" si="0" ref="J4:J13">SUM(B4:I4)</f>
        <v>13889</v>
      </c>
      <c r="L4" s="6">
        <f aca="true" t="shared" si="1" ref="L4:L20">+B4+C4+D4+E4+F4</f>
        <v>11317</v>
      </c>
    </row>
    <row r="5" spans="1:12" ht="12.75">
      <c r="A5" s="4">
        <v>2001</v>
      </c>
      <c r="B5" s="93">
        <v>9693</v>
      </c>
      <c r="C5" s="93">
        <v>1700</v>
      </c>
      <c r="D5" s="93">
        <v>192</v>
      </c>
      <c r="E5" s="93">
        <v>10</v>
      </c>
      <c r="F5" s="93">
        <v>1</v>
      </c>
      <c r="G5" s="91">
        <v>2283</v>
      </c>
      <c r="H5" s="93">
        <v>329</v>
      </c>
      <c r="I5" s="91">
        <v>110</v>
      </c>
      <c r="J5" s="90">
        <f t="shared" si="0"/>
        <v>14318</v>
      </c>
      <c r="L5" s="6">
        <f t="shared" si="1"/>
        <v>11596</v>
      </c>
    </row>
    <row r="6" spans="1:12" ht="12.75">
      <c r="A6" s="4">
        <v>2002</v>
      </c>
      <c r="B6" s="93">
        <v>12314</v>
      </c>
      <c r="C6" s="93">
        <v>1713</v>
      </c>
      <c r="D6" s="93">
        <v>218</v>
      </c>
      <c r="E6" s="93">
        <v>10</v>
      </c>
      <c r="F6" s="93">
        <v>2</v>
      </c>
      <c r="G6" s="91">
        <v>2348</v>
      </c>
      <c r="H6" s="93">
        <v>301</v>
      </c>
      <c r="I6" s="93">
        <v>114</v>
      </c>
      <c r="J6" s="90">
        <f t="shared" si="0"/>
        <v>17020</v>
      </c>
      <c r="L6" s="6">
        <f t="shared" si="1"/>
        <v>14257</v>
      </c>
    </row>
    <row r="7" spans="1:13" ht="12.75">
      <c r="A7" s="4">
        <v>2003</v>
      </c>
      <c r="B7" s="93">
        <v>13821</v>
      </c>
      <c r="C7" s="93">
        <v>1760</v>
      </c>
      <c r="D7" s="93">
        <v>212</v>
      </c>
      <c r="E7" s="93">
        <v>10</v>
      </c>
      <c r="F7" s="93">
        <v>2</v>
      </c>
      <c r="G7" s="91">
        <v>2408</v>
      </c>
      <c r="H7" s="93">
        <v>311</v>
      </c>
      <c r="I7" s="93">
        <v>122</v>
      </c>
      <c r="J7" s="90">
        <f t="shared" si="0"/>
        <v>18646</v>
      </c>
      <c r="L7" s="6">
        <f t="shared" si="1"/>
        <v>15805</v>
      </c>
      <c r="M7"/>
    </row>
    <row r="8" spans="1:13" ht="12.75">
      <c r="A8" s="4">
        <v>2004</v>
      </c>
      <c r="B8" s="93">
        <v>15760</v>
      </c>
      <c r="C8" s="93">
        <v>1803</v>
      </c>
      <c r="D8" s="93">
        <v>229</v>
      </c>
      <c r="E8" s="93">
        <v>10</v>
      </c>
      <c r="F8" s="93">
        <v>2</v>
      </c>
      <c r="G8" s="91">
        <v>2466</v>
      </c>
      <c r="H8" s="93">
        <v>309</v>
      </c>
      <c r="I8" s="93">
        <v>137</v>
      </c>
      <c r="J8" s="90">
        <f t="shared" si="0"/>
        <v>20716</v>
      </c>
      <c r="L8" s="6">
        <f t="shared" si="1"/>
        <v>17804</v>
      </c>
      <c r="M8"/>
    </row>
    <row r="9" spans="1:13" ht="12.75">
      <c r="A9" s="4">
        <v>2005</v>
      </c>
      <c r="B9" s="93">
        <v>17611</v>
      </c>
      <c r="C9" s="93">
        <v>1990</v>
      </c>
      <c r="D9" s="93">
        <v>244</v>
      </c>
      <c r="E9" s="93">
        <v>11</v>
      </c>
      <c r="F9" s="93">
        <v>2</v>
      </c>
      <c r="G9" s="91">
        <v>2529</v>
      </c>
      <c r="H9" s="93">
        <v>298</v>
      </c>
      <c r="I9" s="93">
        <v>139</v>
      </c>
      <c r="J9" s="90">
        <f t="shared" si="0"/>
        <v>22824</v>
      </c>
      <c r="L9" s="6">
        <f t="shared" si="1"/>
        <v>19858</v>
      </c>
      <c r="M9"/>
    </row>
    <row r="10" spans="1:13" ht="12.75">
      <c r="A10" s="4">
        <v>2006</v>
      </c>
      <c r="B10" s="93">
        <v>18720</v>
      </c>
      <c r="C10" s="93">
        <v>1998</v>
      </c>
      <c r="D10" s="93">
        <v>245</v>
      </c>
      <c r="E10" s="93">
        <v>13</v>
      </c>
      <c r="F10" s="93">
        <v>2</v>
      </c>
      <c r="G10" s="91">
        <v>2579</v>
      </c>
      <c r="H10" s="93">
        <v>295</v>
      </c>
      <c r="I10" s="93">
        <v>142</v>
      </c>
      <c r="J10" s="90">
        <f t="shared" si="0"/>
        <v>23994</v>
      </c>
      <c r="L10" s="6">
        <f t="shared" si="1"/>
        <v>20978</v>
      </c>
      <c r="M10"/>
    </row>
    <row r="11" spans="1:13" ht="12.75">
      <c r="A11" s="4">
        <v>2007</v>
      </c>
      <c r="B11" s="93">
        <v>20305</v>
      </c>
      <c r="C11" s="93">
        <v>2048.432576769025</v>
      </c>
      <c r="D11" s="93">
        <v>273</v>
      </c>
      <c r="E11" s="93">
        <v>14</v>
      </c>
      <c r="F11" s="93">
        <v>2</v>
      </c>
      <c r="G11" s="91">
        <v>2634</v>
      </c>
      <c r="H11" s="93">
        <v>290</v>
      </c>
      <c r="I11" s="93">
        <v>168.5674232309746</v>
      </c>
      <c r="J11" s="90">
        <f t="shared" si="0"/>
        <v>25735</v>
      </c>
      <c r="L11" s="6">
        <f t="shared" si="1"/>
        <v>22642.432576769024</v>
      </c>
      <c r="M11"/>
    </row>
    <row r="12" spans="1:13" ht="12.75">
      <c r="A12" s="4">
        <v>2008</v>
      </c>
      <c r="B12" s="93">
        <v>22755</v>
      </c>
      <c r="C12" s="93">
        <v>2135.567024128686</v>
      </c>
      <c r="D12" s="93">
        <v>274</v>
      </c>
      <c r="E12" s="93">
        <v>14</v>
      </c>
      <c r="F12" s="93">
        <v>2</v>
      </c>
      <c r="G12" s="91">
        <v>2709</v>
      </c>
      <c r="H12" s="93">
        <v>288</v>
      </c>
      <c r="I12" s="93">
        <v>176.43297587131366</v>
      </c>
      <c r="J12" s="90">
        <f>SUM(B12:I12)</f>
        <v>28354</v>
      </c>
      <c r="L12" s="6">
        <f t="shared" si="1"/>
        <v>25180.567024128686</v>
      </c>
      <c r="M12"/>
    </row>
    <row r="13" spans="1:13" ht="12.75">
      <c r="A13" s="4">
        <v>2009</v>
      </c>
      <c r="B13" s="93">
        <v>24832</v>
      </c>
      <c r="C13" s="93">
        <v>2203</v>
      </c>
      <c r="D13" s="93">
        <v>275</v>
      </c>
      <c r="E13" s="93">
        <f>14-1.666</f>
        <v>12.334</v>
      </c>
      <c r="F13" s="93">
        <v>2</v>
      </c>
      <c r="G13" s="91">
        <v>2774</v>
      </c>
      <c r="H13" s="93">
        <v>279</v>
      </c>
      <c r="I13" s="93">
        <v>182.99999999999997</v>
      </c>
      <c r="J13" s="93">
        <f t="shared" si="0"/>
        <v>30560.334</v>
      </c>
      <c r="L13" s="6">
        <f t="shared" si="1"/>
        <v>27324.334</v>
      </c>
      <c r="M13"/>
    </row>
    <row r="14" spans="1:12" ht="12.75">
      <c r="A14" s="4">
        <v>2010</v>
      </c>
      <c r="B14" s="90">
        <v>26587</v>
      </c>
      <c r="C14" s="90">
        <v>2283</v>
      </c>
      <c r="D14" s="90">
        <v>257</v>
      </c>
      <c r="E14" s="90">
        <v>13</v>
      </c>
      <c r="F14" s="90">
        <v>2</v>
      </c>
      <c r="G14" s="90">
        <v>2795</v>
      </c>
      <c r="H14" s="90">
        <v>266</v>
      </c>
      <c r="I14" s="90">
        <v>184</v>
      </c>
      <c r="J14" s="90">
        <f aca="true" t="shared" si="2" ref="J14:J20">SUM(B14:I14)</f>
        <v>32387</v>
      </c>
      <c r="L14" s="6">
        <f>+B14+C14+D14+E14+F14</f>
        <v>29142</v>
      </c>
    </row>
    <row r="15" spans="1:12" ht="12.75">
      <c r="A15" s="4">
        <v>2011</v>
      </c>
      <c r="B15" s="90">
        <v>27826</v>
      </c>
      <c r="C15" s="90">
        <v>2374</v>
      </c>
      <c r="D15" s="90">
        <v>271</v>
      </c>
      <c r="E15" s="90">
        <v>12</v>
      </c>
      <c r="F15" s="90">
        <v>2</v>
      </c>
      <c r="G15" s="90">
        <v>2900</v>
      </c>
      <c r="H15" s="90">
        <v>265</v>
      </c>
      <c r="I15" s="90">
        <v>187</v>
      </c>
      <c r="J15" s="90">
        <f t="shared" si="2"/>
        <v>33837</v>
      </c>
      <c r="L15" s="6">
        <f>+B15+C15+D15+E15+F15</f>
        <v>30485</v>
      </c>
    </row>
    <row r="16" spans="1:12" ht="12.75">
      <c r="A16" s="4">
        <v>2012</v>
      </c>
      <c r="B16" s="90">
        <v>29614</v>
      </c>
      <c r="C16" s="90">
        <v>2425</v>
      </c>
      <c r="D16" s="90">
        <v>271</v>
      </c>
      <c r="E16" s="90">
        <v>12</v>
      </c>
      <c r="F16" s="90">
        <v>2</v>
      </c>
      <c r="G16" s="90">
        <v>2991</v>
      </c>
      <c r="H16" s="90">
        <v>265</v>
      </c>
      <c r="I16" s="90">
        <v>192</v>
      </c>
      <c r="J16" s="90">
        <f t="shared" si="2"/>
        <v>35772</v>
      </c>
      <c r="L16" s="6">
        <f t="shared" si="1"/>
        <v>32324</v>
      </c>
    </row>
    <row r="17" spans="1:12" ht="12.75">
      <c r="A17" s="4">
        <v>2013</v>
      </c>
      <c r="B17" s="90">
        <v>31309</v>
      </c>
      <c r="C17" s="90">
        <v>2477</v>
      </c>
      <c r="D17" s="90">
        <v>273</v>
      </c>
      <c r="E17" s="90">
        <v>11</v>
      </c>
      <c r="F17" s="90">
        <v>3</v>
      </c>
      <c r="G17" s="90">
        <v>3046</v>
      </c>
      <c r="H17" s="90">
        <v>256</v>
      </c>
      <c r="I17" s="90">
        <v>192</v>
      </c>
      <c r="J17" s="90">
        <f t="shared" si="2"/>
        <v>37567</v>
      </c>
      <c r="L17" s="6">
        <f t="shared" si="1"/>
        <v>34073</v>
      </c>
    </row>
    <row r="18" spans="1:12" ht="12.75">
      <c r="A18" s="4">
        <v>2014</v>
      </c>
      <c r="B18" s="90">
        <v>32268</v>
      </c>
      <c r="C18" s="90">
        <v>2544</v>
      </c>
      <c r="D18" s="90">
        <v>284</v>
      </c>
      <c r="E18" s="90">
        <v>12</v>
      </c>
      <c r="F18" s="90">
        <v>3</v>
      </c>
      <c r="G18" s="90">
        <v>3097</v>
      </c>
      <c r="H18" s="90">
        <v>251</v>
      </c>
      <c r="I18" s="90">
        <v>189</v>
      </c>
      <c r="J18" s="90">
        <f t="shared" si="2"/>
        <v>38648</v>
      </c>
      <c r="L18" s="6">
        <f t="shared" si="1"/>
        <v>35111</v>
      </c>
    </row>
    <row r="19" spans="1:12" ht="12.75">
      <c r="A19" s="4">
        <v>2015</v>
      </c>
      <c r="B19" s="94">
        <f>+Residential!H182</f>
        <v>33001</v>
      </c>
      <c r="C19" s="94">
        <f>+'GS &lt; 50 kW'!H182</f>
        <v>2574</v>
      </c>
      <c r="D19" s="94">
        <f>+'GS &gt; 50 kW'!I182</f>
        <v>293</v>
      </c>
      <c r="E19" s="94">
        <v>13</v>
      </c>
      <c r="F19" s="94">
        <f>+F18*F42</f>
        <v>3</v>
      </c>
      <c r="G19" s="94">
        <f>+G18*G42</f>
        <v>3164.614044620675</v>
      </c>
      <c r="H19" s="94">
        <f>+H18*H42</f>
        <v>246.56251236299744</v>
      </c>
      <c r="I19" s="94">
        <v>178</v>
      </c>
      <c r="J19" s="94">
        <f t="shared" si="2"/>
        <v>39473.17655698367</v>
      </c>
      <c r="L19" s="6">
        <f t="shared" si="1"/>
        <v>35884</v>
      </c>
    </row>
    <row r="20" spans="1:12" ht="12.75">
      <c r="A20" s="4">
        <v>2016</v>
      </c>
      <c r="B20" s="94">
        <f>+B19+1500</f>
        <v>34501</v>
      </c>
      <c r="C20" s="94">
        <f aca="true" t="shared" si="3" ref="C20:H20">+C19*C42</f>
        <v>2642.0505332703788</v>
      </c>
      <c r="D20" s="94">
        <f t="shared" si="3"/>
        <v>301.93278392268166</v>
      </c>
      <c r="E20" s="94">
        <f t="shared" si="3"/>
        <v>13</v>
      </c>
      <c r="F20" s="94">
        <f t="shared" si="3"/>
        <v>3</v>
      </c>
      <c r="G20" s="94">
        <f t="shared" si="3"/>
        <v>3233.7042464999763</v>
      </c>
      <c r="H20" s="94">
        <f t="shared" si="3"/>
        <v>242.2034761065867</v>
      </c>
      <c r="I20" s="94">
        <f>+I19*I42</f>
        <v>178</v>
      </c>
      <c r="J20" s="94">
        <f t="shared" si="2"/>
        <v>41114.89103979962</v>
      </c>
      <c r="L20" s="6">
        <f t="shared" si="1"/>
        <v>37460.98331719306</v>
      </c>
    </row>
    <row r="21" spans="1:5" ht="12.75">
      <c r="A21" s="18"/>
      <c r="E21" s="76"/>
    </row>
    <row r="22" spans="1:9" ht="12.75">
      <c r="A22" s="17" t="s">
        <v>45</v>
      </c>
      <c r="B22" s="5"/>
      <c r="C22" s="5"/>
      <c r="D22" s="5"/>
      <c r="E22" s="5"/>
      <c r="F22" s="5"/>
      <c r="G22" s="5"/>
      <c r="H22" s="5"/>
      <c r="I22" s="5"/>
    </row>
    <row r="23" spans="1:9" ht="12.75">
      <c r="A23" s="4">
        <v>1999</v>
      </c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4">
        <v>2000</v>
      </c>
      <c r="B24" s="21">
        <f aca="true" t="shared" si="4" ref="B24:I33">B4/B3</f>
        <v>1.0118292289493493</v>
      </c>
      <c r="C24" s="21">
        <f t="shared" si="4"/>
        <v>0.9941860465116279</v>
      </c>
      <c r="D24" s="21">
        <f t="shared" si="4"/>
        <v>1.022099447513812</v>
      </c>
      <c r="E24" s="21">
        <f t="shared" si="4"/>
        <v>1</v>
      </c>
      <c r="F24" s="21">
        <f t="shared" si="4"/>
        <v>1</v>
      </c>
      <c r="G24" s="21">
        <f t="shared" si="4"/>
        <v>1.0017857142857143</v>
      </c>
      <c r="H24" s="21">
        <f t="shared" si="4"/>
        <v>1</v>
      </c>
      <c r="I24" s="21"/>
    </row>
    <row r="25" spans="1:12" ht="12.75">
      <c r="A25" s="4">
        <v>2001</v>
      </c>
      <c r="B25" s="21">
        <f t="shared" si="4"/>
        <v>1.0301838665107876</v>
      </c>
      <c r="C25" s="21">
        <f t="shared" si="4"/>
        <v>0.9941520467836257</v>
      </c>
      <c r="D25" s="21">
        <f t="shared" si="4"/>
        <v>1.037837837837838</v>
      </c>
      <c r="E25" s="21">
        <f t="shared" si="4"/>
        <v>0.8333333333333334</v>
      </c>
      <c r="F25" s="21">
        <f t="shared" si="4"/>
        <v>1</v>
      </c>
      <c r="G25" s="21">
        <f t="shared" si="4"/>
        <v>1.017379679144385</v>
      </c>
      <c r="H25" s="21">
        <f t="shared" si="4"/>
        <v>1.0030487804878048</v>
      </c>
      <c r="I25" s="21"/>
      <c r="L25" s="71">
        <f>0.666666666666667*2</f>
        <v>1.333333333333334</v>
      </c>
    </row>
    <row r="26" spans="1:9" ht="12.75">
      <c r="A26" s="4">
        <v>2002</v>
      </c>
      <c r="B26" s="21">
        <f aca="true" t="shared" si="5" ref="B26:B38">B6/B5</f>
        <v>1.2704013205405964</v>
      </c>
      <c r="C26" s="21">
        <f t="shared" si="4"/>
        <v>1.0076470588235293</v>
      </c>
      <c r="D26" s="21">
        <f t="shared" si="4"/>
        <v>1.1354166666666667</v>
      </c>
      <c r="E26" s="21">
        <f t="shared" si="4"/>
        <v>1</v>
      </c>
      <c r="F26" s="21">
        <f t="shared" si="4"/>
        <v>2</v>
      </c>
      <c r="G26" s="21">
        <f t="shared" si="4"/>
        <v>1.0284713096802454</v>
      </c>
      <c r="H26" s="21">
        <f t="shared" si="4"/>
        <v>0.9148936170212766</v>
      </c>
      <c r="I26" s="21">
        <f t="shared" si="4"/>
        <v>1.0363636363636364</v>
      </c>
    </row>
    <row r="27" spans="1:9" ht="12.75">
      <c r="A27" s="4">
        <v>2003</v>
      </c>
      <c r="B27" s="21">
        <f t="shared" si="5"/>
        <v>1.1223810297222674</v>
      </c>
      <c r="C27" s="21">
        <f t="shared" si="4"/>
        <v>1.0274372446001168</v>
      </c>
      <c r="D27" s="21">
        <f t="shared" si="4"/>
        <v>0.9724770642201835</v>
      </c>
      <c r="E27" s="21">
        <f t="shared" si="4"/>
        <v>1</v>
      </c>
      <c r="F27" s="21">
        <f t="shared" si="4"/>
        <v>1</v>
      </c>
      <c r="G27" s="21">
        <f t="shared" si="4"/>
        <v>1.0255536626916524</v>
      </c>
      <c r="H27" s="21">
        <f t="shared" si="4"/>
        <v>1.0332225913621262</v>
      </c>
      <c r="I27" s="21">
        <f t="shared" si="4"/>
        <v>1.0701754385964912</v>
      </c>
    </row>
    <row r="28" spans="1:9" ht="12.75">
      <c r="A28" s="4">
        <v>2004</v>
      </c>
      <c r="B28" s="21">
        <f t="shared" si="5"/>
        <v>1.1402937558787352</v>
      </c>
      <c r="C28" s="21">
        <f t="shared" si="4"/>
        <v>1.0244318181818182</v>
      </c>
      <c r="D28" s="21">
        <f t="shared" si="4"/>
        <v>1.080188679245283</v>
      </c>
      <c r="E28" s="21">
        <f t="shared" si="4"/>
        <v>1</v>
      </c>
      <c r="F28" s="21">
        <f t="shared" si="4"/>
        <v>1</v>
      </c>
      <c r="G28" s="21">
        <f t="shared" si="4"/>
        <v>1.0240863787375416</v>
      </c>
      <c r="H28" s="21">
        <f t="shared" si="4"/>
        <v>0.9935691318327974</v>
      </c>
      <c r="I28" s="21">
        <f t="shared" si="4"/>
        <v>1.1229508196721312</v>
      </c>
    </row>
    <row r="29" spans="1:9" ht="12.75">
      <c r="A29" s="4">
        <v>2005</v>
      </c>
      <c r="B29" s="21">
        <f t="shared" si="5"/>
        <v>1.1174492385786803</v>
      </c>
      <c r="C29" s="21">
        <f t="shared" si="4"/>
        <v>1.1037160288408208</v>
      </c>
      <c r="D29" s="21">
        <f t="shared" si="4"/>
        <v>1.0655021834061136</v>
      </c>
      <c r="E29" s="21">
        <f t="shared" si="4"/>
        <v>1.1</v>
      </c>
      <c r="F29" s="21">
        <f t="shared" si="4"/>
        <v>1</v>
      </c>
      <c r="G29" s="21">
        <f t="shared" si="4"/>
        <v>1.0255474452554745</v>
      </c>
      <c r="H29" s="21">
        <f t="shared" si="4"/>
        <v>0.9644012944983819</v>
      </c>
      <c r="I29" s="21">
        <f t="shared" si="4"/>
        <v>1.0145985401459854</v>
      </c>
    </row>
    <row r="30" spans="1:9" ht="12.75">
      <c r="A30" s="4">
        <v>2006</v>
      </c>
      <c r="B30" s="21">
        <f t="shared" si="5"/>
        <v>1.0629720061325307</v>
      </c>
      <c r="C30" s="21">
        <f t="shared" si="4"/>
        <v>1.0040201005025127</v>
      </c>
      <c r="D30" s="21">
        <f t="shared" si="4"/>
        <v>1.0040983606557377</v>
      </c>
      <c r="E30" s="21">
        <f t="shared" si="4"/>
        <v>1.1818181818181819</v>
      </c>
      <c r="F30" s="21">
        <f t="shared" si="4"/>
        <v>1</v>
      </c>
      <c r="G30" s="21">
        <f t="shared" si="4"/>
        <v>1.0197706603400554</v>
      </c>
      <c r="H30" s="21">
        <f t="shared" si="4"/>
        <v>0.9899328859060402</v>
      </c>
      <c r="I30" s="21">
        <f t="shared" si="4"/>
        <v>1.0215827338129497</v>
      </c>
    </row>
    <row r="31" spans="1:9" ht="12.75">
      <c r="A31" s="4">
        <v>2007</v>
      </c>
      <c r="B31" s="21">
        <f t="shared" si="5"/>
        <v>1.0846688034188035</v>
      </c>
      <c r="C31" s="21">
        <f t="shared" si="4"/>
        <v>1.025241529914427</v>
      </c>
      <c r="D31" s="21">
        <f t="shared" si="4"/>
        <v>1.1142857142857143</v>
      </c>
      <c r="E31" s="21">
        <f t="shared" si="4"/>
        <v>1.0769230769230769</v>
      </c>
      <c r="F31" s="21">
        <f t="shared" si="4"/>
        <v>1</v>
      </c>
      <c r="G31" s="21">
        <f t="shared" si="4"/>
        <v>1.0213260953858085</v>
      </c>
      <c r="H31" s="21">
        <f t="shared" si="4"/>
        <v>0.9830508474576272</v>
      </c>
      <c r="I31" s="21">
        <f t="shared" si="4"/>
        <v>1.187094529795596</v>
      </c>
    </row>
    <row r="32" spans="1:9" ht="12.75">
      <c r="A32" s="4">
        <v>2008</v>
      </c>
      <c r="B32" s="21">
        <f t="shared" si="5"/>
        <v>1.1206599359763605</v>
      </c>
      <c r="C32" s="21">
        <f t="shared" si="4"/>
        <v>1.0425371322189658</v>
      </c>
      <c r="D32" s="21">
        <f t="shared" si="4"/>
        <v>1.0036630036630036</v>
      </c>
      <c r="E32" s="21">
        <f aca="true" t="shared" si="6" ref="E32:E38">E12/E11</f>
        <v>1</v>
      </c>
      <c r="F32" s="21">
        <f t="shared" si="4"/>
        <v>1</v>
      </c>
      <c r="G32" s="21">
        <f t="shared" si="4"/>
        <v>1.0284738041002277</v>
      </c>
      <c r="H32" s="21">
        <f t="shared" si="4"/>
        <v>0.993103448275862</v>
      </c>
      <c r="I32" s="21">
        <f t="shared" si="4"/>
        <v>1.046661166728292</v>
      </c>
    </row>
    <row r="33" spans="1:9" ht="12.75">
      <c r="A33" s="4">
        <v>2009</v>
      </c>
      <c r="B33" s="21">
        <f t="shared" si="5"/>
        <v>1.0912766424961546</v>
      </c>
      <c r="C33" s="21">
        <f t="shared" si="4"/>
        <v>1.0315761458710604</v>
      </c>
      <c r="D33" s="21">
        <f t="shared" si="4"/>
        <v>1.0036496350364963</v>
      </c>
      <c r="E33" s="21">
        <f t="shared" si="6"/>
        <v>0.881</v>
      </c>
      <c r="F33" s="21">
        <f t="shared" si="4"/>
        <v>1</v>
      </c>
      <c r="G33" s="21">
        <f t="shared" si="4"/>
        <v>1.0239940937615357</v>
      </c>
      <c r="H33" s="21">
        <f t="shared" si="4"/>
        <v>0.96875</v>
      </c>
      <c r="I33" s="21">
        <f t="shared" si="4"/>
        <v>1.0372210699063205</v>
      </c>
    </row>
    <row r="34" spans="1:9" ht="12.75">
      <c r="A34" s="4">
        <v>2010</v>
      </c>
      <c r="B34" s="21">
        <f t="shared" si="5"/>
        <v>1.0706749355670102</v>
      </c>
      <c r="C34" s="21">
        <f aca="true" t="shared" si="7" ref="C34:D38">C14/C13</f>
        <v>1.0363141171130277</v>
      </c>
      <c r="D34" s="21">
        <f t="shared" si="7"/>
        <v>0.9345454545454546</v>
      </c>
      <c r="E34" s="21">
        <f t="shared" si="6"/>
        <v>1.053997081238852</v>
      </c>
      <c r="F34" s="21">
        <f aca="true" t="shared" si="8" ref="F34:I38">F14/F13</f>
        <v>1</v>
      </c>
      <c r="G34" s="21">
        <f t="shared" si="8"/>
        <v>1.0075702956020187</v>
      </c>
      <c r="H34" s="21">
        <f t="shared" si="8"/>
        <v>0.953405017921147</v>
      </c>
      <c r="I34" s="21">
        <f t="shared" si="8"/>
        <v>1.0054644808743172</v>
      </c>
    </row>
    <row r="35" spans="1:9" ht="12.75">
      <c r="A35" s="4">
        <v>2011</v>
      </c>
      <c r="B35" s="21">
        <f t="shared" si="5"/>
        <v>1.0466017226464062</v>
      </c>
      <c r="C35" s="21">
        <f t="shared" si="7"/>
        <v>1.0398598335523435</v>
      </c>
      <c r="D35" s="21">
        <f t="shared" si="7"/>
        <v>1.0544747081712063</v>
      </c>
      <c r="E35" s="21">
        <f t="shared" si="6"/>
        <v>0.9230769230769231</v>
      </c>
      <c r="F35" s="21">
        <f t="shared" si="8"/>
        <v>1</v>
      </c>
      <c r="G35" s="21">
        <f t="shared" si="8"/>
        <v>1.037567084078712</v>
      </c>
      <c r="H35" s="21">
        <f t="shared" si="8"/>
        <v>0.9962406015037594</v>
      </c>
      <c r="I35" s="21">
        <f t="shared" si="8"/>
        <v>1.016304347826087</v>
      </c>
    </row>
    <row r="36" spans="1:9" ht="12.75">
      <c r="A36" s="4">
        <v>2012</v>
      </c>
      <c r="B36" s="21">
        <f t="shared" si="5"/>
        <v>1.0642564508014087</v>
      </c>
      <c r="C36" s="21">
        <f t="shared" si="7"/>
        <v>1.0214827295703455</v>
      </c>
      <c r="D36" s="21">
        <f t="shared" si="7"/>
        <v>1</v>
      </c>
      <c r="E36" s="21">
        <f t="shared" si="6"/>
        <v>1</v>
      </c>
      <c r="F36" s="21">
        <f t="shared" si="8"/>
        <v>1</v>
      </c>
      <c r="G36" s="21">
        <f t="shared" si="8"/>
        <v>1.0313793103448277</v>
      </c>
      <c r="H36" s="21">
        <f t="shared" si="8"/>
        <v>1</v>
      </c>
      <c r="I36" s="21">
        <f t="shared" si="8"/>
        <v>1.0267379679144386</v>
      </c>
    </row>
    <row r="37" spans="1:9" ht="12.75">
      <c r="A37" s="4">
        <v>2013</v>
      </c>
      <c r="B37" s="21">
        <f t="shared" si="5"/>
        <v>1.0572364422232727</v>
      </c>
      <c r="C37" s="21">
        <f t="shared" si="7"/>
        <v>1.0214432989690723</v>
      </c>
      <c r="D37" s="21">
        <f t="shared" si="7"/>
        <v>1.007380073800738</v>
      </c>
      <c r="E37" s="21">
        <f t="shared" si="6"/>
        <v>0.9166666666666666</v>
      </c>
      <c r="F37" s="21">
        <f t="shared" si="8"/>
        <v>1.5</v>
      </c>
      <c r="G37" s="21">
        <f t="shared" si="8"/>
        <v>1.0183884988298229</v>
      </c>
      <c r="H37" s="21">
        <f t="shared" si="8"/>
        <v>0.9660377358490566</v>
      </c>
      <c r="I37" s="21">
        <f t="shared" si="8"/>
        <v>1</v>
      </c>
    </row>
    <row r="38" spans="1:9" ht="12.75">
      <c r="A38" s="4">
        <v>2014</v>
      </c>
      <c r="B38" s="21">
        <f t="shared" si="5"/>
        <v>1.0306301702385896</v>
      </c>
      <c r="C38" s="21">
        <f t="shared" si="7"/>
        <v>1.0270488494146144</v>
      </c>
      <c r="D38" s="21">
        <f t="shared" si="7"/>
        <v>1.0402930402930404</v>
      </c>
      <c r="E38" s="21">
        <f t="shared" si="6"/>
        <v>1.0909090909090908</v>
      </c>
      <c r="F38" s="21">
        <f t="shared" si="8"/>
        <v>1</v>
      </c>
      <c r="G38" s="21">
        <f t="shared" si="8"/>
        <v>1.0167432698621142</v>
      </c>
      <c r="H38" s="21">
        <f t="shared" si="8"/>
        <v>0.98046875</v>
      </c>
      <c r="I38" s="21">
        <f t="shared" si="8"/>
        <v>0.984375</v>
      </c>
    </row>
    <row r="39" spans="1:9" ht="12.75">
      <c r="A39" s="4"/>
      <c r="B39" s="21"/>
      <c r="C39" s="21"/>
      <c r="D39" s="21"/>
      <c r="E39" s="21"/>
      <c r="F39" s="21"/>
      <c r="G39" s="21"/>
      <c r="H39" s="21"/>
      <c r="I39" s="21"/>
    </row>
    <row r="40" spans="1:9" ht="12.75">
      <c r="A40" s="4"/>
      <c r="B40" s="21"/>
      <c r="C40" s="21"/>
      <c r="D40" s="21"/>
      <c r="E40" s="21"/>
      <c r="F40" s="21"/>
      <c r="G40" s="21"/>
      <c r="H40" s="21"/>
      <c r="I40" s="21"/>
    </row>
    <row r="42" spans="1:9" ht="54" customHeight="1">
      <c r="A42" t="s">
        <v>66</v>
      </c>
      <c r="B42" s="59" t="s">
        <v>115</v>
      </c>
      <c r="C42" s="22">
        <f>C44</f>
        <v>1.0264376586132007</v>
      </c>
      <c r="D42" s="22">
        <f>+D44</f>
        <v>1.0304873171422582</v>
      </c>
      <c r="E42" s="125">
        <v>1</v>
      </c>
      <c r="F42" s="125">
        <v>1</v>
      </c>
      <c r="G42" s="22">
        <f>G44</f>
        <v>1.0218321099840733</v>
      </c>
      <c r="H42" s="22">
        <f>H44</f>
        <v>0.9823207663864439</v>
      </c>
      <c r="I42" s="125">
        <v>1</v>
      </c>
    </row>
    <row r="43" spans="2:9" ht="12.75">
      <c r="B43" s="22"/>
      <c r="C43" s="22"/>
      <c r="D43" s="22"/>
      <c r="E43" s="22"/>
      <c r="F43" s="22"/>
      <c r="G43" s="22"/>
      <c r="H43" s="22"/>
      <c r="I43" s="22"/>
    </row>
    <row r="44" spans="1:9" ht="12.75">
      <c r="A44" t="s">
        <v>10</v>
      </c>
      <c r="B44" s="22">
        <f>GEOMEAN(B24:B37)</f>
        <v>1.0905849404383445</v>
      </c>
      <c r="C44" s="22">
        <f aca="true" t="shared" si="9" ref="C44:H44">GEOMEAN(C24:C38)</f>
        <v>1.0264376586132007</v>
      </c>
      <c r="D44" s="22">
        <f>GEOMEAN(D24:D38)</f>
        <v>1.0304873171422582</v>
      </c>
      <c r="E44" s="22">
        <f t="shared" si="9"/>
        <v>1</v>
      </c>
      <c r="F44" s="22">
        <f t="shared" si="9"/>
        <v>1.0759896247253458</v>
      </c>
      <c r="G44" s="22">
        <f t="shared" si="9"/>
        <v>1.0218321099840733</v>
      </c>
      <c r="H44" s="22">
        <f t="shared" si="9"/>
        <v>0.9823207663864439</v>
      </c>
      <c r="I44" s="125">
        <v>1</v>
      </c>
    </row>
    <row r="45" spans="1:9" ht="12.75">
      <c r="A45" s="4"/>
      <c r="B45" s="22"/>
      <c r="C45" s="22"/>
      <c r="D45" s="22"/>
      <c r="E45" s="22"/>
      <c r="F45" s="22"/>
      <c r="G45" s="22"/>
      <c r="H45" s="22"/>
      <c r="I45" s="22"/>
    </row>
    <row r="46" spans="1:9" ht="12.75">
      <c r="A46" s="4"/>
      <c r="B46" s="22"/>
      <c r="C46" s="22"/>
      <c r="D46" s="22"/>
      <c r="E46" s="22"/>
      <c r="F46" s="22"/>
      <c r="G46" s="22"/>
      <c r="H46" s="22"/>
      <c r="I46" s="22"/>
    </row>
    <row r="47" spans="1:9" ht="12.75">
      <c r="A47" s="4"/>
      <c r="B47" s="22"/>
      <c r="C47" s="22"/>
      <c r="D47" s="22"/>
      <c r="E47" s="130" t="s">
        <v>118</v>
      </c>
      <c r="F47" s="125"/>
      <c r="G47" s="22"/>
      <c r="H47" s="22"/>
      <c r="I47" s="22"/>
    </row>
    <row r="48" spans="1:9" ht="12.75">
      <c r="A48" s="4"/>
      <c r="B48" s="22"/>
      <c r="C48" s="22"/>
      <c r="D48" s="22"/>
      <c r="E48" s="22"/>
      <c r="F48" s="22"/>
      <c r="G48" s="22"/>
      <c r="H48" s="22"/>
      <c r="I48" s="22"/>
    </row>
    <row r="49" spans="1:9" ht="12.75">
      <c r="A49" s="4"/>
      <c r="B49" s="22"/>
      <c r="C49" s="22"/>
      <c r="D49" s="22"/>
      <c r="E49" s="22"/>
      <c r="F49" s="22"/>
      <c r="G49" s="22"/>
      <c r="H49" s="22"/>
      <c r="I49" s="22"/>
    </row>
    <row r="50" spans="1:9" ht="12.75">
      <c r="A50" s="4"/>
      <c r="B50" s="22"/>
      <c r="C50" s="22"/>
      <c r="D50" s="22"/>
      <c r="E50" s="22"/>
      <c r="F50" s="22"/>
      <c r="G50" s="22"/>
      <c r="H50" s="22"/>
      <c r="I50" s="22"/>
    </row>
    <row r="51" spans="1:9" ht="12.75">
      <c r="A51" s="4"/>
      <c r="B51" s="22"/>
      <c r="C51" s="22"/>
      <c r="D51" s="22"/>
      <c r="E51" s="22"/>
      <c r="F51" s="22"/>
      <c r="G51" s="22"/>
      <c r="H51" s="22"/>
      <c r="I51" s="22"/>
    </row>
    <row r="52" spans="1:9" ht="12.75">
      <c r="A52" s="4"/>
      <c r="B52" s="22"/>
      <c r="C52" s="22"/>
      <c r="D52" s="22"/>
      <c r="E52" s="22"/>
      <c r="F52" s="22"/>
      <c r="G52" s="22"/>
      <c r="H52" s="22"/>
      <c r="I52" s="22"/>
    </row>
    <row r="53" spans="2:9" ht="12.75">
      <c r="B53" s="22"/>
      <c r="C53" s="22"/>
      <c r="D53" s="22"/>
      <c r="E53" s="22"/>
      <c r="F53" s="22"/>
      <c r="G53" s="22"/>
      <c r="H53" s="22"/>
      <c r="I53" s="22"/>
    </row>
    <row r="54" spans="2:9" ht="12.75">
      <c r="B54" s="22"/>
      <c r="C54" s="22"/>
      <c r="D54" s="22"/>
      <c r="E54" s="22"/>
      <c r="F54" s="22"/>
      <c r="G54" s="22"/>
      <c r="H54" s="22"/>
      <c r="I54" s="22"/>
    </row>
    <row r="55" spans="2:9" ht="12.75">
      <c r="B55" s="22"/>
      <c r="C55" s="22"/>
      <c r="D55" s="22"/>
      <c r="E55" s="22"/>
      <c r="F55" s="22"/>
      <c r="G55" s="22"/>
      <c r="H55" s="22"/>
      <c r="I55" s="22"/>
    </row>
    <row r="56" spans="2:9" ht="12.75">
      <c r="B56" s="22"/>
      <c r="C56" s="22"/>
      <c r="D56" s="22"/>
      <c r="E56" s="22"/>
      <c r="F56" s="22"/>
      <c r="G56" s="22"/>
      <c r="H56" s="22"/>
      <c r="I56" s="22"/>
    </row>
    <row r="57" spans="2:9" ht="12.75">
      <c r="B57" s="22"/>
      <c r="C57" s="22"/>
      <c r="D57" s="22"/>
      <c r="E57" s="22"/>
      <c r="F57" s="22"/>
      <c r="G57" s="22"/>
      <c r="H57" s="22"/>
      <c r="I57" s="22"/>
    </row>
    <row r="58" spans="2:9" ht="12.75">
      <c r="B58" s="22"/>
      <c r="C58" s="22"/>
      <c r="D58" s="22"/>
      <c r="E58" s="22"/>
      <c r="F58" s="22"/>
      <c r="G58" s="22"/>
      <c r="H58" s="22"/>
      <c r="I58" s="22"/>
    </row>
    <row r="59" spans="2:9" ht="12.75">
      <c r="B59" s="22"/>
      <c r="C59" s="22"/>
      <c r="D59" s="22"/>
      <c r="E59" s="22"/>
      <c r="F59" s="22"/>
      <c r="G59" s="22"/>
      <c r="H59" s="22"/>
      <c r="I59" s="22"/>
    </row>
    <row r="60" spans="2:9" ht="12.75">
      <c r="B60" s="22"/>
      <c r="C60" s="22"/>
      <c r="D60" s="22"/>
      <c r="E60" s="22"/>
      <c r="F60" s="22"/>
      <c r="G60" s="22"/>
      <c r="H60" s="22"/>
      <c r="I60" s="22"/>
    </row>
    <row r="61" spans="2:9" ht="12.75">
      <c r="B61" s="22"/>
      <c r="C61" s="22"/>
      <c r="D61" s="22"/>
      <c r="E61" s="22"/>
      <c r="F61" s="22"/>
      <c r="G61" s="22"/>
      <c r="H61" s="22"/>
      <c r="I61" s="22"/>
    </row>
    <row r="62" spans="2:9" ht="12.75">
      <c r="B62" s="22"/>
      <c r="C62" s="22"/>
      <c r="D62" s="22"/>
      <c r="E62" s="22"/>
      <c r="F62" s="22"/>
      <c r="G62" s="22"/>
      <c r="H62" s="22"/>
      <c r="I62" s="22"/>
    </row>
    <row r="63" spans="2:9" ht="12.75">
      <c r="B63" s="22"/>
      <c r="C63" s="22"/>
      <c r="D63" s="22"/>
      <c r="E63" s="22"/>
      <c r="F63" s="22"/>
      <c r="G63" s="22"/>
      <c r="H63" s="22"/>
      <c r="I63" s="22"/>
    </row>
    <row r="64" spans="2:9" ht="12.75">
      <c r="B64" s="22"/>
      <c r="C64" s="22"/>
      <c r="D64" s="22"/>
      <c r="E64" s="22"/>
      <c r="F64" s="22"/>
      <c r="G64" s="22"/>
      <c r="H64" s="22"/>
      <c r="I64" s="22"/>
    </row>
    <row r="65" spans="2:9" ht="12.75">
      <c r="B65" s="22"/>
      <c r="C65" s="22"/>
      <c r="D65" s="22"/>
      <c r="E65" s="22"/>
      <c r="F65" s="22"/>
      <c r="G65" s="22"/>
      <c r="H65" s="22"/>
      <c r="I65" s="22"/>
    </row>
    <row r="66" spans="2:9" ht="12.75">
      <c r="B66" s="22"/>
      <c r="C66" s="22"/>
      <c r="D66" s="22"/>
      <c r="E66" s="22"/>
      <c r="F66" s="22"/>
      <c r="G66" s="22"/>
      <c r="H66" s="22"/>
      <c r="I66" s="22"/>
    </row>
    <row r="67" spans="2:9" ht="12.75">
      <c r="B67" s="22"/>
      <c r="C67" s="22"/>
      <c r="D67" s="22"/>
      <c r="E67" s="22"/>
      <c r="F67" s="22"/>
      <c r="G67" s="22"/>
      <c r="H67" s="22"/>
      <c r="I67" s="22"/>
    </row>
    <row r="68" spans="2:9" ht="12.75">
      <c r="B68" s="22"/>
      <c r="C68" s="22"/>
      <c r="D68" s="22"/>
      <c r="E68" s="22"/>
      <c r="F68" s="22"/>
      <c r="G68" s="22"/>
      <c r="H68" s="22"/>
      <c r="I68" s="22"/>
    </row>
    <row r="69" spans="2:9" ht="12.75">
      <c r="B69" s="22"/>
      <c r="C69" s="22"/>
      <c r="D69" s="22"/>
      <c r="E69" s="22"/>
      <c r="F69" s="22"/>
      <c r="G69" s="22"/>
      <c r="H69" s="22"/>
      <c r="I69" s="22"/>
    </row>
    <row r="70" spans="2:9" ht="12.75">
      <c r="B70" s="22"/>
      <c r="C70" s="22"/>
      <c r="D70" s="22"/>
      <c r="E70" s="22"/>
      <c r="F70" s="22"/>
      <c r="G70" s="22"/>
      <c r="H70" s="22"/>
      <c r="I70" s="22"/>
    </row>
    <row r="71" spans="2:9" ht="12.75">
      <c r="B71" s="22"/>
      <c r="C71" s="22"/>
      <c r="H71" s="22"/>
      <c r="I71" s="22"/>
    </row>
    <row r="72" ht="12.75">
      <c r="D72" s="6" t="e">
        <f>D12*Summary!#REF!</f>
        <v>#REF!</v>
      </c>
    </row>
    <row r="73" spans="1:12" ht="12.75">
      <c r="A73">
        <v>2008</v>
      </c>
      <c r="B73" s="6" t="e">
        <f>B12*Summary!#REF!</f>
        <v>#REF!</v>
      </c>
      <c r="C73" s="6" t="e">
        <f>C12*Summary!#REF!</f>
        <v>#REF!</v>
      </c>
      <c r="D73" s="6" t="e">
        <f>D13*Summary!#REF!</f>
        <v>#REF!</v>
      </c>
      <c r="H73" s="6" t="e">
        <f>H12*Summary!#REF!</f>
        <v>#REF!</v>
      </c>
      <c r="I73" s="6" t="e">
        <f>#REF!*Summary!#REF!</f>
        <v>#REF!</v>
      </c>
      <c r="J73" s="6" t="e">
        <f>SUM(B73:I73)</f>
        <v>#REF!</v>
      </c>
      <c r="K73" s="6" t="e">
        <f>SUM('Rate Class Energy Model'!#REF!)</f>
        <v>#REF!</v>
      </c>
      <c r="L73" s="6" t="e">
        <f>K73-J73</f>
        <v>#REF!</v>
      </c>
    </row>
    <row r="74" spans="1:12" ht="12.75">
      <c r="A74">
        <v>2009</v>
      </c>
      <c r="B74" s="6" t="e">
        <f>B13*Summary!#REF!</f>
        <v>#REF!</v>
      </c>
      <c r="C74" s="6" t="e">
        <f>C13*Summary!#REF!</f>
        <v>#REF!</v>
      </c>
      <c r="H74" s="6" t="e">
        <f>H13*Summary!#REF!</f>
        <v>#REF!</v>
      </c>
      <c r="I74" s="6" t="e">
        <f>I13*Summary!#REF!</f>
        <v>#REF!</v>
      </c>
      <c r="J74" s="6" t="e">
        <f>SUM(B74:I74)</f>
        <v>#REF!</v>
      </c>
      <c r="K74" s="6" t="e">
        <f>SUM('Rate Class Energy Model'!#REF!)</f>
        <v>#REF!</v>
      </c>
      <c r="L74" s="6" t="e">
        <f>K74-J74</f>
        <v>#REF!</v>
      </c>
    </row>
    <row r="76" ht="12.75">
      <c r="A76" t="s">
        <v>12</v>
      </c>
    </row>
    <row r="77" spans="4:7" ht="12.75">
      <c r="D77" s="23">
        <v>0.65</v>
      </c>
      <c r="E77" s="23"/>
      <c r="F77" s="23"/>
      <c r="G77" s="23"/>
    </row>
    <row r="78" spans="1:9" ht="12.75">
      <c r="A78">
        <v>2008</v>
      </c>
      <c r="B78" s="23">
        <v>1</v>
      </c>
      <c r="C78" s="23">
        <v>1</v>
      </c>
      <c r="D78" s="23">
        <v>0.65</v>
      </c>
      <c r="E78" s="23"/>
      <c r="F78" s="23"/>
      <c r="G78" s="23"/>
      <c r="H78" s="23">
        <v>0</v>
      </c>
      <c r="I78" s="23">
        <v>0</v>
      </c>
    </row>
    <row r="79" spans="1:9" ht="12.75">
      <c r="A79">
        <v>2009</v>
      </c>
      <c r="B79" s="23">
        <v>1</v>
      </c>
      <c r="C79" s="23">
        <v>1</v>
      </c>
      <c r="H79" s="23">
        <v>0</v>
      </c>
      <c r="I79" s="23">
        <v>0</v>
      </c>
    </row>
    <row r="81" ht="12.75">
      <c r="A81" t="s">
        <v>13</v>
      </c>
    </row>
    <row r="82" ht="12.75">
      <c r="D82" s="6" t="e">
        <f>D72*D77</f>
        <v>#REF!</v>
      </c>
    </row>
    <row r="83" spans="1:10" ht="12.75">
      <c r="A83">
        <v>2008</v>
      </c>
      <c r="B83" s="6" t="e">
        <f>B73*B78</f>
        <v>#REF!</v>
      </c>
      <c r="C83" s="6" t="e">
        <f>C73*C78</f>
        <v>#REF!</v>
      </c>
      <c r="D83" s="6" t="e">
        <f>D73*D78</f>
        <v>#REF!</v>
      </c>
      <c r="H83" s="6" t="e">
        <f>H73*H78</f>
        <v>#REF!</v>
      </c>
      <c r="I83" s="6" t="e">
        <f>I73*I78</f>
        <v>#REF!</v>
      </c>
      <c r="J83" s="6" t="e">
        <f>SUM(B83:I83)</f>
        <v>#REF!</v>
      </c>
    </row>
    <row r="84" spans="1:10" ht="12.75">
      <c r="A84">
        <v>2009</v>
      </c>
      <c r="B84" s="6" t="e">
        <f>B74*B79</f>
        <v>#REF!</v>
      </c>
      <c r="C84" s="6" t="e">
        <f>C74*C79</f>
        <v>#REF!</v>
      </c>
      <c r="H84" s="6" t="e">
        <f>H74*H79</f>
        <v>#REF!</v>
      </c>
      <c r="I84" s="6" t="e">
        <f>I74*I79</f>
        <v>#REF!</v>
      </c>
      <c r="J84" s="6" t="e">
        <f>SUM(B84:I84)</f>
        <v>#REF!</v>
      </c>
    </row>
    <row r="86" ht="12.75">
      <c r="A86" t="s">
        <v>14</v>
      </c>
    </row>
    <row r="87" ht="12.75">
      <c r="D87" s="6" t="e">
        <f>D82/$J$83*$L$73</f>
        <v>#REF!</v>
      </c>
    </row>
    <row r="88" spans="1:9" ht="12.75">
      <c r="A88">
        <v>2008</v>
      </c>
      <c r="B88" s="6" t="e">
        <f>B83/$J$83*$L$73</f>
        <v>#REF!</v>
      </c>
      <c r="C88" s="6" t="e">
        <f>C83/$J$83*$L$73</f>
        <v>#REF!</v>
      </c>
      <c r="D88" s="6" t="e">
        <f>D83/$J$84*$L$74</f>
        <v>#REF!</v>
      </c>
      <c r="H88" s="6" t="e">
        <f>H83/$J$83*$L$73</f>
        <v>#REF!</v>
      </c>
      <c r="I88" s="6" t="e">
        <f>I83/$J$83*$L$73</f>
        <v>#REF!</v>
      </c>
    </row>
    <row r="89" spans="1:9" ht="12.75">
      <c r="A89">
        <v>2009</v>
      </c>
      <c r="B89" s="6" t="e">
        <f>B84/$J$84*$L$74</f>
        <v>#REF!</v>
      </c>
      <c r="C89" s="6" t="e">
        <f>C84/$J$84*$L$74</f>
        <v>#REF!</v>
      </c>
      <c r="H89" s="6" t="e">
        <f>H84/$J$84*$L$74</f>
        <v>#REF!</v>
      </c>
      <c r="I89" s="6" t="e">
        <f>I84/$J$84*$L$74</f>
        <v>#REF!</v>
      </c>
    </row>
    <row r="91" ht="12.75">
      <c r="A91" t="s">
        <v>15</v>
      </c>
    </row>
    <row r="92" spans="4:11" ht="12.75">
      <c r="D92" s="6" t="e">
        <f>D72+D87</f>
        <v>#REF!</v>
      </c>
      <c r="K92" s="6" t="s">
        <v>16</v>
      </c>
    </row>
    <row r="93" spans="1:11" ht="12.75">
      <c r="A93">
        <v>2008</v>
      </c>
      <c r="B93" s="6" t="e">
        <f>B73+B88</f>
        <v>#REF!</v>
      </c>
      <c r="C93" s="6" t="e">
        <f>C73+C88</f>
        <v>#REF!</v>
      </c>
      <c r="D93" s="6" t="e">
        <f>D73+D88</f>
        <v>#REF!</v>
      </c>
      <c r="H93" s="6" t="e">
        <f>H73+H88</f>
        <v>#REF!</v>
      </c>
      <c r="I93" s="6" t="e">
        <f>I73+I88</f>
        <v>#REF!</v>
      </c>
      <c r="J93" s="6" t="e">
        <f>SUM(B93:I93)</f>
        <v>#REF!</v>
      </c>
      <c r="K93" s="6" t="e">
        <f>J93-K73</f>
        <v>#REF!</v>
      </c>
    </row>
    <row r="94" spans="1:11" ht="12.75">
      <c r="A94">
        <v>2009</v>
      </c>
      <c r="B94" s="6" t="e">
        <f>B74+B89</f>
        <v>#REF!</v>
      </c>
      <c r="C94" s="6" t="e">
        <f>C74+C89</f>
        <v>#REF!</v>
      </c>
      <c r="H94" s="6" t="e">
        <f>H74+H89</f>
        <v>#REF!</v>
      </c>
      <c r="I94" s="6" t="e">
        <f>I74+I89</f>
        <v>#REF!</v>
      </c>
      <c r="J94" s="6" t="e">
        <f>SUM(B94:I94)</f>
        <v>#REF!</v>
      </c>
      <c r="K94" s="6" t="e">
        <f>J94-K74</f>
        <v>#REF!</v>
      </c>
    </row>
    <row r="96" ht="12.75">
      <c r="A96" t="s">
        <v>17</v>
      </c>
    </row>
    <row r="97" spans="4:7" ht="12.75">
      <c r="D97" s="14" t="e">
        <f>(D72-D92)/D72</f>
        <v>#REF!</v>
      </c>
      <c r="E97" s="14"/>
      <c r="F97" s="14"/>
      <c r="G97" s="14"/>
    </row>
    <row r="98" spans="1:9" ht="12.75">
      <c r="A98">
        <v>2008</v>
      </c>
      <c r="B98" s="14" t="e">
        <f>(B73-B93)/B73</f>
        <v>#REF!</v>
      </c>
      <c r="C98" s="14" t="e">
        <f>(C73-C93)/C73</f>
        <v>#REF!</v>
      </c>
      <c r="D98" s="14" t="e">
        <f>(D73-D93)/D73</f>
        <v>#REF!</v>
      </c>
      <c r="E98" s="14"/>
      <c r="F98" s="14"/>
      <c r="G98" s="14"/>
      <c r="H98" s="14" t="e">
        <f>(H73-H93)/H73</f>
        <v>#REF!</v>
      </c>
      <c r="I98" s="14" t="e">
        <f>(I73-I93)/I73</f>
        <v>#REF!</v>
      </c>
    </row>
    <row r="99" spans="1:9" ht="12.75">
      <c r="A99">
        <v>2009</v>
      </c>
      <c r="B99" s="14" t="e">
        <f>(B74-B94)/B74</f>
        <v>#REF!</v>
      </c>
      <c r="C99" s="14" t="e">
        <f>(C74-C94)/C74</f>
        <v>#REF!</v>
      </c>
      <c r="H99" s="14" t="e">
        <f>(H74-H94)/H74</f>
        <v>#REF!</v>
      </c>
      <c r="I99" s="14" t="e">
        <f>(I74-I94)/I74</f>
        <v>#REF!</v>
      </c>
    </row>
  </sheetData>
  <sheetProtection/>
  <printOptions/>
  <pageMargins left="0.38" right="0.75" top="0.73" bottom="0.74" header="0.5" footer="0.5"/>
  <pageSetup fitToHeight="1" fitToWidth="1" horizontalDpi="600" verticalDpi="600" orientation="portrait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8" sqref="D18"/>
    </sheetView>
  </sheetViews>
  <sheetFormatPr defaultColWidth="9.140625" defaultRowHeight="12.75"/>
  <cols>
    <col min="1" max="1" width="11.00390625" style="0" customWidth="1"/>
    <col min="2" max="2" width="14.140625" style="6" bestFit="1" customWidth="1"/>
    <col min="3" max="3" width="17.140625" style="6" customWidth="1"/>
    <col min="4" max="4" width="18.00390625" style="6" customWidth="1"/>
    <col min="5" max="5" width="14.140625" style="6" customWidth="1"/>
    <col min="6" max="6" width="17.7109375" style="6" customWidth="1"/>
    <col min="7" max="8" width="12.7109375" style="6" bestFit="1" customWidth="1"/>
    <col min="9" max="9" width="11.7109375" style="6" bestFit="1" customWidth="1"/>
    <col min="10" max="10" width="10.7109375" style="6" bestFit="1" customWidth="1"/>
    <col min="11" max="12" width="9.140625" style="6" customWidth="1"/>
  </cols>
  <sheetData>
    <row r="1" spans="2:7" ht="42" customHeight="1">
      <c r="B1" s="88" t="s">
        <v>84</v>
      </c>
      <c r="C1" s="88" t="s">
        <v>85</v>
      </c>
      <c r="D1" s="88" t="s">
        <v>78</v>
      </c>
      <c r="E1" s="88" t="str">
        <f>'Rate Class Customer Model'!G2</f>
        <v>Streetlights </v>
      </c>
      <c r="F1" s="88" t="str">
        <f>'Rate Class Customer Model'!H2</f>
        <v>Sentinel Lights</v>
      </c>
      <c r="G1" s="6" t="s">
        <v>6</v>
      </c>
    </row>
    <row r="2" spans="1:6" ht="12.75">
      <c r="A2" s="27">
        <v>1999</v>
      </c>
      <c r="B2" s="95"/>
      <c r="C2" s="95"/>
      <c r="D2" s="95"/>
      <c r="E2" s="95"/>
      <c r="F2" s="95"/>
    </row>
    <row r="3" spans="1:6" ht="12.75">
      <c r="A3" s="27">
        <v>2000</v>
      </c>
      <c r="B3" s="95"/>
      <c r="C3" s="95"/>
      <c r="D3" s="95"/>
      <c r="E3" s="95"/>
      <c r="F3" s="95"/>
    </row>
    <row r="4" spans="1:7" ht="12.75">
      <c r="A4" s="27">
        <v>2001</v>
      </c>
      <c r="B4" s="96">
        <v>413565</v>
      </c>
      <c r="C4" s="96">
        <v>255515</v>
      </c>
      <c r="D4" s="96">
        <v>105657</v>
      </c>
      <c r="E4" s="96">
        <v>8091</v>
      </c>
      <c r="F4" s="96">
        <v>535</v>
      </c>
      <c r="G4" s="6">
        <f aca="true" t="shared" si="0" ref="G4:G19">SUM(B4:F4)</f>
        <v>783363</v>
      </c>
    </row>
    <row r="5" spans="1:7" ht="12.75">
      <c r="A5" s="27">
        <v>2002</v>
      </c>
      <c r="B5" s="96">
        <v>415618</v>
      </c>
      <c r="C5" s="96">
        <v>286432</v>
      </c>
      <c r="D5" s="96">
        <v>125800</v>
      </c>
      <c r="E5" s="97">
        <v>9249</v>
      </c>
      <c r="F5" s="97">
        <v>539</v>
      </c>
      <c r="G5" s="6">
        <f t="shared" si="0"/>
        <v>837638</v>
      </c>
    </row>
    <row r="6" spans="1:7" ht="12.75">
      <c r="A6" s="27">
        <v>2003</v>
      </c>
      <c r="B6" s="96">
        <v>409870</v>
      </c>
      <c r="C6" s="96">
        <v>271068</v>
      </c>
      <c r="D6" s="96">
        <v>164458</v>
      </c>
      <c r="E6" s="97">
        <v>9813</v>
      </c>
      <c r="F6" s="97">
        <v>533</v>
      </c>
      <c r="G6" s="6">
        <f t="shared" si="0"/>
        <v>855742</v>
      </c>
    </row>
    <row r="7" spans="1:7" ht="12.75">
      <c r="A7" s="27">
        <v>2004</v>
      </c>
      <c r="B7" s="96">
        <v>420450</v>
      </c>
      <c r="C7" s="96">
        <v>230160</v>
      </c>
      <c r="D7" s="96">
        <v>186557</v>
      </c>
      <c r="E7" s="97">
        <v>10170</v>
      </c>
      <c r="F7" s="97">
        <v>531</v>
      </c>
      <c r="G7" s="6">
        <f t="shared" si="0"/>
        <v>847868</v>
      </c>
    </row>
    <row r="8" spans="1:7" ht="12.75">
      <c r="A8" s="27">
        <v>2005</v>
      </c>
      <c r="B8" s="96">
        <v>441283.36999999994</v>
      </c>
      <c r="C8" s="96">
        <v>247850.98000000007</v>
      </c>
      <c r="D8" s="96">
        <v>184313.3</v>
      </c>
      <c r="E8" s="97">
        <v>11151.39</v>
      </c>
      <c r="F8" s="97">
        <v>512.0970873786407</v>
      </c>
      <c r="G8" s="6">
        <f t="shared" si="0"/>
        <v>885111.1370873785</v>
      </c>
    </row>
    <row r="9" spans="1:7" ht="12.75">
      <c r="A9" s="27">
        <v>2006</v>
      </c>
      <c r="B9" s="96">
        <v>436353.45000000007</v>
      </c>
      <c r="C9" s="96">
        <v>241018.28000000003</v>
      </c>
      <c r="D9" s="96">
        <v>187387.38999999998</v>
      </c>
      <c r="E9" s="97">
        <v>11810.400000000005</v>
      </c>
      <c r="F9" s="97">
        <v>506.94174757281553</v>
      </c>
      <c r="G9" s="6">
        <f t="shared" si="0"/>
        <v>877076.461747573</v>
      </c>
    </row>
    <row r="10" spans="1:7" ht="12.75">
      <c r="A10" s="27">
        <v>2007</v>
      </c>
      <c r="B10" s="96">
        <v>456774.85999999964</v>
      </c>
      <c r="C10" s="96">
        <v>258604.60999999996</v>
      </c>
      <c r="D10" s="96">
        <v>187645.52</v>
      </c>
      <c r="E10" s="97">
        <v>12737.500000000004</v>
      </c>
      <c r="F10" s="97">
        <v>498.34951456310677</v>
      </c>
      <c r="G10" s="6">
        <f t="shared" si="0"/>
        <v>916260.8395145627</v>
      </c>
    </row>
    <row r="11" spans="1:7" ht="12.75">
      <c r="A11" s="27">
        <v>2008</v>
      </c>
      <c r="B11" s="97">
        <v>475949.8800000002</v>
      </c>
      <c r="C11" s="97">
        <v>266354.63000000006</v>
      </c>
      <c r="D11" s="97">
        <v>187386.68</v>
      </c>
      <c r="E11" s="97">
        <v>13799.250000000002</v>
      </c>
      <c r="F11" s="97">
        <v>494.9126213592233</v>
      </c>
      <c r="G11" s="6">
        <f t="shared" si="0"/>
        <v>943985.3526213594</v>
      </c>
    </row>
    <row r="12" spans="1:7" ht="12.75">
      <c r="A12" s="27">
        <v>2009</v>
      </c>
      <c r="B12" s="97">
        <v>494157.0800000001</v>
      </c>
      <c r="C12" s="97">
        <v>260952.47999999995</v>
      </c>
      <c r="D12" s="97">
        <v>154281.77</v>
      </c>
      <c r="E12" s="97">
        <v>15174.12</v>
      </c>
      <c r="F12" s="97">
        <v>479.44660194174753</v>
      </c>
      <c r="G12" s="6">
        <f t="shared" si="0"/>
        <v>925044.8966019418</v>
      </c>
    </row>
    <row r="13" spans="1:7" ht="12.75">
      <c r="A13" s="27">
        <v>2010</v>
      </c>
      <c r="B13" s="97">
        <v>502595</v>
      </c>
      <c r="C13" s="97">
        <v>243580</v>
      </c>
      <c r="D13" s="97">
        <v>174023</v>
      </c>
      <c r="E13" s="97">
        <v>16892</v>
      </c>
      <c r="F13" s="97">
        <v>441.14166666666665</v>
      </c>
      <c r="G13" s="6">
        <f t="shared" si="0"/>
        <v>937531.1416666667</v>
      </c>
    </row>
    <row r="14" spans="1:7" ht="12.75">
      <c r="A14" s="27">
        <v>2011</v>
      </c>
      <c r="B14" s="97">
        <v>503231</v>
      </c>
      <c r="C14" s="97">
        <v>260972</v>
      </c>
      <c r="D14" s="97">
        <v>175385</v>
      </c>
      <c r="E14" s="97">
        <v>17894</v>
      </c>
      <c r="F14" s="97">
        <v>439.1166666666667</v>
      </c>
      <c r="G14" s="6">
        <f t="shared" si="0"/>
        <v>957921.1166666667</v>
      </c>
    </row>
    <row r="15" spans="1:7" ht="12.75">
      <c r="A15" s="101">
        <v>2012</v>
      </c>
      <c r="B15" s="97">
        <v>520812.31</v>
      </c>
      <c r="C15" s="97">
        <v>287183</v>
      </c>
      <c r="D15" s="97">
        <v>179954</v>
      </c>
      <c r="E15" s="97">
        <v>19000</v>
      </c>
      <c r="F15" s="97">
        <v>412.7016666666666</v>
      </c>
      <c r="G15" s="6">
        <f t="shared" si="0"/>
        <v>1007362.0116666667</v>
      </c>
    </row>
    <row r="16" spans="1:7" ht="12.75">
      <c r="A16" s="101">
        <v>2013</v>
      </c>
      <c r="B16" s="97">
        <v>541769.58</v>
      </c>
      <c r="C16" s="129">
        <v>232734.3</v>
      </c>
      <c r="D16" s="129">
        <v>246682.37</v>
      </c>
      <c r="E16" s="97">
        <v>19747.59</v>
      </c>
      <c r="F16" s="97">
        <v>425.3437222222222</v>
      </c>
      <c r="G16" s="6">
        <f t="shared" si="0"/>
        <v>1041359.1837222221</v>
      </c>
    </row>
    <row r="17" spans="1:7" ht="12.75">
      <c r="A17" s="101">
        <v>2014</v>
      </c>
      <c r="B17" s="97">
        <v>537015.85</v>
      </c>
      <c r="C17" s="97">
        <v>242503.52999999997</v>
      </c>
      <c r="D17" s="97">
        <v>253601.38999999998</v>
      </c>
      <c r="E17" s="97">
        <v>20172.63</v>
      </c>
      <c r="F17" s="97">
        <v>419.4527777777778</v>
      </c>
      <c r="G17" s="6">
        <f t="shared" si="0"/>
        <v>1053712.8527777777</v>
      </c>
    </row>
    <row r="18" spans="1:7" ht="12.75">
      <c r="A18" s="101">
        <v>2015</v>
      </c>
      <c r="B18" s="145">
        <f>+'Rate Class Energy Model'!J76*'Rate Class Load Model'!B40</f>
        <v>543820.8513088914</v>
      </c>
      <c r="C18" s="145">
        <f>+'Rate Class Energy Model'!K76*'Rate Class Load Model'!C40</f>
        <v>238557.97632951225</v>
      </c>
      <c r="D18" s="145">
        <f>+'Rate Class Energy Model'!L76*'Rate Class Load Model'!D40</f>
        <v>260223.44518110462</v>
      </c>
      <c r="E18" s="145">
        <f>+'Rate Class Energy Model'!M76*'Rate Class Load Model'!E40</f>
        <v>21754.490256975914</v>
      </c>
      <c r="F18" s="145">
        <f>+'Rate Class Energy Model'!N76*'Rate Class Load Model'!F40</f>
        <v>411.1334123903725</v>
      </c>
      <c r="G18" s="6">
        <f t="shared" si="0"/>
        <v>1064767.8964888747</v>
      </c>
    </row>
    <row r="19" spans="1:7" ht="12.75">
      <c r="A19" s="101">
        <v>2016</v>
      </c>
      <c r="B19" s="145">
        <f>+'Rate Class Energy Model'!J77*'Rate Class Load Model'!B40</f>
        <v>555651.2834828242</v>
      </c>
      <c r="C19" s="145">
        <f>+'Rate Class Energy Model'!K77*'Rate Class Load Model'!C40</f>
        <v>245808.10482149263</v>
      </c>
      <c r="D19" s="145">
        <f>+'Rate Class Energy Model'!L77*'Rate Class Load Model'!D40</f>
        <v>260162.16410264492</v>
      </c>
      <c r="E19" s="145">
        <f>+'Rate Class Energy Model'!M77*'Rate Class Load Model'!E40</f>
        <v>23290.88953547914</v>
      </c>
      <c r="F19" s="145">
        <f>+'Rate Class Energy Model'!N77*'Rate Class Load Model'!F40</f>
        <v>403.86488874638457</v>
      </c>
      <c r="G19" s="6">
        <f t="shared" si="0"/>
        <v>1085316.3068311873</v>
      </c>
    </row>
    <row r="20" spans="1:6" ht="12.75">
      <c r="A20" s="101"/>
      <c r="B20" s="123"/>
      <c r="C20" s="123"/>
      <c r="D20" s="123"/>
      <c r="E20" s="123"/>
      <c r="F20" s="123"/>
    </row>
    <row r="21" spans="1:6" ht="12.75">
      <c r="A21" s="18"/>
      <c r="D21" s="128" t="s">
        <v>116</v>
      </c>
      <c r="E21" s="126"/>
      <c r="F21" s="126"/>
    </row>
    <row r="22" spans="1:6" ht="12.75">
      <c r="A22" s="17" t="s">
        <v>67</v>
      </c>
      <c r="B22" s="5"/>
      <c r="C22" s="5"/>
      <c r="D22" s="5"/>
      <c r="E22" s="5"/>
      <c r="F22" s="5"/>
    </row>
    <row r="23" spans="1:6" ht="12.75">
      <c r="A23" s="4">
        <v>1999</v>
      </c>
      <c r="B23" s="25"/>
      <c r="C23" s="25"/>
      <c r="D23" s="25"/>
      <c r="E23" s="25"/>
      <c r="F23" s="25"/>
    </row>
    <row r="24" spans="1:6" ht="12.75">
      <c r="A24" s="4">
        <v>2000</v>
      </c>
      <c r="B24" s="25"/>
      <c r="C24" s="25"/>
      <c r="D24" s="25"/>
      <c r="E24" s="25"/>
      <c r="F24" s="25"/>
    </row>
    <row r="25" spans="1:6" ht="12.75">
      <c r="A25" s="4">
        <v>2001</v>
      </c>
      <c r="B25" s="25">
        <f>+B4/'Rate Class Energy Model'!J6</f>
        <v>0.0028494479773956095</v>
      </c>
      <c r="C25" s="25">
        <f>+C4/'Rate Class Energy Model'!K6</f>
        <v>0.001872809927299957</v>
      </c>
      <c r="D25" s="25">
        <f>+D4/'Rate Class Energy Model'!L6</f>
        <v>0.0022530325121955666</v>
      </c>
      <c r="E25" s="25">
        <f>+E4/'Rate Class Energy Model'!M6</f>
        <v>0.002780045519766464</v>
      </c>
      <c r="F25" s="25">
        <f>+F4/'Rate Class Energy Model'!N6</f>
        <v>0.002758642026235459</v>
      </c>
    </row>
    <row r="26" spans="1:6" ht="12.75">
      <c r="A26" s="4">
        <v>2002</v>
      </c>
      <c r="B26" s="25">
        <f>+B5/'Rate Class Energy Model'!J7</f>
        <v>0.002808945241173641</v>
      </c>
      <c r="C26" s="25">
        <f>+C5/'Rate Class Energy Model'!K7</f>
        <v>0.002016756113645988</v>
      </c>
      <c r="D26" s="25">
        <f>+D5/'Rate Class Energy Model'!L7</f>
        <v>0.002101117334137211</v>
      </c>
      <c r="E26" s="25">
        <f>+E5/'Rate Class Energy Model'!M7</f>
        <v>0.0030125338213840068</v>
      </c>
      <c r="F26" s="25">
        <f>+F5/'Rate Class Energy Model'!N7</f>
        <v>0.002779267387179276</v>
      </c>
    </row>
    <row r="27" spans="1:6" ht="12.75">
      <c r="A27" s="4">
        <v>2003</v>
      </c>
      <c r="B27" s="25">
        <f>+B6/'Rate Class Energy Model'!J8</f>
        <v>0.002768206427225884</v>
      </c>
      <c r="C27" s="25">
        <f>+C6/'Rate Class Energy Model'!K8</f>
        <v>0.0019286770990653871</v>
      </c>
      <c r="D27" s="25">
        <f>+D6/'Rate Class Energy Model'!L8</f>
        <v>0.002238831031647578</v>
      </c>
      <c r="E27" s="25">
        <f>+E6/'Rate Class Energy Model'!M8</f>
        <v>0.0028133568654164385</v>
      </c>
      <c r="F27" s="25">
        <f>+F6/'Rate Class Energy Model'!N8</f>
        <v>0.002775926003083205</v>
      </c>
    </row>
    <row r="28" spans="1:6" ht="12.75">
      <c r="A28" s="4">
        <v>2004</v>
      </c>
      <c r="B28" s="25">
        <f>+B7/'Rate Class Energy Model'!J9</f>
        <v>0.0026955701149615724</v>
      </c>
      <c r="C28" s="25">
        <f>+C7/'Rate Class Energy Model'!K9</f>
        <v>0.002007054959800953</v>
      </c>
      <c r="D28" s="25">
        <f>+D7/'Rate Class Energy Model'!L9</f>
        <v>0.0022353454780842242</v>
      </c>
      <c r="E28" s="25">
        <f>+E7/'Rate Class Energy Model'!M9</f>
        <v>0.002785882342628465</v>
      </c>
      <c r="F28" s="25">
        <f>+F7/'Rate Class Energy Model'!N9</f>
        <v>0.00277603513174404</v>
      </c>
    </row>
    <row r="29" spans="1:6" ht="12.75">
      <c r="A29" s="4">
        <v>2005</v>
      </c>
      <c r="B29" s="25">
        <f>+B8/'Rate Class Energy Model'!J10</f>
        <v>0.0026864951422670034</v>
      </c>
      <c r="C29" s="25">
        <f>+C8/'Rate Class Energy Model'!K10</f>
        <v>0.002073135118114882</v>
      </c>
      <c r="D29" s="25">
        <f>+D8/'Rate Class Energy Model'!L10</f>
        <v>0.0020561232464793556</v>
      </c>
      <c r="E29" s="25">
        <f>+E8/'Rate Class Energy Model'!M10</f>
        <v>0.0028148547576781445</v>
      </c>
      <c r="F29" s="25">
        <f>+F8/'Rate Class Energy Model'!N10</f>
        <v>0.002776180804498734</v>
      </c>
    </row>
    <row r="30" spans="1:6" ht="12.75">
      <c r="A30" s="4">
        <v>2006</v>
      </c>
      <c r="B30" s="25">
        <f>+B9/'Rate Class Energy Model'!J11</f>
        <v>0.0026396089344919195</v>
      </c>
      <c r="C30" s="25">
        <f>+C9/'Rate Class Energy Model'!K11</f>
        <v>0.002077334334908759</v>
      </c>
      <c r="D30" s="25">
        <f>+D9/'Rate Class Energy Model'!L11</f>
        <v>0.0020728783458903114</v>
      </c>
      <c r="E30" s="25">
        <f>+E9/'Rate Class Energy Model'!M11</f>
        <v>0.0027901537867450112</v>
      </c>
      <c r="F30" s="25">
        <f>+F9/'Rate Class Energy Model'!N11</f>
        <v>0.0028036952612261125</v>
      </c>
    </row>
    <row r="31" spans="1:6" ht="12.75">
      <c r="A31" s="4">
        <v>2007</v>
      </c>
      <c r="B31" s="25">
        <f>+B10/'Rate Class Energy Model'!J12</f>
        <v>0.002650506042780595</v>
      </c>
      <c r="C31" s="25">
        <f>+C10/'Rate Class Energy Model'!K12</f>
        <v>0.0021041708268730833</v>
      </c>
      <c r="D31" s="25">
        <f>+D10/'Rate Class Energy Model'!L12</f>
        <v>0.0020442578329972244</v>
      </c>
      <c r="E31" s="25">
        <f>+E10/'Rate Class Energy Model'!M12</f>
        <v>0.002789565463666242</v>
      </c>
      <c r="F31" s="25">
        <f>+F10/'Rate Class Energy Model'!N12</f>
        <v>0.002794732956868522</v>
      </c>
    </row>
    <row r="32" spans="1:6" ht="12.75">
      <c r="A32" s="4">
        <v>2008</v>
      </c>
      <c r="B32" s="25">
        <f>+B11/'Rate Class Energy Model'!J13</f>
        <v>0.0026303168716224523</v>
      </c>
      <c r="C32" s="25">
        <f>+C11/'Rate Class Energy Model'!K13</f>
        <v>0.0021315774045628537</v>
      </c>
      <c r="D32" s="25">
        <f>+D11/'Rate Class Energy Model'!L13</f>
        <v>0.0022508014138175846</v>
      </c>
      <c r="E32" s="25">
        <f>+E11/'Rate Class Energy Model'!M13</f>
        <v>0.0027821019749421005</v>
      </c>
      <c r="F32" s="25">
        <f>+F11/'Rate Class Energy Model'!N13</f>
        <v>0.0028028338048544797</v>
      </c>
    </row>
    <row r="33" spans="1:6" ht="12.75">
      <c r="A33" s="4">
        <v>2009</v>
      </c>
      <c r="B33" s="25">
        <f>+B12/'Rate Class Energy Model'!J14</f>
        <v>0.002677512747172708</v>
      </c>
      <c r="C33" s="25">
        <f>+C12/'Rate Class Energy Model'!K14</f>
        <v>0.0022235639743993043</v>
      </c>
      <c r="D33" s="25">
        <f>+D12/'Rate Class Energy Model'!L14</f>
        <v>0.0025605183461621934</v>
      </c>
      <c r="E33" s="25">
        <f>+E12/'Rate Class Energy Model'!M14</f>
        <v>0.0027901900063546843</v>
      </c>
      <c r="F33" s="25">
        <f>+F12/'Rate Class Energy Model'!N14</f>
        <v>0.002776392751677186</v>
      </c>
    </row>
    <row r="34" spans="1:6" ht="12.75">
      <c r="A34" s="4">
        <v>2010</v>
      </c>
      <c r="B34" s="25">
        <f>+B13/'Rate Class Energy Model'!J15</f>
        <v>0.0026094290492130047</v>
      </c>
      <c r="C34" s="25">
        <f>+C13/'Rate Class Energy Model'!K15</f>
        <v>0.0022015396126809994</v>
      </c>
      <c r="D34" s="25">
        <f>+D13/'Rate Class Energy Model'!L15</f>
        <v>0.0022796970647605557</v>
      </c>
      <c r="E34" s="25">
        <f>+E13/'Rate Class Energy Model'!M15</f>
        <v>0.002789337350771731</v>
      </c>
      <c r="F34" s="25">
        <f>+F13/'Rate Class Energy Model'!N15</f>
        <v>0.002777777777777778</v>
      </c>
    </row>
    <row r="35" spans="1:6" ht="12.75">
      <c r="A35" s="4">
        <v>2011</v>
      </c>
      <c r="B35" s="25">
        <f>+B14/'Rate Class Energy Model'!J16</f>
        <v>0.0026103525778080933</v>
      </c>
      <c r="C35" s="25">
        <f>+C14/'Rate Class Energy Model'!K16</f>
        <v>0.0021495544175129827</v>
      </c>
      <c r="D35" s="25">
        <f>+D14/'Rate Class Energy Model'!L16</f>
        <v>0.002183128786711162</v>
      </c>
      <c r="E35" s="25">
        <f>+E14/'Rate Class Energy Model'!M16</f>
        <v>0.0027878718382878536</v>
      </c>
      <c r="F35" s="25">
        <f>+F14/'Rate Class Energy Model'!N16</f>
        <v>0.002777777777777778</v>
      </c>
    </row>
    <row r="36" spans="1:6" ht="12.75">
      <c r="A36" s="4">
        <v>2012</v>
      </c>
      <c r="B36" s="25">
        <f>+B15/'Rate Class Energy Model'!J17</f>
        <v>0.002681743990475724</v>
      </c>
      <c r="C36" s="25">
        <f>+C15/'Rate Class Energy Model'!K17</f>
        <v>0.0022265725830308176</v>
      </c>
      <c r="D36" s="25">
        <f>+D15/'Rate Class Energy Model'!L17</f>
        <v>0.0020790800944596537</v>
      </c>
      <c r="E36" s="25">
        <f>+E15/'Rate Class Energy Model'!M17</f>
        <v>0.002779833798126421</v>
      </c>
      <c r="F36" s="25">
        <f>+F15/'Rate Class Energy Model'!N17</f>
        <v>0.002648851548526781</v>
      </c>
    </row>
    <row r="37" spans="1:6" ht="12.75">
      <c r="A37" s="4">
        <v>2013</v>
      </c>
      <c r="B37" s="25">
        <f>+B16/'Rate Class Energy Model'!J18</f>
        <v>0.00266645643087339</v>
      </c>
      <c r="C37" s="25">
        <f>+C16/'Rate Class Energy Model'!K18</f>
        <v>0.0023122517819095557</v>
      </c>
      <c r="D37" s="25">
        <f>+D16/'Rate Class Energy Model'!L18</f>
        <v>0.0019282392068658341</v>
      </c>
      <c r="E37" s="25">
        <f>+E16/'Rate Class Energy Model'!M18</f>
        <v>0.0027900647957117366</v>
      </c>
      <c r="F37" s="25">
        <f>+F16/'Rate Class Energy Model'!N18</f>
        <v>0.002777777777777778</v>
      </c>
    </row>
    <row r="38" spans="1:6" ht="12.75">
      <c r="A38" s="4">
        <v>2014</v>
      </c>
      <c r="B38" s="25">
        <f>+B17/'Rate Class Energy Model'!J19</f>
        <v>0.0026205524728064667</v>
      </c>
      <c r="C38" s="25">
        <f>+C17/'Rate Class Energy Model'!K19</f>
        <v>0.002196367346208991</v>
      </c>
      <c r="D38" s="25">
        <f>+D17/'Rate Class Energy Model'!L19</f>
        <v>0.0019006623753635842</v>
      </c>
      <c r="E38" s="25">
        <f>+E17/'Rate Class Energy Model'!M19</f>
        <v>0.002786300142549222</v>
      </c>
      <c r="F38" s="25">
        <f>+F17/'Rate Class Energy Model'!N19</f>
        <v>0.0027777838483106143</v>
      </c>
    </row>
    <row r="39" spans="2:6" ht="12.75">
      <c r="B39" s="25"/>
      <c r="C39" s="25"/>
      <c r="D39" s="25"/>
      <c r="E39" s="25"/>
      <c r="F39" s="25"/>
    </row>
    <row r="40" spans="1:6" ht="12.75">
      <c r="A40" t="s">
        <v>9</v>
      </c>
      <c r="B40" s="25">
        <f>AVERAGE(B25:B38)</f>
        <v>0.002685367430019147</v>
      </c>
      <c r="C40" s="25">
        <f>AVERAGE(C25:C38)</f>
        <v>0.002108668964286751</v>
      </c>
      <c r="D40" s="25">
        <f>AVERAGE(D37:D38)</f>
        <v>0.0019144507911147092</v>
      </c>
      <c r="E40" s="25">
        <f>AVERAGE(E25:E38)</f>
        <v>0.002806578033144894</v>
      </c>
      <c r="F40" s="25">
        <f>AVERAGE(F25:F38)</f>
        <v>0.0027716910612526962</v>
      </c>
    </row>
    <row r="42" ht="12.75">
      <c r="D42" s="236" t="s">
        <v>146</v>
      </c>
    </row>
    <row r="43" ht="12.75">
      <c r="D43" s="236"/>
    </row>
    <row r="47" spans="2:6" ht="12.75">
      <c r="B47" s="23"/>
      <c r="C47" s="23"/>
      <c r="D47" s="23"/>
      <c r="E47" s="23"/>
      <c r="F47" s="23"/>
    </row>
    <row r="48" spans="2:6" ht="12.75">
      <c r="B48" s="23"/>
      <c r="C48" s="23"/>
      <c r="D48" s="23"/>
      <c r="E48" s="23"/>
      <c r="F48" s="23"/>
    </row>
    <row r="67" spans="2:6" ht="12.75">
      <c r="B67" s="14"/>
      <c r="C67" s="14"/>
      <c r="D67" s="14"/>
      <c r="E67" s="14"/>
      <c r="F67" s="14"/>
    </row>
    <row r="68" spans="2:6" ht="12.75">
      <c r="B68" s="14"/>
      <c r="C68" s="14"/>
      <c r="D68" s="14"/>
      <c r="E68" s="14"/>
      <c r="F68" s="14"/>
    </row>
  </sheetData>
  <sheetProtection/>
  <mergeCells count="1">
    <mergeCell ref="D42:D43"/>
  </mergeCells>
  <printOptions/>
  <pageMargins left="0.38" right="0.75" top="0.73" bottom="0.74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Cameron McKenzie</cp:lastModifiedBy>
  <cp:lastPrinted>2016-01-23T12:56:34Z</cp:lastPrinted>
  <dcterms:created xsi:type="dcterms:W3CDTF">2008-02-06T18:24:44Z</dcterms:created>
  <dcterms:modified xsi:type="dcterms:W3CDTF">2016-02-09T16:29:52Z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