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715" yWindow="315" windowWidth="11745" windowHeight="7140" tabRatio="832" activeTab="1"/>
  </bookViews>
  <sheets>
    <sheet name="Table" sheetId="1" r:id="rId1"/>
    <sheet name="ResidentialRPP" sheetId="2" r:id="rId2"/>
    <sheet name="Residential 10th " sheetId="17" r:id="rId3"/>
    <sheet name="GS &lt;50RPP" sheetId="3" r:id="rId4"/>
    <sheet name="GS 50-2999RPP" sheetId="4" r:id="rId5"/>
    <sheet name="GS3000-4999RPP" sheetId="5" r:id="rId6"/>
    <sheet name="UMSLRPP" sheetId="6" r:id="rId7"/>
    <sheet name="Sentinel LightsRPP" sheetId="7" r:id="rId8"/>
    <sheet name="Street LightingRPP" sheetId="8" r:id="rId9"/>
    <sheet name="ResidentialNonRPP" sheetId="10" r:id="rId10"/>
    <sheet name="ResidentialNonRPP 10th" sheetId="18" r:id="rId11"/>
    <sheet name="GS &lt;50NonRPP" sheetId="11" r:id="rId12"/>
    <sheet name="GS 50-2999NonRPP" sheetId="12" r:id="rId13"/>
    <sheet name="GS3000-4999NonRPP" sheetId="13" r:id="rId14"/>
    <sheet name="UMSLNonRPP" sheetId="14" r:id="rId15"/>
    <sheet name="Sentinel LightsNonRPP" sheetId="15" r:id="rId16"/>
    <sheet name="Street LightingNonRPP" sheetId="16" r:id="rId17"/>
  </sheets>
  <externalReferences>
    <externalReference r:id="rId18"/>
  </externalReferences>
  <definedNames>
    <definedName name="_xlnm.Print_Area" localSheetId="2">'Residential 10th '!$A$1:$N$43</definedName>
    <definedName name="_xlnm.Print_Area" localSheetId="10">'ResidentialNonRPP 10th'!$A$1:$N$43</definedName>
    <definedName name="rateclasses">[1]hidden1!$A$1:$A$22</definedName>
  </definedNames>
  <calcPr calcId="145621"/>
</workbook>
</file>

<file path=xl/calcChain.xml><?xml version="1.0" encoding="utf-8"?>
<calcChain xmlns="http://schemas.openxmlformats.org/spreadsheetml/2006/main">
  <c r="I17" i="12" l="1"/>
  <c r="I17" i="4"/>
  <c r="F34" i="18" l="1"/>
  <c r="I25" i="16" l="1"/>
  <c r="I24" i="16"/>
  <c r="I25" i="15"/>
  <c r="I24" i="15"/>
  <c r="I17" i="15"/>
  <c r="I19" i="15"/>
  <c r="I25" i="14"/>
  <c r="I24" i="14"/>
  <c r="I26" i="11"/>
  <c r="I25" i="11"/>
  <c r="I18" i="11"/>
  <c r="I26" i="18"/>
  <c r="I27" i="10"/>
  <c r="I27" i="18" s="1"/>
  <c r="I26" i="10"/>
  <c r="I19" i="10"/>
  <c r="I19" i="18" s="1"/>
  <c r="I27" i="17"/>
  <c r="I26" i="17"/>
  <c r="I19" i="17"/>
  <c r="I16" i="17"/>
  <c r="G32" i="5" l="1"/>
  <c r="J32" i="5"/>
  <c r="K32" i="5" s="1"/>
  <c r="M32" i="5" s="1"/>
  <c r="N32" i="5" s="1"/>
  <c r="J33" i="2" l="1"/>
  <c r="K33" i="2" s="1"/>
  <c r="M33" i="2" s="1"/>
  <c r="N33" i="2" s="1"/>
  <c r="F33" i="2"/>
  <c r="G33" i="2" s="1"/>
  <c r="I20" i="12" l="1"/>
  <c r="I21" i="11"/>
  <c r="I22" i="18"/>
  <c r="I22" i="10"/>
  <c r="I20" i="4"/>
  <c r="I21" i="3"/>
  <c r="I22" i="17"/>
  <c r="I22" i="2"/>
  <c r="I25" i="12" l="1"/>
  <c r="I24" i="12"/>
  <c r="I19" i="4"/>
  <c r="D18" i="1" l="1"/>
  <c r="B21" i="1"/>
  <c r="B9" i="1"/>
  <c r="C6" i="1"/>
  <c r="C18" i="1" s="1"/>
  <c r="J21" i="18"/>
  <c r="K21" i="18" s="1"/>
  <c r="G34" i="18"/>
  <c r="F21" i="18"/>
  <c r="G16" i="18"/>
  <c r="F15" i="18"/>
  <c r="J15" i="18" s="1"/>
  <c r="E9" i="18"/>
  <c r="E14" i="18"/>
  <c r="F14" i="18"/>
  <c r="I14" i="18"/>
  <c r="K14" i="18" s="1"/>
  <c r="J14" i="18"/>
  <c r="E15" i="18"/>
  <c r="I15" i="18"/>
  <c r="I16" i="18"/>
  <c r="K16" i="18" s="1"/>
  <c r="E17" i="18"/>
  <c r="G17" i="18" s="1"/>
  <c r="K17" i="18"/>
  <c r="E18" i="18"/>
  <c r="G18" i="18" s="1"/>
  <c r="K18" i="18"/>
  <c r="E19" i="18"/>
  <c r="G21" i="18"/>
  <c r="G24" i="18"/>
  <c r="K24" i="18"/>
  <c r="M24" i="18" s="1"/>
  <c r="N24" i="18" s="1"/>
  <c r="E29" i="18"/>
  <c r="I29" i="18" s="1"/>
  <c r="E30" i="18"/>
  <c r="I30" i="18"/>
  <c r="E31" i="18"/>
  <c r="G31" i="18" s="1"/>
  <c r="I34" i="18"/>
  <c r="I35" i="18"/>
  <c r="G36" i="18"/>
  <c r="K36" i="18"/>
  <c r="J34" i="17"/>
  <c r="K34" i="17" s="1"/>
  <c r="J21" i="17"/>
  <c r="K21" i="17" s="1"/>
  <c r="J19" i="17"/>
  <c r="K19" i="17" s="1"/>
  <c r="J15" i="17"/>
  <c r="K15" i="17" s="1"/>
  <c r="F36" i="17"/>
  <c r="G36" i="17" s="1"/>
  <c r="F35" i="17"/>
  <c r="J35" i="17" s="1"/>
  <c r="K35" i="17" s="1"/>
  <c r="F34" i="17"/>
  <c r="F26" i="17"/>
  <c r="G26" i="17" s="1"/>
  <c r="F23" i="17"/>
  <c r="J23" i="17" s="1"/>
  <c r="K23" i="17" s="1"/>
  <c r="F22" i="17"/>
  <c r="J22" i="17" s="1"/>
  <c r="K22" i="17" s="1"/>
  <c r="F21" i="17"/>
  <c r="G21" i="17" s="1"/>
  <c r="F19" i="17"/>
  <c r="G19" i="17" s="1"/>
  <c r="F15" i="17"/>
  <c r="G15" i="17" s="1"/>
  <c r="G35" i="17"/>
  <c r="G34" i="17"/>
  <c r="K31" i="17"/>
  <c r="G31" i="17"/>
  <c r="M24" i="17"/>
  <c r="N24" i="17" s="1"/>
  <c r="K24" i="17"/>
  <c r="G24" i="17"/>
  <c r="G22" i="17"/>
  <c r="K18" i="17"/>
  <c r="M18" i="17" s="1"/>
  <c r="N18" i="17" s="1"/>
  <c r="G18" i="17"/>
  <c r="K17" i="17"/>
  <c r="G17" i="17"/>
  <c r="K16" i="17"/>
  <c r="M16" i="17" s="1"/>
  <c r="N16" i="17" s="1"/>
  <c r="K14" i="17"/>
  <c r="M14" i="17" s="1"/>
  <c r="N14" i="17" s="1"/>
  <c r="G14" i="17"/>
  <c r="E9" i="17"/>
  <c r="E20" i="8"/>
  <c r="E20" i="7"/>
  <c r="I20" i="16"/>
  <c r="I20" i="15"/>
  <c r="I20" i="14"/>
  <c r="I15" i="11"/>
  <c r="I14" i="11"/>
  <c r="G16" i="11"/>
  <c r="E31" i="10"/>
  <c r="I31" i="10" s="1"/>
  <c r="E30" i="10"/>
  <c r="I30" i="10" s="1"/>
  <c r="E29" i="10"/>
  <c r="I29" i="10" s="1"/>
  <c r="E19" i="10"/>
  <c r="E18" i="10"/>
  <c r="G18" i="10" s="1"/>
  <c r="E17" i="10"/>
  <c r="G17" i="10" s="1"/>
  <c r="I16" i="10"/>
  <c r="F28" i="5"/>
  <c r="F31" i="5" s="1"/>
  <c r="G31" i="5" s="1"/>
  <c r="F27" i="5"/>
  <c r="J28" i="5"/>
  <c r="J31" i="5" s="1"/>
  <c r="K31" i="5" s="1"/>
  <c r="M31" i="5" s="1"/>
  <c r="N31" i="5" s="1"/>
  <c r="G17" i="3"/>
  <c r="K16" i="2"/>
  <c r="M16" i="2" s="1"/>
  <c r="N16" i="2" s="1"/>
  <c r="G18" i="2"/>
  <c r="G17" i="2"/>
  <c r="F35" i="18" l="1"/>
  <c r="J34" i="18"/>
  <c r="K34" i="18" s="1"/>
  <c r="M34" i="18" s="1"/>
  <c r="N34" i="18" s="1"/>
  <c r="M36" i="18"/>
  <c r="N36" i="18" s="1"/>
  <c r="G23" i="17"/>
  <c r="F27" i="17"/>
  <c r="J36" i="17"/>
  <c r="K36" i="17" s="1"/>
  <c r="M36" i="17" s="1"/>
  <c r="N36" i="17" s="1"/>
  <c r="M17" i="17"/>
  <c r="N17" i="17" s="1"/>
  <c r="J26" i="17"/>
  <c r="K26" i="17" s="1"/>
  <c r="M26" i="17" s="1"/>
  <c r="N26" i="17" s="1"/>
  <c r="M31" i="17"/>
  <c r="N31" i="17" s="1"/>
  <c r="M18" i="18"/>
  <c r="N18" i="18" s="1"/>
  <c r="M17" i="18"/>
  <c r="N17" i="18" s="1"/>
  <c r="K15" i="18"/>
  <c r="G14" i="18"/>
  <c r="M14" i="18" s="1"/>
  <c r="N14" i="18" s="1"/>
  <c r="I31" i="18"/>
  <c r="K31" i="18" s="1"/>
  <c r="M31" i="18" s="1"/>
  <c r="N31" i="18" s="1"/>
  <c r="G15" i="18"/>
  <c r="M15" i="18" s="1"/>
  <c r="N15" i="18" s="1"/>
  <c r="M16" i="18"/>
  <c r="N16" i="18" s="1"/>
  <c r="F19" i="18"/>
  <c r="M21" i="18"/>
  <c r="N21" i="18" s="1"/>
  <c r="M35" i="17"/>
  <c r="N35" i="17" s="1"/>
  <c r="M22" i="17"/>
  <c r="N22" i="17" s="1"/>
  <c r="K20" i="17"/>
  <c r="K25" i="17" s="1"/>
  <c r="M34" i="17"/>
  <c r="N34" i="17" s="1"/>
  <c r="M23" i="17"/>
  <c r="N23" i="17" s="1"/>
  <c r="M21" i="17"/>
  <c r="N21" i="17" s="1"/>
  <c r="M19" i="17"/>
  <c r="N19" i="17" s="1"/>
  <c r="M15" i="17"/>
  <c r="N15" i="17" s="1"/>
  <c r="G20" i="17"/>
  <c r="G25" i="17" s="1"/>
  <c r="G35" i="18" l="1"/>
  <c r="J35" i="18"/>
  <c r="K35" i="18" s="1"/>
  <c r="M35" i="18" s="1"/>
  <c r="N35" i="18" s="1"/>
  <c r="J27" i="17"/>
  <c r="K27" i="17" s="1"/>
  <c r="G27" i="17"/>
  <c r="G28" i="17" s="1"/>
  <c r="F30" i="17"/>
  <c r="F29" i="17"/>
  <c r="F22" i="18"/>
  <c r="J19" i="18"/>
  <c r="K19" i="18" s="1"/>
  <c r="G19" i="18"/>
  <c r="G20" i="18" s="1"/>
  <c r="M20" i="17"/>
  <c r="N20" i="17" s="1"/>
  <c r="K28" i="17"/>
  <c r="M25" i="17"/>
  <c r="N25" i="17" s="1"/>
  <c r="G30" i="17" l="1"/>
  <c r="F33" i="17"/>
  <c r="G33" i="17" s="1"/>
  <c r="J30" i="17"/>
  <c r="M27" i="17"/>
  <c r="N27" i="17" s="1"/>
  <c r="G29" i="17"/>
  <c r="G38" i="17" s="1"/>
  <c r="G39" i="17" s="1"/>
  <c r="G40" i="17" s="1"/>
  <c r="J29" i="17"/>
  <c r="K29" i="17" s="1"/>
  <c r="M29" i="17" s="1"/>
  <c r="N29" i="17" s="1"/>
  <c r="K20" i="18"/>
  <c r="M19" i="18"/>
  <c r="N19" i="18" s="1"/>
  <c r="G22" i="18"/>
  <c r="F23" i="18"/>
  <c r="J22" i="18"/>
  <c r="K22" i="18" s="1"/>
  <c r="M28" i="17"/>
  <c r="N28" i="17" s="1"/>
  <c r="G42" i="17" l="1"/>
  <c r="J33" i="17"/>
  <c r="K33" i="17" s="1"/>
  <c r="M33" i="17" s="1"/>
  <c r="N33" i="17" s="1"/>
  <c r="K30" i="17"/>
  <c r="M30" i="17" s="1"/>
  <c r="N30" i="17" s="1"/>
  <c r="J23" i="18"/>
  <c r="K23" i="18" s="1"/>
  <c r="K25" i="18" s="1"/>
  <c r="F26" i="18"/>
  <c r="G23" i="18"/>
  <c r="M20" i="18"/>
  <c r="N20" i="18" s="1"/>
  <c r="M22" i="18"/>
  <c r="N22" i="18" s="1"/>
  <c r="E19" i="13"/>
  <c r="F19" i="13"/>
  <c r="J19" i="13" s="1"/>
  <c r="K38" i="17" l="1"/>
  <c r="M23" i="18"/>
  <c r="N23" i="18" s="1"/>
  <c r="G26" i="18"/>
  <c r="J26" i="18"/>
  <c r="K26" i="18" s="1"/>
  <c r="F27" i="18"/>
  <c r="G25" i="18"/>
  <c r="M25" i="18" s="1"/>
  <c r="N25" i="18" s="1"/>
  <c r="K16" i="11"/>
  <c r="M16" i="11" s="1"/>
  <c r="N16" i="11" s="1"/>
  <c r="J26" i="10"/>
  <c r="K18" i="10"/>
  <c r="M18" i="10" s="1"/>
  <c r="N18" i="10" s="1"/>
  <c r="K17" i="10"/>
  <c r="M17" i="10" s="1"/>
  <c r="N17" i="10" s="1"/>
  <c r="F27" i="10"/>
  <c r="J27" i="10"/>
  <c r="J30" i="10"/>
  <c r="J33" i="10" s="1"/>
  <c r="K33" i="10" s="1"/>
  <c r="F30" i="10"/>
  <c r="F33" i="10" s="1"/>
  <c r="G33" i="10" s="1"/>
  <c r="J14" i="10"/>
  <c r="I15" i="10"/>
  <c r="I14" i="10"/>
  <c r="F16" i="10"/>
  <c r="F15" i="10"/>
  <c r="F14" i="10"/>
  <c r="E15" i="10"/>
  <c r="E14" i="10"/>
  <c r="K17" i="3"/>
  <c r="M17" i="3" s="1"/>
  <c r="N17" i="3" s="1"/>
  <c r="K18" i="2"/>
  <c r="K17" i="2"/>
  <c r="M17" i="2" s="1"/>
  <c r="N17" i="2" s="1"/>
  <c r="M38" i="17" l="1"/>
  <c r="N38" i="17" s="1"/>
  <c r="K39" i="17"/>
  <c r="M26" i="18"/>
  <c r="N26" i="18" s="1"/>
  <c r="M33" i="10"/>
  <c r="N33" i="10" s="1"/>
  <c r="J27" i="18"/>
  <c r="K27" i="18" s="1"/>
  <c r="K28" i="18" s="1"/>
  <c r="F29" i="18"/>
  <c r="G27" i="18"/>
  <c r="F30" i="18"/>
  <c r="F33" i="18" s="1"/>
  <c r="G33" i="18" s="1"/>
  <c r="M18" i="2"/>
  <c r="N18" i="2" s="1"/>
  <c r="M20" i="1"/>
  <c r="N20" i="1"/>
  <c r="M17" i="1"/>
  <c r="N17" i="1"/>
  <c r="M18" i="1"/>
  <c r="N18" i="1"/>
  <c r="M19" i="1"/>
  <c r="N19" i="1"/>
  <c r="M21" i="1"/>
  <c r="N21" i="1"/>
  <c r="M22" i="1"/>
  <c r="N22" i="1"/>
  <c r="M23" i="1"/>
  <c r="N23" i="1"/>
  <c r="N39" i="16"/>
  <c r="K34" i="16"/>
  <c r="M34" i="16" s="1"/>
  <c r="N34" i="16" s="1"/>
  <c r="G34" i="16"/>
  <c r="I33" i="16"/>
  <c r="F33" i="16"/>
  <c r="J33" i="16" s="1"/>
  <c r="I32" i="16"/>
  <c r="F32" i="16"/>
  <c r="J32" i="16"/>
  <c r="K32" i="16"/>
  <c r="M32" i="16" s="1"/>
  <c r="N32" i="16" s="1"/>
  <c r="J30" i="16"/>
  <c r="K30" i="16" s="1"/>
  <c r="M30" i="16" s="1"/>
  <c r="N30" i="16" s="1"/>
  <c r="F30" i="16"/>
  <c r="G30" i="16"/>
  <c r="K29" i="16"/>
  <c r="G29" i="16"/>
  <c r="M29" i="16" s="1"/>
  <c r="N29" i="16" s="1"/>
  <c r="J28" i="16"/>
  <c r="J31" i="16" s="1"/>
  <c r="K31" i="16" s="1"/>
  <c r="K28" i="16"/>
  <c r="F28" i="16"/>
  <c r="F31" i="16" s="1"/>
  <c r="G31" i="16" s="1"/>
  <c r="J27" i="16"/>
  <c r="K27" i="16"/>
  <c r="F27" i="16"/>
  <c r="G27" i="16" s="1"/>
  <c r="M27" i="16" s="1"/>
  <c r="N27" i="16" s="1"/>
  <c r="J25" i="16"/>
  <c r="K25" i="16"/>
  <c r="G25" i="16"/>
  <c r="J24" i="16"/>
  <c r="K24" i="16" s="1"/>
  <c r="G24" i="16"/>
  <c r="J22" i="16"/>
  <c r="K22" i="16" s="1"/>
  <c r="M22" i="16" s="1"/>
  <c r="N22" i="16" s="1"/>
  <c r="G22" i="16"/>
  <c r="J21" i="16"/>
  <c r="K21" i="16" s="1"/>
  <c r="M21" i="16" s="1"/>
  <c r="N21" i="16" s="1"/>
  <c r="G21" i="16"/>
  <c r="J20" i="16"/>
  <c r="K20" i="16" s="1"/>
  <c r="G20" i="16"/>
  <c r="I19" i="16"/>
  <c r="K19" i="16" s="1"/>
  <c r="F19" i="16"/>
  <c r="J19" i="16"/>
  <c r="E19" i="16"/>
  <c r="G19" i="16" s="1"/>
  <c r="J17" i="16"/>
  <c r="K17" i="16" s="1"/>
  <c r="G17" i="16"/>
  <c r="K16" i="16"/>
  <c r="G16" i="16"/>
  <c r="M16" i="16" s="1"/>
  <c r="J15" i="16"/>
  <c r="K15" i="16" s="1"/>
  <c r="G15" i="16"/>
  <c r="K14" i="16"/>
  <c r="K18" i="16" s="1"/>
  <c r="G14" i="16"/>
  <c r="E9" i="16"/>
  <c r="J34" i="15"/>
  <c r="K34" i="15" s="1"/>
  <c r="M34" i="15" s="1"/>
  <c r="N34" i="15" s="1"/>
  <c r="G34" i="15"/>
  <c r="I33" i="15"/>
  <c r="F33" i="15"/>
  <c r="I32" i="15"/>
  <c r="K32" i="15" s="1"/>
  <c r="F32" i="15"/>
  <c r="J32" i="15" s="1"/>
  <c r="J30" i="15"/>
  <c r="K30" i="15" s="1"/>
  <c r="F30" i="15"/>
  <c r="G30" i="15" s="1"/>
  <c r="K29" i="15"/>
  <c r="M29" i="15" s="1"/>
  <c r="N29" i="15" s="1"/>
  <c r="G29" i="15"/>
  <c r="J28" i="15"/>
  <c r="F28" i="15"/>
  <c r="F31" i="15" s="1"/>
  <c r="G31" i="15" s="1"/>
  <c r="J27" i="15"/>
  <c r="K27" i="15" s="1"/>
  <c r="F27" i="15"/>
  <c r="G27" i="15" s="1"/>
  <c r="J25" i="15"/>
  <c r="K25" i="15" s="1"/>
  <c r="G25" i="15"/>
  <c r="J24" i="15"/>
  <c r="K24" i="15" s="1"/>
  <c r="G24" i="15"/>
  <c r="J22" i="15"/>
  <c r="K22" i="15" s="1"/>
  <c r="M22" i="15" s="1"/>
  <c r="N22" i="15" s="1"/>
  <c r="G22" i="15"/>
  <c r="J21" i="15"/>
  <c r="K21" i="15" s="1"/>
  <c r="G21" i="15"/>
  <c r="J20" i="15"/>
  <c r="K20" i="15" s="1"/>
  <c r="G20" i="15"/>
  <c r="F19" i="15"/>
  <c r="J19" i="15"/>
  <c r="E19" i="15"/>
  <c r="G19" i="15" s="1"/>
  <c r="J17" i="15"/>
  <c r="K17" i="15"/>
  <c r="G17" i="15"/>
  <c r="K16" i="15"/>
  <c r="G16" i="15"/>
  <c r="M16" i="15" s="1"/>
  <c r="N16" i="15" s="1"/>
  <c r="J15" i="15"/>
  <c r="K15" i="15"/>
  <c r="M15" i="15" s="1"/>
  <c r="N15" i="15" s="1"/>
  <c r="G15" i="15"/>
  <c r="K14" i="15"/>
  <c r="G14" i="15"/>
  <c r="E9" i="15"/>
  <c r="K34" i="14"/>
  <c r="G34" i="14"/>
  <c r="I33" i="14"/>
  <c r="G33" i="14"/>
  <c r="F33" i="14"/>
  <c r="J33" i="14" s="1"/>
  <c r="J32" i="14"/>
  <c r="I32" i="14"/>
  <c r="I19" i="14" s="1"/>
  <c r="F32" i="14"/>
  <c r="G32" i="14" s="1"/>
  <c r="J30" i="14"/>
  <c r="K30" i="14" s="1"/>
  <c r="F30" i="14"/>
  <c r="G30" i="14" s="1"/>
  <c r="M29" i="14"/>
  <c r="N29" i="14" s="1"/>
  <c r="K29" i="14"/>
  <c r="G29" i="14"/>
  <c r="J28" i="14"/>
  <c r="J31" i="14" s="1"/>
  <c r="K31" i="14" s="1"/>
  <c r="F28" i="14"/>
  <c r="J27" i="14"/>
  <c r="K27" i="14" s="1"/>
  <c r="F27" i="14"/>
  <c r="G27" i="14"/>
  <c r="M27" i="14" s="1"/>
  <c r="N27" i="14" s="1"/>
  <c r="J25" i="14"/>
  <c r="K25" i="14" s="1"/>
  <c r="G25" i="14"/>
  <c r="J24" i="14"/>
  <c r="K24" i="14" s="1"/>
  <c r="G24" i="14"/>
  <c r="J22" i="14"/>
  <c r="K22" i="14" s="1"/>
  <c r="G22" i="14"/>
  <c r="K21" i="14"/>
  <c r="M21" i="14" s="1"/>
  <c r="N21" i="14" s="1"/>
  <c r="J21" i="14"/>
  <c r="G21" i="14"/>
  <c r="J20" i="14"/>
  <c r="K20" i="14" s="1"/>
  <c r="G20" i="14"/>
  <c r="F19" i="14"/>
  <c r="J19" i="14" s="1"/>
  <c r="E19" i="14"/>
  <c r="G19" i="14" s="1"/>
  <c r="J17" i="14"/>
  <c r="K17" i="14" s="1"/>
  <c r="G17" i="14"/>
  <c r="K16" i="14"/>
  <c r="G16" i="14"/>
  <c r="J15" i="14"/>
  <c r="K15" i="14"/>
  <c r="M15" i="14" s="1"/>
  <c r="N15" i="14" s="1"/>
  <c r="G15" i="14"/>
  <c r="K14" i="14"/>
  <c r="G14" i="14"/>
  <c r="E9" i="14"/>
  <c r="N39" i="13"/>
  <c r="J34" i="13"/>
  <c r="K34" i="13" s="1"/>
  <c r="M34" i="13" s="1"/>
  <c r="N34" i="13" s="1"/>
  <c r="G34" i="13"/>
  <c r="I33" i="13"/>
  <c r="F33" i="13"/>
  <c r="G33" i="13" s="1"/>
  <c r="I32" i="13"/>
  <c r="F32" i="13"/>
  <c r="J32" i="13" s="1"/>
  <c r="G32" i="13"/>
  <c r="J30" i="13"/>
  <c r="K30" i="13" s="1"/>
  <c r="M30" i="13" s="1"/>
  <c r="N30" i="13" s="1"/>
  <c r="F30" i="13"/>
  <c r="G30" i="13" s="1"/>
  <c r="K29" i="13"/>
  <c r="G29" i="13"/>
  <c r="M29" i="13" s="1"/>
  <c r="N29" i="13" s="1"/>
  <c r="J28" i="13"/>
  <c r="F28" i="13"/>
  <c r="F31" i="13" s="1"/>
  <c r="G31" i="13" s="1"/>
  <c r="G28" i="13"/>
  <c r="J27" i="13"/>
  <c r="K27" i="13" s="1"/>
  <c r="F27" i="13"/>
  <c r="G27" i="13" s="1"/>
  <c r="J25" i="13"/>
  <c r="K25" i="13" s="1"/>
  <c r="G25" i="13"/>
  <c r="J24" i="13"/>
  <c r="K24" i="13" s="1"/>
  <c r="G24" i="13"/>
  <c r="J22" i="13"/>
  <c r="K22" i="13" s="1"/>
  <c r="M22" i="13" s="1"/>
  <c r="N22" i="13" s="1"/>
  <c r="G22" i="13"/>
  <c r="J21" i="13"/>
  <c r="K21" i="13" s="1"/>
  <c r="M21" i="13" s="1"/>
  <c r="N21" i="13" s="1"/>
  <c r="G21" i="13"/>
  <c r="J20" i="13"/>
  <c r="K20" i="13" s="1"/>
  <c r="G20" i="13"/>
  <c r="K17" i="13"/>
  <c r="J17" i="13"/>
  <c r="G17" i="13"/>
  <c r="K16" i="13"/>
  <c r="G16" i="13"/>
  <c r="J15" i="13"/>
  <c r="K15" i="13" s="1"/>
  <c r="M15" i="13" s="1"/>
  <c r="N15" i="13" s="1"/>
  <c r="G15" i="13"/>
  <c r="K14" i="13"/>
  <c r="G14" i="13"/>
  <c r="E9" i="13"/>
  <c r="N39" i="12"/>
  <c r="K34" i="12"/>
  <c r="M34" i="12" s="1"/>
  <c r="N34" i="12" s="1"/>
  <c r="G34" i="12"/>
  <c r="I33" i="12"/>
  <c r="F33" i="12"/>
  <c r="G33" i="12" s="1"/>
  <c r="J33" i="12"/>
  <c r="K33" i="12" s="1"/>
  <c r="M33" i="12" s="1"/>
  <c r="N33" i="12" s="1"/>
  <c r="I32" i="12"/>
  <c r="I19" i="12" s="1"/>
  <c r="F32" i="12"/>
  <c r="J32" i="12" s="1"/>
  <c r="J30" i="12"/>
  <c r="K30" i="12" s="1"/>
  <c r="F30" i="12"/>
  <c r="G30" i="12" s="1"/>
  <c r="K29" i="12"/>
  <c r="M29" i="12" s="1"/>
  <c r="N29" i="12" s="1"/>
  <c r="G29" i="12"/>
  <c r="J28" i="12"/>
  <c r="F28" i="12"/>
  <c r="J27" i="12"/>
  <c r="K27" i="12" s="1"/>
  <c r="F27" i="12"/>
  <c r="G27" i="12" s="1"/>
  <c r="F25" i="12"/>
  <c r="G25" i="12" s="1"/>
  <c r="F24" i="12"/>
  <c r="G24" i="12" s="1"/>
  <c r="J22" i="12"/>
  <c r="K22" i="12" s="1"/>
  <c r="G22" i="12"/>
  <c r="J21" i="12"/>
  <c r="K21" i="12" s="1"/>
  <c r="F21" i="12"/>
  <c r="G21" i="12" s="1"/>
  <c r="F20" i="12"/>
  <c r="G20" i="12" s="1"/>
  <c r="F19" i="12"/>
  <c r="J19" i="12" s="1"/>
  <c r="E19" i="12"/>
  <c r="G19" i="12" s="1"/>
  <c r="J17" i="12"/>
  <c r="K17" i="12" s="1"/>
  <c r="G17" i="12"/>
  <c r="F17" i="12"/>
  <c r="K16" i="12"/>
  <c r="G16" i="12"/>
  <c r="F15" i="12"/>
  <c r="K14" i="12"/>
  <c r="G14" i="12"/>
  <c r="E9" i="12"/>
  <c r="J35" i="11"/>
  <c r="K35" i="11" s="1"/>
  <c r="G35" i="11"/>
  <c r="J34" i="11"/>
  <c r="I34" i="11"/>
  <c r="K34" i="11" s="1"/>
  <c r="M34" i="11" s="1"/>
  <c r="N34" i="11" s="1"/>
  <c r="G34" i="11"/>
  <c r="J33" i="11"/>
  <c r="I33" i="11"/>
  <c r="G33" i="11"/>
  <c r="J31" i="11"/>
  <c r="K31" i="11" s="1"/>
  <c r="F31" i="11"/>
  <c r="G31" i="11" s="1"/>
  <c r="K30" i="11"/>
  <c r="G30" i="11"/>
  <c r="J29" i="11"/>
  <c r="F29" i="11"/>
  <c r="F32" i="11" s="1"/>
  <c r="G32" i="11" s="1"/>
  <c r="G29" i="11"/>
  <c r="J28" i="11"/>
  <c r="K28" i="11" s="1"/>
  <c r="F28" i="11"/>
  <c r="G28" i="11" s="1"/>
  <c r="J26" i="11"/>
  <c r="K26" i="11" s="1"/>
  <c r="G26" i="11"/>
  <c r="J25" i="11"/>
  <c r="K25" i="11" s="1"/>
  <c r="G25" i="11"/>
  <c r="J23" i="11"/>
  <c r="K23" i="11" s="1"/>
  <c r="M23" i="11" s="1"/>
  <c r="N23" i="11" s="1"/>
  <c r="G23" i="11"/>
  <c r="J22" i="11"/>
  <c r="K22" i="11" s="1"/>
  <c r="G22" i="11"/>
  <c r="J21" i="11"/>
  <c r="K21" i="11" s="1"/>
  <c r="G21" i="11"/>
  <c r="F20" i="11"/>
  <c r="J20" i="11" s="1"/>
  <c r="E20" i="11"/>
  <c r="G20" i="11" s="1"/>
  <c r="J18" i="11"/>
  <c r="K18" i="11" s="1"/>
  <c r="G18" i="11"/>
  <c r="K17" i="11"/>
  <c r="G17" i="11"/>
  <c r="J15" i="11"/>
  <c r="K15" i="11" s="1"/>
  <c r="G15" i="11"/>
  <c r="K14" i="11"/>
  <c r="G14" i="11"/>
  <c r="E9" i="11"/>
  <c r="K36" i="10"/>
  <c r="G36" i="10"/>
  <c r="J35" i="10"/>
  <c r="I35" i="10"/>
  <c r="G35" i="10"/>
  <c r="J34" i="10"/>
  <c r="I34" i="10"/>
  <c r="G34" i="10"/>
  <c r="K31" i="10"/>
  <c r="G31" i="10"/>
  <c r="K30" i="10"/>
  <c r="G30" i="10"/>
  <c r="K29" i="10"/>
  <c r="G29" i="10"/>
  <c r="K27" i="10"/>
  <c r="G27" i="10"/>
  <c r="K26" i="10"/>
  <c r="G26" i="10"/>
  <c r="K24" i="10"/>
  <c r="G24" i="10"/>
  <c r="K23" i="10"/>
  <c r="G23" i="10"/>
  <c r="K22" i="10"/>
  <c r="G22" i="10"/>
  <c r="K21" i="10"/>
  <c r="G21" i="10"/>
  <c r="K19" i="10"/>
  <c r="G19" i="10"/>
  <c r="K16" i="10"/>
  <c r="G16" i="10"/>
  <c r="K15" i="10"/>
  <c r="G15" i="10"/>
  <c r="K14" i="10"/>
  <c r="G14" i="10"/>
  <c r="E9" i="10"/>
  <c r="J34" i="8"/>
  <c r="K34" i="8" s="1"/>
  <c r="G34" i="8"/>
  <c r="J33" i="8"/>
  <c r="K33" i="8" s="1"/>
  <c r="G33" i="8"/>
  <c r="M33" i="8" s="1"/>
  <c r="N33" i="8" s="1"/>
  <c r="J32" i="8"/>
  <c r="K32" i="8" s="1"/>
  <c r="G32" i="8"/>
  <c r="J30" i="8"/>
  <c r="K30" i="8" s="1"/>
  <c r="G30" i="8"/>
  <c r="F30" i="8"/>
  <c r="K29" i="8"/>
  <c r="G29" i="8"/>
  <c r="K28" i="8"/>
  <c r="J28" i="8"/>
  <c r="J31" i="8" s="1"/>
  <c r="K31" i="8" s="1"/>
  <c r="F28" i="8"/>
  <c r="J27" i="8"/>
  <c r="K27" i="8" s="1"/>
  <c r="F27" i="8"/>
  <c r="G27" i="8" s="1"/>
  <c r="J25" i="8"/>
  <c r="K25" i="8" s="1"/>
  <c r="G25" i="8"/>
  <c r="J24" i="8"/>
  <c r="K24" i="8" s="1"/>
  <c r="G24" i="8"/>
  <c r="J22" i="8"/>
  <c r="K22" i="8" s="1"/>
  <c r="M22" i="8" s="1"/>
  <c r="N22" i="8" s="1"/>
  <c r="G22" i="8"/>
  <c r="J21" i="8"/>
  <c r="K21" i="8" s="1"/>
  <c r="G21" i="8"/>
  <c r="J20" i="8"/>
  <c r="K20" i="8" s="1"/>
  <c r="G20" i="8"/>
  <c r="I19" i="8"/>
  <c r="K19" i="8" s="1"/>
  <c r="G19" i="8"/>
  <c r="F19" i="8"/>
  <c r="J19" i="8" s="1"/>
  <c r="E19" i="8"/>
  <c r="J17" i="8"/>
  <c r="K17" i="8"/>
  <c r="G17" i="8"/>
  <c r="K16" i="8"/>
  <c r="G16" i="8"/>
  <c r="J15" i="8"/>
  <c r="K15" i="8" s="1"/>
  <c r="G15" i="8"/>
  <c r="K14" i="8"/>
  <c r="G14" i="8"/>
  <c r="E9" i="8"/>
  <c r="J34" i="7"/>
  <c r="K34" i="7" s="1"/>
  <c r="G34" i="7"/>
  <c r="M34" i="7" s="1"/>
  <c r="N34" i="7" s="1"/>
  <c r="J33" i="7"/>
  <c r="K33" i="7" s="1"/>
  <c r="G33" i="7"/>
  <c r="J32" i="7"/>
  <c r="K32" i="7" s="1"/>
  <c r="G32" i="7"/>
  <c r="J30" i="7"/>
  <c r="K30" i="7" s="1"/>
  <c r="F30" i="7"/>
  <c r="G30" i="7" s="1"/>
  <c r="K29" i="7"/>
  <c r="M29" i="7" s="1"/>
  <c r="N29" i="7" s="1"/>
  <c r="G29" i="7"/>
  <c r="J28" i="7"/>
  <c r="J31" i="7" s="1"/>
  <c r="K31" i="7" s="1"/>
  <c r="G28" i="7"/>
  <c r="F28" i="7"/>
  <c r="F31" i="7" s="1"/>
  <c r="G31" i="7" s="1"/>
  <c r="J27" i="7"/>
  <c r="K27" i="7" s="1"/>
  <c r="F27" i="7"/>
  <c r="G27" i="7" s="1"/>
  <c r="J25" i="7"/>
  <c r="K25" i="7" s="1"/>
  <c r="G25" i="7"/>
  <c r="J24" i="7"/>
  <c r="K24" i="7" s="1"/>
  <c r="G24" i="7"/>
  <c r="J22" i="7"/>
  <c r="K22" i="7" s="1"/>
  <c r="M22" i="7" s="1"/>
  <c r="N22" i="7" s="1"/>
  <c r="G22" i="7"/>
  <c r="J21" i="7"/>
  <c r="K21" i="7"/>
  <c r="G21" i="7"/>
  <c r="J20" i="7"/>
  <c r="K20" i="7" s="1"/>
  <c r="G20" i="7"/>
  <c r="I19" i="7"/>
  <c r="K19" i="7" s="1"/>
  <c r="F19" i="7"/>
  <c r="J19" i="7" s="1"/>
  <c r="E19" i="7"/>
  <c r="J17" i="7"/>
  <c r="K17" i="7"/>
  <c r="G17" i="7"/>
  <c r="K16" i="7"/>
  <c r="M16" i="7" s="1"/>
  <c r="N16" i="7" s="1"/>
  <c r="G16" i="7"/>
  <c r="K15" i="7"/>
  <c r="J15" i="7"/>
  <c r="G15" i="7"/>
  <c r="K14" i="7"/>
  <c r="M14" i="7" s="1"/>
  <c r="N14" i="7" s="1"/>
  <c r="G14" i="7"/>
  <c r="E9" i="7"/>
  <c r="J34" i="6"/>
  <c r="K34" i="6"/>
  <c r="G34" i="6"/>
  <c r="J33" i="6"/>
  <c r="K33" i="6" s="1"/>
  <c r="G33" i="6"/>
  <c r="K32" i="6"/>
  <c r="M32" i="6" s="1"/>
  <c r="N32" i="6" s="1"/>
  <c r="J32" i="6"/>
  <c r="G32" i="6"/>
  <c r="J30" i="6"/>
  <c r="K30" i="6" s="1"/>
  <c r="F30" i="6"/>
  <c r="G30" i="6" s="1"/>
  <c r="K29" i="6"/>
  <c r="G29" i="6"/>
  <c r="M29" i="6" s="1"/>
  <c r="N29" i="6" s="1"/>
  <c r="J28" i="6"/>
  <c r="J31" i="6" s="1"/>
  <c r="K31" i="6" s="1"/>
  <c r="M31" i="6" s="1"/>
  <c r="N31" i="6" s="1"/>
  <c r="F28" i="6"/>
  <c r="F31" i="6" s="1"/>
  <c r="G31" i="6" s="1"/>
  <c r="G28" i="6"/>
  <c r="J27" i="6"/>
  <c r="K27" i="6" s="1"/>
  <c r="F27" i="6"/>
  <c r="G27" i="6"/>
  <c r="J25" i="6"/>
  <c r="K25" i="6" s="1"/>
  <c r="G25" i="6"/>
  <c r="J24" i="6"/>
  <c r="K24" i="6" s="1"/>
  <c r="M24" i="6" s="1"/>
  <c r="N24" i="6" s="1"/>
  <c r="G24" i="6"/>
  <c r="J22" i="6"/>
  <c r="K22" i="6" s="1"/>
  <c r="G22" i="6"/>
  <c r="J21" i="6"/>
  <c r="K21" i="6" s="1"/>
  <c r="M21" i="6" s="1"/>
  <c r="N21" i="6" s="1"/>
  <c r="G21" i="6"/>
  <c r="J20" i="6"/>
  <c r="K20" i="6" s="1"/>
  <c r="G20" i="6"/>
  <c r="I19" i="6"/>
  <c r="F19" i="6"/>
  <c r="J19" i="6" s="1"/>
  <c r="E19" i="6"/>
  <c r="J17" i="6"/>
  <c r="K17" i="6" s="1"/>
  <c r="G17" i="6"/>
  <c r="M16" i="6"/>
  <c r="N16" i="6" s="1"/>
  <c r="K16" i="6"/>
  <c r="G16" i="6"/>
  <c r="J15" i="6"/>
  <c r="K15" i="6"/>
  <c r="G15" i="6"/>
  <c r="K14" i="6"/>
  <c r="G14" i="6"/>
  <c r="E9" i="6"/>
  <c r="J34" i="5"/>
  <c r="K34" i="5" s="1"/>
  <c r="G34" i="5"/>
  <c r="J33" i="5"/>
  <c r="K33" i="5"/>
  <c r="M33" i="5" s="1"/>
  <c r="N33" i="5" s="1"/>
  <c r="G33" i="5"/>
  <c r="J30" i="5"/>
  <c r="K30" i="5" s="1"/>
  <c r="F30" i="5"/>
  <c r="G30" i="5" s="1"/>
  <c r="K29" i="5"/>
  <c r="G29" i="5"/>
  <c r="K28" i="5"/>
  <c r="G28" i="5"/>
  <c r="J27" i="5"/>
  <c r="K27" i="5" s="1"/>
  <c r="G27" i="5"/>
  <c r="J25" i="5"/>
  <c r="K25" i="5" s="1"/>
  <c r="M25" i="5" s="1"/>
  <c r="N25" i="5" s="1"/>
  <c r="G25" i="5"/>
  <c r="J24" i="5"/>
  <c r="K24" i="5" s="1"/>
  <c r="G24" i="5"/>
  <c r="J22" i="5"/>
  <c r="K22" i="5"/>
  <c r="G22" i="5"/>
  <c r="J21" i="5"/>
  <c r="K21" i="5"/>
  <c r="M21" i="5" s="1"/>
  <c r="N21" i="5" s="1"/>
  <c r="G21" i="5"/>
  <c r="K20" i="5"/>
  <c r="G20" i="5"/>
  <c r="I19" i="5"/>
  <c r="F19" i="5"/>
  <c r="J19" i="5" s="1"/>
  <c r="E19" i="5"/>
  <c r="J17" i="5"/>
  <c r="K17" i="5" s="1"/>
  <c r="G17" i="5"/>
  <c r="K16" i="5"/>
  <c r="G16" i="5"/>
  <c r="M16" i="5" s="1"/>
  <c r="N16" i="5" s="1"/>
  <c r="J15" i="5"/>
  <c r="K15" i="5" s="1"/>
  <c r="G15" i="5"/>
  <c r="K14" i="5"/>
  <c r="G14" i="5"/>
  <c r="E9" i="5"/>
  <c r="F34" i="4"/>
  <c r="F33" i="4"/>
  <c r="F32" i="4"/>
  <c r="J30" i="4"/>
  <c r="K30" i="4" s="1"/>
  <c r="F30" i="4"/>
  <c r="G30" i="4" s="1"/>
  <c r="K29" i="4"/>
  <c r="G29" i="4"/>
  <c r="M29" i="4" s="1"/>
  <c r="N29" i="4" s="1"/>
  <c r="J28" i="4"/>
  <c r="J31" i="4" s="1"/>
  <c r="K31" i="4" s="1"/>
  <c r="F28" i="4"/>
  <c r="J27" i="4"/>
  <c r="K27" i="4" s="1"/>
  <c r="F27" i="4"/>
  <c r="G27" i="4" s="1"/>
  <c r="M27" i="4" s="1"/>
  <c r="N27" i="4" s="1"/>
  <c r="F25" i="4"/>
  <c r="G25" i="4" s="1"/>
  <c r="F24" i="4"/>
  <c r="J24" i="4" s="1"/>
  <c r="K24" i="4" s="1"/>
  <c r="J22" i="4"/>
  <c r="K22" i="4"/>
  <c r="G22" i="4"/>
  <c r="M22" i="4" s="1"/>
  <c r="N22" i="4" s="1"/>
  <c r="F21" i="4"/>
  <c r="G21" i="4" s="1"/>
  <c r="F20" i="4"/>
  <c r="G20" i="4" s="1"/>
  <c r="J20" i="4"/>
  <c r="K20" i="4" s="1"/>
  <c r="F19" i="4"/>
  <c r="J19" i="4" s="1"/>
  <c r="E19" i="4"/>
  <c r="F17" i="4"/>
  <c r="J17" i="4" s="1"/>
  <c r="K17" i="4" s="1"/>
  <c r="K16" i="4"/>
  <c r="G16" i="4"/>
  <c r="F15" i="4"/>
  <c r="G15" i="4" s="1"/>
  <c r="J15" i="4"/>
  <c r="K15" i="4"/>
  <c r="K14" i="4"/>
  <c r="M14" i="4" s="1"/>
  <c r="N14" i="4" s="1"/>
  <c r="G14" i="4"/>
  <c r="E9" i="4"/>
  <c r="J35" i="3"/>
  <c r="K35" i="3" s="1"/>
  <c r="G35" i="3"/>
  <c r="J34" i="3"/>
  <c r="K34" i="3" s="1"/>
  <c r="G34" i="3"/>
  <c r="J33" i="3"/>
  <c r="K33" i="3" s="1"/>
  <c r="G33" i="3"/>
  <c r="J31" i="3"/>
  <c r="K31" i="3" s="1"/>
  <c r="F31" i="3"/>
  <c r="G31" i="3" s="1"/>
  <c r="K30" i="3"/>
  <c r="G30" i="3"/>
  <c r="J29" i="3"/>
  <c r="J32" i="3" s="1"/>
  <c r="K32" i="3" s="1"/>
  <c r="K29" i="3"/>
  <c r="F29" i="3"/>
  <c r="J28" i="3"/>
  <c r="K28" i="3" s="1"/>
  <c r="F28" i="3"/>
  <c r="G28" i="3" s="1"/>
  <c r="J26" i="3"/>
  <c r="K26" i="3"/>
  <c r="G26" i="3"/>
  <c r="J25" i="3"/>
  <c r="K25" i="3" s="1"/>
  <c r="G25" i="3"/>
  <c r="J23" i="3"/>
  <c r="K23" i="3" s="1"/>
  <c r="G23" i="3"/>
  <c r="J22" i="3"/>
  <c r="K22" i="3" s="1"/>
  <c r="G22" i="3"/>
  <c r="J21" i="3"/>
  <c r="K21" i="3" s="1"/>
  <c r="G21" i="3"/>
  <c r="I20" i="3"/>
  <c r="F20" i="3"/>
  <c r="J20" i="3" s="1"/>
  <c r="E20" i="3"/>
  <c r="J18" i="3"/>
  <c r="K18" i="3" s="1"/>
  <c r="G18" i="3"/>
  <c r="K16" i="3"/>
  <c r="G16" i="3"/>
  <c r="J15" i="3"/>
  <c r="K15" i="3" s="1"/>
  <c r="G15" i="3"/>
  <c r="K14" i="3"/>
  <c r="G14" i="3"/>
  <c r="E9" i="3"/>
  <c r="K36" i="2"/>
  <c r="G36" i="2"/>
  <c r="K35" i="2"/>
  <c r="G35" i="2"/>
  <c r="K34" i="2"/>
  <c r="G34" i="2"/>
  <c r="K31" i="2"/>
  <c r="G31" i="2"/>
  <c r="K30" i="2"/>
  <c r="G30" i="2"/>
  <c r="K29" i="2"/>
  <c r="G29" i="2"/>
  <c r="K27" i="2"/>
  <c r="G27" i="2"/>
  <c r="K26" i="2"/>
  <c r="G26" i="2"/>
  <c r="K24" i="2"/>
  <c r="G24" i="2"/>
  <c r="K23" i="2"/>
  <c r="G23" i="2"/>
  <c r="K22" i="2"/>
  <c r="G22" i="2"/>
  <c r="K21" i="2"/>
  <c r="G21" i="2"/>
  <c r="K19" i="2"/>
  <c r="G19" i="2"/>
  <c r="K15" i="2"/>
  <c r="G15" i="2"/>
  <c r="K14" i="2"/>
  <c r="G14" i="2"/>
  <c r="E9" i="2"/>
  <c r="N11" i="1"/>
  <c r="D12" i="1" s="1"/>
  <c r="D24" i="1" s="1"/>
  <c r="M11" i="1"/>
  <c r="C12" i="1" s="1"/>
  <c r="C24" i="1" s="1"/>
  <c r="N10" i="1"/>
  <c r="D11" i="1" s="1"/>
  <c r="D23" i="1" s="1"/>
  <c r="M10" i="1"/>
  <c r="C11" i="1" s="1"/>
  <c r="C23" i="1" s="1"/>
  <c r="N9" i="1"/>
  <c r="D10" i="1" s="1"/>
  <c r="D22" i="1" s="1"/>
  <c r="M9" i="1"/>
  <c r="C10" i="1" s="1"/>
  <c r="C22" i="1" s="1"/>
  <c r="N8" i="1"/>
  <c r="M8" i="1"/>
  <c r="N7" i="1"/>
  <c r="M7" i="1"/>
  <c r="N6" i="1"/>
  <c r="D7" i="1" s="1"/>
  <c r="D19" i="1" s="1"/>
  <c r="M6" i="1"/>
  <c r="C7" i="1" s="1"/>
  <c r="C19" i="1" s="1"/>
  <c r="N5" i="1"/>
  <c r="D5" i="1" s="1"/>
  <c r="D17" i="1" s="1"/>
  <c r="M5" i="1"/>
  <c r="C5" i="1" s="1"/>
  <c r="C17" i="1" s="1"/>
  <c r="K33" i="16"/>
  <c r="G32" i="15"/>
  <c r="M14" i="14"/>
  <c r="N14" i="14" s="1"/>
  <c r="G32" i="16"/>
  <c r="J33" i="4"/>
  <c r="K33" i="4"/>
  <c r="G33" i="4"/>
  <c r="M27" i="18" l="1"/>
  <c r="N27" i="18" s="1"/>
  <c r="G33" i="16"/>
  <c r="M33" i="16" s="1"/>
  <c r="N33" i="16" s="1"/>
  <c r="M15" i="16"/>
  <c r="N15" i="16" s="1"/>
  <c r="M31" i="16"/>
  <c r="N31" i="16" s="1"/>
  <c r="M19" i="16"/>
  <c r="N19" i="16" s="1"/>
  <c r="G28" i="16"/>
  <c r="M28" i="16" s="1"/>
  <c r="N28" i="16" s="1"/>
  <c r="K28" i="15"/>
  <c r="J31" i="15"/>
  <c r="K31" i="15" s="1"/>
  <c r="M31" i="15" s="1"/>
  <c r="N31" i="15" s="1"/>
  <c r="K19" i="15"/>
  <c r="M19" i="15" s="1"/>
  <c r="N19" i="15" s="1"/>
  <c r="M21" i="15"/>
  <c r="N21" i="15" s="1"/>
  <c r="M25" i="15"/>
  <c r="N25" i="15" s="1"/>
  <c r="M32" i="15"/>
  <c r="N32" i="15" s="1"/>
  <c r="M30" i="15"/>
  <c r="N30" i="15" s="1"/>
  <c r="G28" i="15"/>
  <c r="M28" i="15" s="1"/>
  <c r="N28" i="15" s="1"/>
  <c r="K32" i="14"/>
  <c r="M34" i="14"/>
  <c r="N34" i="14" s="1"/>
  <c r="G28" i="14"/>
  <c r="F31" i="14"/>
  <c r="G31" i="14" s="1"/>
  <c r="M31" i="14" s="1"/>
  <c r="N31" i="14" s="1"/>
  <c r="M30" i="14"/>
  <c r="N30" i="14" s="1"/>
  <c r="K28" i="14"/>
  <c r="M28" i="14" s="1"/>
  <c r="N28" i="14" s="1"/>
  <c r="I19" i="13"/>
  <c r="K19" i="13" s="1"/>
  <c r="M16" i="13"/>
  <c r="N16" i="13" s="1"/>
  <c r="J33" i="13"/>
  <c r="K33" i="13" s="1"/>
  <c r="M33" i="13" s="1"/>
  <c r="N33" i="13" s="1"/>
  <c r="M20" i="13"/>
  <c r="N20" i="13" s="1"/>
  <c r="K28" i="13"/>
  <c r="M28" i="13" s="1"/>
  <c r="N28" i="13" s="1"/>
  <c r="J31" i="13"/>
  <c r="K31" i="13" s="1"/>
  <c r="M31" i="13" s="1"/>
  <c r="N31" i="13" s="1"/>
  <c r="M16" i="12"/>
  <c r="N16" i="12" s="1"/>
  <c r="M27" i="12"/>
  <c r="N27" i="12" s="1"/>
  <c r="G28" i="12"/>
  <c r="F31" i="12"/>
  <c r="G31" i="12" s="1"/>
  <c r="M22" i="12"/>
  <c r="N22" i="12" s="1"/>
  <c r="K19" i="12"/>
  <c r="M19" i="12" s="1"/>
  <c r="N19" i="12" s="1"/>
  <c r="K28" i="12"/>
  <c r="M28" i="12" s="1"/>
  <c r="N28" i="12" s="1"/>
  <c r="J31" i="12"/>
  <c r="K31" i="12" s="1"/>
  <c r="M31" i="12" s="1"/>
  <c r="N31" i="12" s="1"/>
  <c r="J25" i="12"/>
  <c r="K25" i="12" s="1"/>
  <c r="I20" i="11"/>
  <c r="K20" i="11" s="1"/>
  <c r="K29" i="11"/>
  <c r="M29" i="11" s="1"/>
  <c r="N29" i="11" s="1"/>
  <c r="J32" i="11"/>
  <c r="K32" i="11" s="1"/>
  <c r="M32" i="11" s="1"/>
  <c r="N32" i="11" s="1"/>
  <c r="M27" i="8"/>
  <c r="N27" i="8" s="1"/>
  <c r="G28" i="8"/>
  <c r="M28" i="8" s="1"/>
  <c r="N28" i="8" s="1"/>
  <c r="F31" i="8"/>
  <c r="G31" i="8" s="1"/>
  <c r="M31" i="8" s="1"/>
  <c r="N31" i="8" s="1"/>
  <c r="M30" i="8"/>
  <c r="N30" i="8" s="1"/>
  <c r="M16" i="8"/>
  <c r="N16" i="8" s="1"/>
  <c r="M14" i="8"/>
  <c r="N14" i="8" s="1"/>
  <c r="M21" i="8"/>
  <c r="N21" i="8" s="1"/>
  <c r="M29" i="8"/>
  <c r="N29" i="8" s="1"/>
  <c r="M30" i="7"/>
  <c r="N30" i="7" s="1"/>
  <c r="G18" i="7"/>
  <c r="M33" i="7"/>
  <c r="N33" i="7" s="1"/>
  <c r="M21" i="7"/>
  <c r="N21" i="7" s="1"/>
  <c r="M31" i="7"/>
  <c r="N31" i="7" s="1"/>
  <c r="G19" i="7"/>
  <c r="K28" i="7"/>
  <c r="M28" i="7" s="1"/>
  <c r="N28" i="7" s="1"/>
  <c r="M15" i="7"/>
  <c r="N15" i="7" s="1"/>
  <c r="K19" i="6"/>
  <c r="K28" i="6"/>
  <c r="M28" i="6" s="1"/>
  <c r="N28" i="6" s="1"/>
  <c r="M17" i="6"/>
  <c r="N17" i="6" s="1"/>
  <c r="G19" i="6"/>
  <c r="M22" i="5"/>
  <c r="N22" i="5" s="1"/>
  <c r="M29" i="5"/>
  <c r="N29" i="5" s="1"/>
  <c r="G19" i="5"/>
  <c r="G18" i="5"/>
  <c r="G23" i="5" s="1"/>
  <c r="G26" i="5" s="1"/>
  <c r="G36" i="5" s="1"/>
  <c r="G37" i="5" s="1"/>
  <c r="G38" i="5" s="1"/>
  <c r="M14" i="5"/>
  <c r="N14" i="5" s="1"/>
  <c r="K19" i="5"/>
  <c r="M30" i="5"/>
  <c r="N30" i="5" s="1"/>
  <c r="J25" i="4"/>
  <c r="K25" i="4" s="1"/>
  <c r="M25" i="4" s="1"/>
  <c r="N25" i="4" s="1"/>
  <c r="G28" i="4"/>
  <c r="F31" i="4"/>
  <c r="G31" i="4" s="1"/>
  <c r="M16" i="4"/>
  <c r="N16" i="4" s="1"/>
  <c r="G19" i="4"/>
  <c r="K28" i="4"/>
  <c r="M31" i="4"/>
  <c r="N31" i="4" s="1"/>
  <c r="M15" i="3"/>
  <c r="N15" i="3" s="1"/>
  <c r="G29" i="3"/>
  <c r="F32" i="3"/>
  <c r="G32" i="3" s="1"/>
  <c r="M32" i="3" s="1"/>
  <c r="N32" i="3" s="1"/>
  <c r="M39" i="17"/>
  <c r="N39" i="17" s="1"/>
  <c r="K40" i="17"/>
  <c r="M23" i="2"/>
  <c r="N23" i="2" s="1"/>
  <c r="M29" i="2"/>
  <c r="N29" i="2" s="1"/>
  <c r="M35" i="2"/>
  <c r="N35" i="2" s="1"/>
  <c r="M36" i="10"/>
  <c r="N36" i="10" s="1"/>
  <c r="M21" i="2"/>
  <c r="N21" i="2" s="1"/>
  <c r="M31" i="2"/>
  <c r="N31" i="2" s="1"/>
  <c r="D9" i="1"/>
  <c r="D21" i="1" s="1"/>
  <c r="D8" i="1"/>
  <c r="D20" i="1" s="1"/>
  <c r="C9" i="1"/>
  <c r="C21" i="1" s="1"/>
  <c r="C8" i="1"/>
  <c r="C20" i="1" s="1"/>
  <c r="M15" i="10"/>
  <c r="N15" i="10" s="1"/>
  <c r="G29" i="18"/>
  <c r="J29" i="18"/>
  <c r="K29" i="18" s="1"/>
  <c r="G30" i="18"/>
  <c r="J30" i="18"/>
  <c r="G28" i="18"/>
  <c r="M27" i="15"/>
  <c r="N27" i="15" s="1"/>
  <c r="M27" i="13"/>
  <c r="N27" i="13" s="1"/>
  <c r="M27" i="7"/>
  <c r="N27" i="7" s="1"/>
  <c r="M19" i="2"/>
  <c r="N19" i="2" s="1"/>
  <c r="M24" i="16"/>
  <c r="N24" i="16" s="1"/>
  <c r="M17" i="15"/>
  <c r="N17" i="15" s="1"/>
  <c r="M24" i="15"/>
  <c r="N24" i="15" s="1"/>
  <c r="M32" i="14"/>
  <c r="N32" i="14" s="1"/>
  <c r="M25" i="14"/>
  <c r="N25" i="14" s="1"/>
  <c r="M24" i="14"/>
  <c r="N24" i="14" s="1"/>
  <c r="M17" i="13"/>
  <c r="N17" i="13" s="1"/>
  <c r="K32" i="13"/>
  <c r="M32" i="13" s="1"/>
  <c r="N32" i="13" s="1"/>
  <c r="M25" i="13"/>
  <c r="N25" i="13" s="1"/>
  <c r="J20" i="12"/>
  <c r="K20" i="12" s="1"/>
  <c r="M20" i="12" s="1"/>
  <c r="N20" i="12" s="1"/>
  <c r="J24" i="12"/>
  <c r="K24" i="12" s="1"/>
  <c r="M24" i="12" s="1"/>
  <c r="N24" i="12" s="1"/>
  <c r="M30" i="12"/>
  <c r="N30" i="12" s="1"/>
  <c r="G32" i="12"/>
  <c r="M25" i="12"/>
  <c r="N25" i="12" s="1"/>
  <c r="M31" i="10"/>
  <c r="N31" i="10" s="1"/>
  <c r="M25" i="8"/>
  <c r="N25" i="8" s="1"/>
  <c r="M34" i="8"/>
  <c r="N34" i="8" s="1"/>
  <c r="M32" i="8"/>
  <c r="N32" i="8" s="1"/>
  <c r="M19" i="8"/>
  <c r="N19" i="8" s="1"/>
  <c r="M24" i="8"/>
  <c r="N24" i="8" s="1"/>
  <c r="M17" i="8"/>
  <c r="N17" i="8" s="1"/>
  <c r="G18" i="8"/>
  <c r="G23" i="8" s="1"/>
  <c r="G26" i="8" s="1"/>
  <c r="G36" i="8" s="1"/>
  <c r="G37" i="8" s="1"/>
  <c r="G38" i="8" s="1"/>
  <c r="M32" i="7"/>
  <c r="N32" i="7" s="1"/>
  <c r="M25" i="7"/>
  <c r="N25" i="7" s="1"/>
  <c r="M24" i="7"/>
  <c r="N24" i="7" s="1"/>
  <c r="M34" i="6"/>
  <c r="N34" i="6" s="1"/>
  <c r="M19" i="6"/>
  <c r="N19" i="6" s="1"/>
  <c r="M25" i="6"/>
  <c r="N25" i="6" s="1"/>
  <c r="M28" i="5"/>
  <c r="N28" i="5" s="1"/>
  <c r="M27" i="5"/>
  <c r="N27" i="5" s="1"/>
  <c r="M19" i="5"/>
  <c r="N19" i="5" s="1"/>
  <c r="M34" i="5"/>
  <c r="N34" i="5" s="1"/>
  <c r="M24" i="5"/>
  <c r="N24" i="5" s="1"/>
  <c r="K18" i="4"/>
  <c r="G24" i="4"/>
  <c r="M24" i="4" s="1"/>
  <c r="N24" i="4" s="1"/>
  <c r="G17" i="4"/>
  <c r="M17" i="4" s="1"/>
  <c r="N17" i="4" s="1"/>
  <c r="M26" i="3"/>
  <c r="N26" i="3" s="1"/>
  <c r="M34" i="2"/>
  <c r="N34" i="2" s="1"/>
  <c r="K23" i="16"/>
  <c r="K26" i="16" s="1"/>
  <c r="K36" i="16" s="1"/>
  <c r="K37" i="16" s="1"/>
  <c r="M25" i="16"/>
  <c r="N25" i="16" s="1"/>
  <c r="M25" i="3"/>
  <c r="N25" i="3" s="1"/>
  <c r="K18" i="13"/>
  <c r="K23" i="13" s="1"/>
  <c r="M14" i="13"/>
  <c r="N14" i="13" s="1"/>
  <c r="M15" i="6"/>
  <c r="N15" i="6" s="1"/>
  <c r="K20" i="2"/>
  <c r="K25" i="2" s="1"/>
  <c r="K28" i="2" s="1"/>
  <c r="K38" i="2" s="1"/>
  <c r="K39" i="2" s="1"/>
  <c r="M20" i="14"/>
  <c r="N20" i="14" s="1"/>
  <c r="M20" i="8"/>
  <c r="N20" i="8" s="1"/>
  <c r="G18" i="13"/>
  <c r="M17" i="12"/>
  <c r="N17" i="12" s="1"/>
  <c r="M21" i="11"/>
  <c r="N21" i="11" s="1"/>
  <c r="M23" i="10"/>
  <c r="N23" i="10" s="1"/>
  <c r="M30" i="10"/>
  <c r="N30" i="10" s="1"/>
  <c r="K35" i="10"/>
  <c r="M31" i="11"/>
  <c r="N31" i="11" s="1"/>
  <c r="M15" i="11"/>
  <c r="N15" i="11" s="1"/>
  <c r="M25" i="11"/>
  <c r="N25" i="11" s="1"/>
  <c r="M26" i="11"/>
  <c r="N26" i="11" s="1"/>
  <c r="M20" i="11"/>
  <c r="N20" i="11" s="1"/>
  <c r="K33" i="11"/>
  <c r="M33" i="11" s="1"/>
  <c r="N33" i="11" s="1"/>
  <c r="M17" i="11"/>
  <c r="N17" i="11" s="1"/>
  <c r="K20" i="3"/>
  <c r="M29" i="3"/>
  <c r="N29" i="3" s="1"/>
  <c r="M35" i="3"/>
  <c r="N35" i="3" s="1"/>
  <c r="M14" i="3"/>
  <c r="N14" i="3" s="1"/>
  <c r="K19" i="3"/>
  <c r="G20" i="3"/>
  <c r="M30" i="3"/>
  <c r="N30" i="3" s="1"/>
  <c r="M28" i="3"/>
  <c r="N28" i="3" s="1"/>
  <c r="M26" i="2"/>
  <c r="N26" i="2" s="1"/>
  <c r="M16" i="10"/>
  <c r="N16" i="10" s="1"/>
  <c r="M29" i="10"/>
  <c r="N29" i="10" s="1"/>
  <c r="M14" i="2"/>
  <c r="N14" i="2" s="1"/>
  <c r="M21" i="3"/>
  <c r="N21" i="3" s="1"/>
  <c r="M17" i="7"/>
  <c r="N17" i="7" s="1"/>
  <c r="M17" i="5"/>
  <c r="N17" i="5" s="1"/>
  <c r="M28" i="4"/>
  <c r="N28" i="4" s="1"/>
  <c r="M18" i="3"/>
  <c r="N18" i="3" s="1"/>
  <c r="M20" i="16"/>
  <c r="N20" i="16" s="1"/>
  <c r="M20" i="15"/>
  <c r="N20" i="15" s="1"/>
  <c r="K19" i="11"/>
  <c r="K24" i="11" s="1"/>
  <c r="M18" i="11"/>
  <c r="N18" i="11" s="1"/>
  <c r="M30" i="11"/>
  <c r="N30" i="11" s="1"/>
  <c r="M24" i="10"/>
  <c r="N24" i="10" s="1"/>
  <c r="M26" i="10"/>
  <c r="N26" i="10" s="1"/>
  <c r="M22" i="10"/>
  <c r="N22" i="10" s="1"/>
  <c r="M27" i="10"/>
  <c r="N27" i="10" s="1"/>
  <c r="K20" i="10"/>
  <c r="K25" i="10" s="1"/>
  <c r="M19" i="10"/>
  <c r="N19" i="10" s="1"/>
  <c r="M14" i="10"/>
  <c r="N14" i="10" s="1"/>
  <c r="G20" i="10"/>
  <c r="G25" i="10" s="1"/>
  <c r="G28" i="10" s="1"/>
  <c r="G38" i="10" s="1"/>
  <c r="M15" i="2"/>
  <c r="N15" i="2" s="1"/>
  <c r="M22" i="2"/>
  <c r="N22" i="2" s="1"/>
  <c r="M31" i="3"/>
  <c r="N31" i="3" s="1"/>
  <c r="M22" i="3"/>
  <c r="N22" i="3" s="1"/>
  <c r="M33" i="3"/>
  <c r="N33" i="3" s="1"/>
  <c r="M23" i="3"/>
  <c r="N23" i="3" s="1"/>
  <c r="G19" i="3"/>
  <c r="G24" i="3" s="1"/>
  <c r="G27" i="3" s="1"/>
  <c r="G37" i="3" s="1"/>
  <c r="G38" i="3" s="1"/>
  <c r="G39" i="3" s="1"/>
  <c r="M24" i="2"/>
  <c r="N24" i="2" s="1"/>
  <c r="M36" i="2"/>
  <c r="N36" i="2" s="1"/>
  <c r="G20" i="2"/>
  <c r="G25" i="2" s="1"/>
  <c r="M27" i="2"/>
  <c r="N27" i="2" s="1"/>
  <c r="M15" i="8"/>
  <c r="N15" i="8" s="1"/>
  <c r="K18" i="8"/>
  <c r="M21" i="10"/>
  <c r="N21" i="10" s="1"/>
  <c r="M15" i="4"/>
  <c r="N15" i="4" s="1"/>
  <c r="K19" i="14"/>
  <c r="M19" i="14" s="1"/>
  <c r="N19" i="14" s="1"/>
  <c r="M16" i="14"/>
  <c r="N16" i="14" s="1"/>
  <c r="G18" i="14"/>
  <c r="G23" i="14" s="1"/>
  <c r="G26" i="14" s="1"/>
  <c r="G36" i="14" s="1"/>
  <c r="J15" i="12"/>
  <c r="K15" i="12" s="1"/>
  <c r="G15" i="12"/>
  <c r="G18" i="12" s="1"/>
  <c r="G23" i="12" s="1"/>
  <c r="G26" i="12" s="1"/>
  <c r="M15" i="5"/>
  <c r="N15" i="5" s="1"/>
  <c r="K18" i="5"/>
  <c r="M21" i="12"/>
  <c r="N21" i="12" s="1"/>
  <c r="K18" i="14"/>
  <c r="G34" i="4"/>
  <c r="J34" i="4"/>
  <c r="K34" i="4" s="1"/>
  <c r="K18" i="6"/>
  <c r="M22" i="14"/>
  <c r="N22" i="14" s="1"/>
  <c r="M34" i="3"/>
  <c r="N34" i="3" s="1"/>
  <c r="J21" i="4"/>
  <c r="K21" i="4" s="1"/>
  <c r="M21" i="4" s="1"/>
  <c r="N21" i="4" s="1"/>
  <c r="M20" i="7"/>
  <c r="N20" i="7" s="1"/>
  <c r="M14" i="11"/>
  <c r="N14" i="11" s="1"/>
  <c r="G19" i="11"/>
  <c r="G24" i="11" s="1"/>
  <c r="G27" i="11" s="1"/>
  <c r="G37" i="11" s="1"/>
  <c r="M28" i="11"/>
  <c r="N28" i="11" s="1"/>
  <c r="G18" i="15"/>
  <c r="G23" i="15" s="1"/>
  <c r="G26" i="15" s="1"/>
  <c r="M33" i="4"/>
  <c r="N33" i="4" s="1"/>
  <c r="M30" i="4"/>
  <c r="N30" i="4" s="1"/>
  <c r="G18" i="6"/>
  <c r="G23" i="6" s="1"/>
  <c r="G26" i="6" s="1"/>
  <c r="G36" i="6" s="1"/>
  <c r="M22" i="6"/>
  <c r="N22" i="6" s="1"/>
  <c r="J33" i="15"/>
  <c r="K33" i="15" s="1"/>
  <c r="G33" i="15"/>
  <c r="M35" i="11"/>
  <c r="N35" i="11" s="1"/>
  <c r="G23" i="7"/>
  <c r="G26" i="7" s="1"/>
  <c r="G36" i="7" s="1"/>
  <c r="G18" i="16"/>
  <c r="G23" i="16" s="1"/>
  <c r="M14" i="16"/>
  <c r="N14" i="16" s="1"/>
  <c r="M20" i="5"/>
  <c r="N20" i="5" s="1"/>
  <c r="M14" i="6"/>
  <c r="N14" i="6" s="1"/>
  <c r="M30" i="6"/>
  <c r="N30" i="6" s="1"/>
  <c r="K34" i="10"/>
  <c r="M34" i="10" s="1"/>
  <c r="N34" i="10" s="1"/>
  <c r="M14" i="12"/>
  <c r="N14" i="12" s="1"/>
  <c r="G19" i="13"/>
  <c r="M30" i="2"/>
  <c r="N30" i="2" s="1"/>
  <c r="J32" i="4"/>
  <c r="K32" i="4" s="1"/>
  <c r="G32" i="4"/>
  <c r="M35" i="10"/>
  <c r="N35" i="10" s="1"/>
  <c r="M22" i="11"/>
  <c r="N22" i="11" s="1"/>
  <c r="M17" i="14"/>
  <c r="N17" i="14" s="1"/>
  <c r="M17" i="16"/>
  <c r="N17" i="16" s="1"/>
  <c r="M16" i="3"/>
  <c r="N16" i="3" s="1"/>
  <c r="K19" i="4"/>
  <c r="M27" i="6"/>
  <c r="N27" i="6" s="1"/>
  <c r="K18" i="7"/>
  <c r="M24" i="13"/>
  <c r="N24" i="13" s="1"/>
  <c r="K33" i="14"/>
  <c r="M33" i="14" s="1"/>
  <c r="N33" i="14" s="1"/>
  <c r="M20" i="4"/>
  <c r="N20" i="4" s="1"/>
  <c r="M20" i="6"/>
  <c r="N20" i="6" s="1"/>
  <c r="M33" i="6"/>
  <c r="N33" i="6" s="1"/>
  <c r="M19" i="7"/>
  <c r="N19" i="7" s="1"/>
  <c r="K32" i="12"/>
  <c r="M14" i="15"/>
  <c r="N14" i="15" s="1"/>
  <c r="K18" i="15"/>
  <c r="K42" i="17" l="1"/>
  <c r="M40" i="17"/>
  <c r="N40" i="17" s="1"/>
  <c r="F6" i="1" s="1"/>
  <c r="K30" i="18"/>
  <c r="J33" i="18"/>
  <c r="K33" i="18" s="1"/>
  <c r="M33" i="18" s="1"/>
  <c r="N33" i="18" s="1"/>
  <c r="G38" i="18"/>
  <c r="G39" i="18" s="1"/>
  <c r="G40" i="18" s="1"/>
  <c r="M30" i="18"/>
  <c r="N30" i="18" s="1"/>
  <c r="M28" i="18"/>
  <c r="M29" i="18"/>
  <c r="N29" i="18" s="1"/>
  <c r="G23" i="13"/>
  <c r="G26" i="13" s="1"/>
  <c r="G36" i="13" s="1"/>
  <c r="M18" i="13"/>
  <c r="O20" i="1" s="1"/>
  <c r="M19" i="13"/>
  <c r="N19" i="13" s="1"/>
  <c r="G36" i="12"/>
  <c r="G37" i="12" s="1"/>
  <c r="G38" i="12" s="1"/>
  <c r="G40" i="12" s="1"/>
  <c r="M32" i="12"/>
  <c r="N32" i="12" s="1"/>
  <c r="G18" i="4"/>
  <c r="G23" i="4" s="1"/>
  <c r="G26" i="4" s="1"/>
  <c r="G36" i="4" s="1"/>
  <c r="K24" i="3"/>
  <c r="M24" i="3" s="1"/>
  <c r="M20" i="3"/>
  <c r="N20" i="3" s="1"/>
  <c r="M19" i="3"/>
  <c r="N19" i="3" s="1"/>
  <c r="M19" i="11"/>
  <c r="M20" i="10"/>
  <c r="N20" i="10" s="1"/>
  <c r="M20" i="2"/>
  <c r="N20" i="2" s="1"/>
  <c r="G37" i="13"/>
  <c r="G38" i="13" s="1"/>
  <c r="G40" i="13" s="1"/>
  <c r="G41" i="3"/>
  <c r="M18" i="14"/>
  <c r="K23" i="14"/>
  <c r="K23" i="7"/>
  <c r="M18" i="7"/>
  <c r="K27" i="11"/>
  <c r="M24" i="11"/>
  <c r="G37" i="6"/>
  <c r="G38" i="6" s="1"/>
  <c r="G38" i="11"/>
  <c r="G39" i="11" s="1"/>
  <c r="M33" i="15"/>
  <c r="N33" i="15" s="1"/>
  <c r="G28" i="2"/>
  <c r="M25" i="2"/>
  <c r="G40" i="8"/>
  <c r="K18" i="12"/>
  <c r="M15" i="12"/>
  <c r="N15" i="12" s="1"/>
  <c r="M18" i="4"/>
  <c r="K23" i="4"/>
  <c r="M19" i="4"/>
  <c r="N19" i="4" s="1"/>
  <c r="M32" i="4"/>
  <c r="N32" i="4" s="1"/>
  <c r="M23" i="13"/>
  <c r="N23" i="13" s="1"/>
  <c r="K26" i="13"/>
  <c r="G26" i="16"/>
  <c r="M23" i="16"/>
  <c r="G39" i="10"/>
  <c r="G40" i="10" s="1"/>
  <c r="K23" i="6"/>
  <c r="M18" i="6"/>
  <c r="G37" i="14"/>
  <c r="G38" i="14" s="1"/>
  <c r="G40" i="5"/>
  <c r="G36" i="15"/>
  <c r="K28" i="10"/>
  <c r="M25" i="10"/>
  <c r="K23" i="8"/>
  <c r="M18" i="8"/>
  <c r="M18" i="15"/>
  <c r="K23" i="15"/>
  <c r="G37" i="7"/>
  <c r="G38" i="7" s="1"/>
  <c r="M18" i="16"/>
  <c r="M34" i="4"/>
  <c r="N34" i="4" s="1"/>
  <c r="M18" i="5"/>
  <c r="K23" i="5"/>
  <c r="K40" i="2"/>
  <c r="K38" i="16"/>
  <c r="M42" i="17" l="1"/>
  <c r="N42" i="17" s="1"/>
  <c r="E6" i="1" s="1"/>
  <c r="P29" i="17"/>
  <c r="K38" i="18"/>
  <c r="K39" i="18" s="1"/>
  <c r="K40" i="18" s="1"/>
  <c r="M40" i="18" s="1"/>
  <c r="N40" i="18" s="1"/>
  <c r="F18" i="1" s="1"/>
  <c r="N28" i="18"/>
  <c r="N39" i="14"/>
  <c r="N18" i="13"/>
  <c r="P20" i="1" s="1"/>
  <c r="K27" i="3"/>
  <c r="M27" i="3" s="1"/>
  <c r="N27" i="3" s="1"/>
  <c r="N24" i="3"/>
  <c r="P6" i="1" s="1"/>
  <c r="O6" i="1"/>
  <c r="N25" i="2"/>
  <c r="P5" i="1" s="1"/>
  <c r="O5" i="1"/>
  <c r="N23" i="16"/>
  <c r="P23" i="1" s="1"/>
  <c r="O23" i="1"/>
  <c r="N24" i="11"/>
  <c r="P18" i="1" s="1"/>
  <c r="O18" i="1"/>
  <c r="N25" i="10"/>
  <c r="P17" i="1" s="1"/>
  <c r="O17" i="1"/>
  <c r="N19" i="11"/>
  <c r="G41" i="11"/>
  <c r="G40" i="6"/>
  <c r="M28" i="10"/>
  <c r="N28" i="10" s="1"/>
  <c r="K38" i="10"/>
  <c r="N18" i="5"/>
  <c r="P8" i="1" s="1"/>
  <c r="O8" i="1"/>
  <c r="M23" i="8"/>
  <c r="K26" i="8"/>
  <c r="G36" i="16"/>
  <c r="M26" i="16"/>
  <c r="N26" i="16" s="1"/>
  <c r="N18" i="4"/>
  <c r="G37" i="4"/>
  <c r="G38" i="4" s="1"/>
  <c r="G37" i="15"/>
  <c r="G38" i="15" s="1"/>
  <c r="K23" i="12"/>
  <c r="M18" i="12"/>
  <c r="N18" i="14"/>
  <c r="K40" i="16"/>
  <c r="M23" i="15"/>
  <c r="K26" i="15"/>
  <c r="M28" i="2"/>
  <c r="N28" i="2" s="1"/>
  <c r="G38" i="2"/>
  <c r="M27" i="11"/>
  <c r="N27" i="11" s="1"/>
  <c r="K37" i="11"/>
  <c r="M23" i="14"/>
  <c r="K26" i="14"/>
  <c r="N18" i="6"/>
  <c r="N18" i="15"/>
  <c r="G42" i="10"/>
  <c r="N18" i="7"/>
  <c r="N18" i="16"/>
  <c r="G40" i="7"/>
  <c r="M26" i="13"/>
  <c r="N26" i="13" s="1"/>
  <c r="K36" i="13"/>
  <c r="M23" i="6"/>
  <c r="K26" i="6"/>
  <c r="M23" i="5"/>
  <c r="N23" i="5" s="1"/>
  <c r="K26" i="5"/>
  <c r="N18" i="8"/>
  <c r="M23" i="4"/>
  <c r="K26" i="4"/>
  <c r="M23" i="7"/>
  <c r="K26" i="7"/>
  <c r="M39" i="18" l="1"/>
  <c r="N39" i="18" s="1"/>
  <c r="K42" i="18"/>
  <c r="P28" i="18" s="1"/>
  <c r="M38" i="18"/>
  <c r="N38" i="18" s="1"/>
  <c r="G42" i="18"/>
  <c r="N39" i="15"/>
  <c r="G40" i="14"/>
  <c r="K37" i="3"/>
  <c r="M37" i="3" s="1"/>
  <c r="N37" i="3" s="1"/>
  <c r="N23" i="8"/>
  <c r="O11" i="1"/>
  <c r="N23" i="7"/>
  <c r="P10" i="1" s="1"/>
  <c r="O10" i="1"/>
  <c r="N23" i="6"/>
  <c r="P9" i="1" s="1"/>
  <c r="O9" i="1"/>
  <c r="N23" i="4"/>
  <c r="P7" i="1" s="1"/>
  <c r="O7" i="1"/>
  <c r="N23" i="15"/>
  <c r="P22" i="1" s="1"/>
  <c r="O22" i="1"/>
  <c r="N23" i="14"/>
  <c r="P21" i="1" s="1"/>
  <c r="O21" i="1"/>
  <c r="G40" i="4"/>
  <c r="M38" i="10"/>
  <c r="N38" i="10" s="1"/>
  <c r="K39" i="10"/>
  <c r="M39" i="10" s="1"/>
  <c r="N39" i="10" s="1"/>
  <c r="M37" i="11"/>
  <c r="N37" i="11" s="1"/>
  <c r="K38" i="11"/>
  <c r="M38" i="11" s="1"/>
  <c r="N38" i="11" s="1"/>
  <c r="K36" i="15"/>
  <c r="M26" i="15"/>
  <c r="N26" i="15" s="1"/>
  <c r="K36" i="4"/>
  <c r="M26" i="4"/>
  <c r="N26" i="4" s="1"/>
  <c r="K37" i="13"/>
  <c r="M37" i="13" s="1"/>
  <c r="N37" i="13" s="1"/>
  <c r="M36" i="13"/>
  <c r="N36" i="13" s="1"/>
  <c r="K26" i="12"/>
  <c r="M23" i="12"/>
  <c r="G37" i="16"/>
  <c r="M37" i="16" s="1"/>
  <c r="N37" i="16" s="1"/>
  <c r="M36" i="16"/>
  <c r="N36" i="16" s="1"/>
  <c r="K36" i="7"/>
  <c r="M26" i="7"/>
  <c r="N26" i="7" s="1"/>
  <c r="K36" i="14"/>
  <c r="M26" i="14"/>
  <c r="N26" i="14" s="1"/>
  <c r="K36" i="8"/>
  <c r="M26" i="8"/>
  <c r="N26" i="8" s="1"/>
  <c r="P11" i="1" s="1"/>
  <c r="M26" i="5"/>
  <c r="N26" i="5" s="1"/>
  <c r="K36" i="5"/>
  <c r="G39" i="2"/>
  <c r="M39" i="2" s="1"/>
  <c r="N39" i="2" s="1"/>
  <c r="M38" i="2"/>
  <c r="N38" i="2" s="1"/>
  <c r="K36" i="6"/>
  <c r="M26" i="6"/>
  <c r="N26" i="6" s="1"/>
  <c r="K42" i="2"/>
  <c r="N18" i="12"/>
  <c r="M42" i="18" l="1"/>
  <c r="N42" i="18" s="1"/>
  <c r="E18" i="1" s="1"/>
  <c r="G40" i="15"/>
  <c r="K38" i="3"/>
  <c r="M38" i="3" s="1"/>
  <c r="N38" i="3" s="1"/>
  <c r="K38" i="13"/>
  <c r="K40" i="13" s="1"/>
  <c r="M40" i="13" s="1"/>
  <c r="N23" i="12"/>
  <c r="P19" i="1" s="1"/>
  <c r="O19" i="1"/>
  <c r="K39" i="11"/>
  <c r="K37" i="5"/>
  <c r="M37" i="5" s="1"/>
  <c r="N37" i="5" s="1"/>
  <c r="M36" i="5"/>
  <c r="N36" i="5" s="1"/>
  <c r="G38" i="16"/>
  <c r="K37" i="4"/>
  <c r="M37" i="4" s="1"/>
  <c r="N37" i="4" s="1"/>
  <c r="M36" i="4"/>
  <c r="N36" i="4" s="1"/>
  <c r="K37" i="8"/>
  <c r="M37" i="8" s="1"/>
  <c r="N37" i="8" s="1"/>
  <c r="M36" i="8"/>
  <c r="N36" i="8" s="1"/>
  <c r="M36" i="15"/>
  <c r="N36" i="15" s="1"/>
  <c r="K37" i="15"/>
  <c r="M37" i="15" s="1"/>
  <c r="N37" i="15" s="1"/>
  <c r="K37" i="6"/>
  <c r="M37" i="6" s="1"/>
  <c r="N37" i="6" s="1"/>
  <c r="M36" i="6"/>
  <c r="N36" i="6" s="1"/>
  <c r="K36" i="12"/>
  <c r="M26" i="12"/>
  <c r="N26" i="12" s="1"/>
  <c r="M36" i="14"/>
  <c r="N36" i="14" s="1"/>
  <c r="K37" i="14"/>
  <c r="M37" i="14" s="1"/>
  <c r="N37" i="14" s="1"/>
  <c r="K40" i="10"/>
  <c r="G40" i="2"/>
  <c r="K37" i="7"/>
  <c r="M37" i="7" s="1"/>
  <c r="N37" i="7" s="1"/>
  <c r="M36" i="7"/>
  <c r="N36" i="7" s="1"/>
  <c r="M38" i="13" l="1"/>
  <c r="N38" i="13" s="1"/>
  <c r="K39" i="3"/>
  <c r="M39" i="3" s="1"/>
  <c r="N39" i="3" s="1"/>
  <c r="F7" i="1" s="1"/>
  <c r="K38" i="4"/>
  <c r="M38" i="4" s="1"/>
  <c r="N38" i="4" s="1"/>
  <c r="F9" i="1" s="1"/>
  <c r="K38" i="5"/>
  <c r="M38" i="5" s="1"/>
  <c r="N38" i="5" s="1"/>
  <c r="K38" i="6"/>
  <c r="M38" i="6" s="1"/>
  <c r="N38" i="6" s="1"/>
  <c r="F10" i="1" s="1"/>
  <c r="M39" i="11"/>
  <c r="N39" i="11" s="1"/>
  <c r="F19" i="1" s="1"/>
  <c r="K38" i="8"/>
  <c r="M38" i="8" s="1"/>
  <c r="N38" i="8" s="1"/>
  <c r="F12" i="1" s="1"/>
  <c r="K38" i="7"/>
  <c r="M38" i="7" s="1"/>
  <c r="N38" i="7" s="1"/>
  <c r="F11" i="1" s="1"/>
  <c r="G40" i="16"/>
  <c r="M40" i="16" s="1"/>
  <c r="M38" i="16"/>
  <c r="N38" i="16" s="1"/>
  <c r="F24" i="1" s="1"/>
  <c r="K41" i="11"/>
  <c r="M41" i="11" s="1"/>
  <c r="N39" i="4"/>
  <c r="N39" i="5"/>
  <c r="N40" i="13"/>
  <c r="R20" i="1" s="1"/>
  <c r="Q20" i="1"/>
  <c r="M40" i="2"/>
  <c r="N40" i="2" s="1"/>
  <c r="F5" i="1" s="1"/>
  <c r="M36" i="12"/>
  <c r="N36" i="12" s="1"/>
  <c r="K37" i="12"/>
  <c r="M37" i="12" s="1"/>
  <c r="N37" i="12" s="1"/>
  <c r="K38" i="14"/>
  <c r="M40" i="10"/>
  <c r="N40" i="10" s="1"/>
  <c r="F17" i="1" s="1"/>
  <c r="N39" i="6"/>
  <c r="K38" i="15"/>
  <c r="N39" i="8" l="1"/>
  <c r="G42" i="2"/>
  <c r="M42" i="2" s="1"/>
  <c r="Q5" i="1" s="1"/>
  <c r="N39" i="7"/>
  <c r="K41" i="3"/>
  <c r="M41" i="3" s="1"/>
  <c r="N41" i="3" s="1"/>
  <c r="M38" i="14"/>
  <c r="N38" i="14" s="1"/>
  <c r="F22" i="1" s="1"/>
  <c r="K40" i="14"/>
  <c r="M40" i="14" s="1"/>
  <c r="K40" i="5"/>
  <c r="M40" i="5" s="1"/>
  <c r="K40" i="8"/>
  <c r="M40" i="8" s="1"/>
  <c r="K40" i="6"/>
  <c r="M40" i="6" s="1"/>
  <c r="K38" i="12"/>
  <c r="Q18" i="1"/>
  <c r="N41" i="11"/>
  <c r="Q23" i="1"/>
  <c r="N40" i="16"/>
  <c r="M38" i="15"/>
  <c r="N38" i="15" s="1"/>
  <c r="F23" i="1" s="1"/>
  <c r="K40" i="15"/>
  <c r="M40" i="15" s="1"/>
  <c r="K42" i="10"/>
  <c r="M42" i="10" s="1"/>
  <c r="K40" i="4"/>
  <c r="M40" i="4" s="1"/>
  <c r="R23" i="1" l="1"/>
  <c r="E24" i="1"/>
  <c r="R18" i="1"/>
  <c r="E19" i="1"/>
  <c r="R6" i="1"/>
  <c r="E7" i="1"/>
  <c r="Q6" i="1"/>
  <c r="N42" i="2"/>
  <c r="K40" i="7"/>
  <c r="M40" i="7" s="1"/>
  <c r="Q10" i="1" s="1"/>
  <c r="N40" i="8"/>
  <c r="Q11" i="1"/>
  <c r="Q17" i="1"/>
  <c r="N42" i="10"/>
  <c r="Q22" i="1"/>
  <c r="N40" i="15"/>
  <c r="Q9" i="1"/>
  <c r="N40" i="6"/>
  <c r="M38" i="12"/>
  <c r="N38" i="12" s="1"/>
  <c r="F21" i="1" s="1"/>
  <c r="K40" i="12"/>
  <c r="M40" i="12" s="1"/>
  <c r="N40" i="5"/>
  <c r="R8" i="1" s="1"/>
  <c r="Q8" i="1"/>
  <c r="N40" i="14"/>
  <c r="Q21" i="1"/>
  <c r="N40" i="4"/>
  <c r="Q7" i="1"/>
  <c r="R22" i="1" l="1"/>
  <c r="E23" i="1"/>
  <c r="R21" i="1"/>
  <c r="E22" i="1"/>
  <c r="R11" i="1"/>
  <c r="E12" i="1"/>
  <c r="R9" i="1"/>
  <c r="E10" i="1"/>
  <c r="R7" i="1"/>
  <c r="E9" i="1"/>
  <c r="R5" i="1"/>
  <c r="E5" i="1"/>
  <c r="R17" i="1"/>
  <c r="E17" i="1"/>
  <c r="N40" i="7"/>
  <c r="Q19" i="1"/>
  <c r="N40" i="12"/>
  <c r="R19" i="1" l="1"/>
  <c r="E21" i="1"/>
  <c r="R10" i="1"/>
  <c r="E11" i="1"/>
</calcChain>
</file>

<file path=xl/comments1.xml><?xml version="1.0" encoding="utf-8"?>
<comments xmlns="http://schemas.openxmlformats.org/spreadsheetml/2006/main">
  <authors>
    <author>Richard Dimmel</author>
  </authors>
  <commentList>
    <comment ref="I19" authorId="0">
      <text>
        <r>
          <rPr>
            <b/>
            <sz val="9"/>
            <color indexed="81"/>
            <rFont val="Tahoma"/>
            <family val="2"/>
          </rPr>
          <t>Richard Dimmel:</t>
        </r>
        <r>
          <rPr>
            <sz val="9"/>
            <color indexed="81"/>
            <rFont val="Tahoma"/>
            <family val="2"/>
          </rPr>
          <t xml:space="preserve">
LRAM rate rider
</t>
        </r>
      </text>
    </comment>
  </commentList>
</comments>
</file>

<file path=xl/comments2.xml><?xml version="1.0" encoding="utf-8"?>
<comments xmlns="http://schemas.openxmlformats.org/spreadsheetml/2006/main">
  <authors>
    <author>Richard Dimmel</author>
  </authors>
  <commentList>
    <comment ref="I18" authorId="0">
      <text>
        <r>
          <rPr>
            <b/>
            <sz val="9"/>
            <color indexed="81"/>
            <rFont val="Tahoma"/>
            <family val="2"/>
          </rPr>
          <t>Richard Dimmel:</t>
        </r>
        <r>
          <rPr>
            <sz val="9"/>
            <color indexed="81"/>
            <rFont val="Tahoma"/>
            <family val="2"/>
          </rPr>
          <t xml:space="preserve">
includes LRAM rate rider .0016 plus tax chge rate rider (.0001)</t>
        </r>
      </text>
    </comment>
  </commentList>
</comments>
</file>

<file path=xl/comments3.xml><?xml version="1.0" encoding="utf-8"?>
<comments xmlns="http://schemas.openxmlformats.org/spreadsheetml/2006/main">
  <authors>
    <author>Richard Dimmel</author>
  </authors>
  <commentList>
    <comment ref="I17" authorId="0">
      <text>
        <r>
          <rPr>
            <b/>
            <sz val="9"/>
            <color indexed="81"/>
            <rFont val="Tahoma"/>
            <family val="2"/>
          </rPr>
          <t>Richard Dimmel:</t>
        </r>
        <r>
          <rPr>
            <sz val="9"/>
            <color indexed="81"/>
            <rFont val="Tahoma"/>
            <family val="2"/>
          </rPr>
          <t xml:space="preserve">
includes LRAM rate rider .0016 plus tax chge rate rider (.0001)</t>
        </r>
      </text>
    </comment>
  </commentList>
</comments>
</file>

<file path=xl/sharedStrings.xml><?xml version="1.0" encoding="utf-8"?>
<sst xmlns="http://schemas.openxmlformats.org/spreadsheetml/2006/main" count="816" uniqueCount="87">
  <si>
    <t>Rate Class</t>
  </si>
  <si>
    <t>kWh</t>
  </si>
  <si>
    <t>kW</t>
  </si>
  <si>
    <t>Distribution Bill Impact</t>
  </si>
  <si>
    <t>Total Bill Impact</t>
  </si>
  <si>
    <t>$</t>
  </si>
  <si>
    <t>%</t>
  </si>
  <si>
    <t>Residential</t>
  </si>
  <si>
    <t>GS&lt;50</t>
  </si>
  <si>
    <t>GS 50 - 2,999</t>
  </si>
  <si>
    <t>GS 3,000 - 4,999 (H1 only - no rate riders)</t>
  </si>
  <si>
    <t>UMSL</t>
  </si>
  <si>
    <t>Sentinel Lights</t>
  </si>
  <si>
    <t>Street Lights</t>
  </si>
  <si>
    <t>Loss Factor</t>
  </si>
  <si>
    <t>Consumption</t>
  </si>
  <si>
    <t xml:space="preserve"> kWh</t>
  </si>
  <si>
    <t>If Billed on a kW basis:</t>
  </si>
  <si>
    <t>Demand</t>
  </si>
  <si>
    <t>Current Board-Approved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</si>
  <si>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</si>
  <si>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</si>
  <si>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</si>
  <si>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</si>
  <si>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</si>
  <si>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</si>
  <si>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</si>
  <si>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</si>
  <si>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</si>
  <si>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</si>
  <si>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</si>
  <si>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</si>
  <si>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</si>
  <si>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</si>
  <si>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</si>
  <si>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Low Voltage Service Charge</t>
  </si>
  <si>
    <t>Smart Meter Entity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</si>
  <si>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</si>
  <si>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</si>
  <si>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</si>
  <si>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</si>
  <si>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</si>
  <si>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</si>
  <si>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</si>
  <si>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</si>
  <si>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</si>
  <si>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</si>
  <si>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</si>
  <si>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</si>
  <si>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</si>
  <si>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</si>
  <si>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t>Total Bill on TOU (including OCEB)</t>
  </si>
  <si>
    <t>GENERAL SERVICE 3,000 TO 4,999 KW</t>
  </si>
  <si>
    <t>Rate Class:</t>
  </si>
  <si>
    <t>GS 3,000 - 4,999 (H1 Only - No Rate Riders)</t>
  </si>
  <si>
    <t>Cost of Power - Spot</t>
  </si>
  <si>
    <t>Global Adjustment</t>
  </si>
  <si>
    <t>SMDR</t>
  </si>
  <si>
    <t>SMIRR</t>
  </si>
  <si>
    <t>RESIDENTIAL NON RPP</t>
  </si>
  <si>
    <t>GENERAL SERVICE LESS THAN 50 KW NON RPP</t>
  </si>
  <si>
    <t>UNMETERED SCATTERED LOAD NON RPP</t>
  </si>
  <si>
    <t>SENTINEL LIGHTING NON RPP</t>
  </si>
  <si>
    <t>STREET LIGHTING NON RPP</t>
  </si>
  <si>
    <t>Fixed Rate Rider</t>
  </si>
  <si>
    <t>Non-Retailer Avg Price</t>
  </si>
  <si>
    <t>Non-RPP Retailer Avg Price</t>
  </si>
  <si>
    <t>GENERAL SERVICE 50 TO 2,999 KW NON RPP Interval Metered</t>
  </si>
  <si>
    <t>RESIDENTIAL NON RPP 10th Percentile</t>
  </si>
  <si>
    <t xml:space="preserve">2016 RPP BILL IMPACTS  </t>
  </si>
  <si>
    <t xml:space="preserve">2016 Non-RPP BILL IMPACTS </t>
  </si>
  <si>
    <t>Residential 10 th Percentile</t>
  </si>
  <si>
    <t>Change in Total Bill</t>
  </si>
  <si>
    <t>Including OCEB</t>
  </si>
  <si>
    <t>excluding OCEB</t>
  </si>
  <si>
    <t xml:space="preserve">Residential </t>
  </si>
  <si>
    <t>Rate Class RPP</t>
  </si>
  <si>
    <t>Rate Class non-RPP</t>
  </si>
  <si>
    <t>RESIDENTIAL RPP</t>
  </si>
  <si>
    <t>RESIDENTIAL RPP 10th Percentile</t>
  </si>
  <si>
    <t>GENERAL SERVICE LESS THAN 50 KW RPP</t>
  </si>
  <si>
    <t>GENERAL SERVICE 50 TO 2,999 KW Interval Metered RPP</t>
  </si>
  <si>
    <t>GENERAL SERVICE 3,000 TO 4,999 KW RPP</t>
  </si>
  <si>
    <t>UNMETERED SCATTERED LOAD RPP</t>
  </si>
  <si>
    <t>SENTINEL LIGHTING RPP</t>
  </si>
  <si>
    <t>STREET LIGHTING RPP</t>
  </si>
  <si>
    <t>Ontario Electricity Support Program (OESP)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</si>
</sst>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00_-;\-* #,##0.0000_-;_-* &quot;-&quot;??_-;_-@_-"/>
    <numFmt numFmtId="168" formatCode="_-* #,##0_-;\-* #,##0_-;_-* &quot;-&quot;??_-;_-@_-"/>
    <numFmt numFmtId="169" formatCode="_-&quot;$&quot;* #,##0.0000_-;\-&quot;$&quot;* #,##0.0000_-;_-&quot;$&quot;* &quot;-&quot;??_-;_-@_-"/>
    <numFmt numFmtId="170" formatCode="#,##0.0000_ ;\-#,##0.0000\ "/>
    <numFmt numFmtId="171" formatCode="_(* #,##0.0_);_(* \(#,##0.0\);_(* &quot;-&quot;??_);_(@_)"/>
    <numFmt numFmtId="172" formatCode="#,##0.0"/>
    <numFmt numFmtId="173" formatCode="mm/dd/yyyy"/>
    <numFmt numFmtId="174" formatCode="0\-0"/>
    <numFmt numFmtId="175" formatCode="##\-#"/>
    <numFmt numFmtId="176" formatCode="_(* #,##0_);_(* \(#,##0\);_(* &quot;-&quot;??_);_(@_)"/>
    <numFmt numFmtId="177" formatCode="&quot;£ &quot;#,##0.00;[Red]\-&quot;£ &quot;#,##0.00"/>
    <numFmt numFmtId="178" formatCode="0.0%"/>
  </numFmts>
  <fonts count="39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u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1"/>
      <color indexed="10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9">
    <xf numFmtId="0" fontId="0" fillId="0" borderId="0"/>
    <xf numFmtId="171" fontId="6" fillId="0" borderId="0"/>
    <xf numFmtId="172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3" fontId="6" fillId="0" borderId="0"/>
    <xf numFmtId="174" fontId="6" fillId="0" borderId="0"/>
    <xf numFmtId="173" fontId="6" fillId="0" borderId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33" applyNumberFormat="0" applyAlignment="0" applyProtection="0"/>
    <xf numFmtId="0" fontId="23" fillId="35" borderId="34" applyNumberFormat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25" fillId="36" borderId="0" applyNumberFormat="0" applyBorder="0" applyAlignment="0" applyProtection="0"/>
    <xf numFmtId="38" fontId="4" fillId="2" borderId="0" applyNumberFormat="0" applyBorder="0" applyAlignment="0" applyProtection="0"/>
    <xf numFmtId="0" fontId="26" fillId="0" borderId="35" applyNumberFormat="0" applyFill="0" applyAlignment="0" applyProtection="0"/>
    <xf numFmtId="0" fontId="27" fillId="0" borderId="36" applyNumberFormat="0" applyFill="0" applyAlignment="0" applyProtection="0"/>
    <xf numFmtId="0" fontId="28" fillId="0" borderId="37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0" fontId="4" fillId="3" borderId="1" applyNumberFormat="0" applyBorder="0" applyAlignment="0" applyProtection="0"/>
    <xf numFmtId="0" fontId="30" fillId="37" borderId="33" applyNumberFormat="0" applyAlignment="0" applyProtection="0"/>
    <xf numFmtId="0" fontId="31" fillId="0" borderId="38" applyNumberFormat="0" applyFill="0" applyAlignment="0" applyProtection="0"/>
    <xf numFmtId="175" fontId="6" fillId="0" borderId="0"/>
    <xf numFmtId="176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0" fontId="32" fillId="38" borderId="0" applyNumberFormat="0" applyBorder="0" applyAlignment="0" applyProtection="0"/>
    <xf numFmtId="177" fontId="6" fillId="0" borderId="0"/>
    <xf numFmtId="0" fontId="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39" borderId="39" applyNumberFormat="0" applyFont="0" applyAlignment="0" applyProtection="0"/>
    <xf numFmtId="0" fontId="33" fillId="34" borderId="40" applyNumberFormat="0" applyAlignment="0" applyProtection="0"/>
    <xf numFmtId="9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41" applyNumberFormat="0" applyFill="0" applyAlignment="0" applyProtection="0"/>
    <xf numFmtId="0" fontId="36" fillId="0" borderId="0" applyNumberFormat="0" applyFill="0" applyBorder="0" applyAlignment="0" applyProtection="0"/>
  </cellStyleXfs>
  <cellXfs count="257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6" fontId="4" fillId="0" borderId="4" xfId="40" applyFont="1" applyBorder="1" applyAlignment="1">
      <alignment vertical="center"/>
    </xf>
    <xf numFmtId="10" fontId="4" fillId="0" borderId="4" xfId="81" applyNumberFormat="1" applyFont="1" applyBorder="1" applyAlignment="1">
      <alignment vertical="center"/>
    </xf>
    <xf numFmtId="10" fontId="4" fillId="0" borderId="5" xfId="8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6" fontId="4" fillId="0" borderId="1" xfId="40" applyFont="1" applyBorder="1" applyAlignment="1">
      <alignment vertical="center"/>
    </xf>
    <xf numFmtId="10" fontId="4" fillId="0" borderId="1" xfId="81" applyNumberFormat="1" applyFont="1" applyBorder="1" applyAlignment="1">
      <alignment vertical="center"/>
    </xf>
    <xf numFmtId="10" fontId="4" fillId="0" borderId="7" xfId="81" applyNumberFormat="1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10" fontId="4" fillId="0" borderId="1" xfId="4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6" fontId="4" fillId="0" borderId="9" xfId="40" applyFont="1" applyBorder="1" applyAlignment="1">
      <alignment vertical="center"/>
    </xf>
    <xf numFmtId="10" fontId="4" fillId="0" borderId="9" xfId="81" applyNumberFormat="1" applyFont="1" applyBorder="1" applyAlignment="1">
      <alignment vertical="center"/>
    </xf>
    <xf numFmtId="10" fontId="4" fillId="0" borderId="10" xfId="81" applyNumberFormat="1" applyFont="1" applyBorder="1" applyAlignment="1">
      <alignment vertical="center"/>
    </xf>
    <xf numFmtId="0" fontId="7" fillId="0" borderId="0" xfId="74" applyFont="1" applyAlignment="1" applyProtection="1">
      <alignment horizontal="right"/>
      <protection locked="0"/>
    </xf>
    <xf numFmtId="0" fontId="6" fillId="0" borderId="0" xfId="74" applyProtection="1">
      <protection locked="0"/>
    </xf>
    <xf numFmtId="0" fontId="8" fillId="4" borderId="0" xfId="74" applyFont="1" applyFill="1" applyAlignment="1" applyProtection="1">
      <alignment vertical="center"/>
      <protection locked="0"/>
    </xf>
    <xf numFmtId="0" fontId="6" fillId="0" borderId="0" xfId="74" applyFont="1" applyAlignment="1" applyProtection="1">
      <alignment horizontal="right"/>
    </xf>
    <xf numFmtId="0" fontId="6" fillId="0" borderId="0" xfId="74" applyProtection="1"/>
    <xf numFmtId="0" fontId="9" fillId="0" borderId="0" xfId="74" applyFont="1" applyAlignment="1" applyProtection="1">
      <alignment horizontal="left"/>
    </xf>
    <xf numFmtId="0" fontId="8" fillId="0" borderId="0" xfId="74" applyFont="1" applyAlignment="1" applyProtection="1">
      <alignment horizontal="center"/>
    </xf>
    <xf numFmtId="0" fontId="8" fillId="0" borderId="0" xfId="74" applyFont="1" applyAlignment="1" applyProtection="1">
      <alignment horizontal="center"/>
      <protection locked="0"/>
    </xf>
    <xf numFmtId="167" fontId="7" fillId="4" borderId="0" xfId="40" applyNumberFormat="1" applyFont="1" applyFill="1" applyBorder="1" applyProtection="1">
      <protection locked="0"/>
    </xf>
    <xf numFmtId="0" fontId="7" fillId="0" borderId="0" xfId="74" applyFont="1" applyAlignment="1" applyProtection="1">
      <alignment horizontal="center" vertical="center"/>
      <protection locked="0"/>
    </xf>
    <xf numFmtId="0" fontId="7" fillId="0" borderId="0" xfId="74" applyFont="1" applyProtection="1">
      <protection locked="0"/>
    </xf>
    <xf numFmtId="168" fontId="7" fillId="5" borderId="0" xfId="40" applyNumberFormat="1" applyFont="1" applyFill="1" applyBorder="1" applyProtection="1">
      <protection locked="0"/>
    </xf>
    <xf numFmtId="0" fontId="7" fillId="0" borderId="0" xfId="74" applyFont="1" applyProtection="1"/>
    <xf numFmtId="0" fontId="10" fillId="0" borderId="0" xfId="74" applyFont="1" applyFill="1" applyAlignment="1" applyProtection="1">
      <alignment horizontal="right"/>
      <protection locked="0"/>
    </xf>
    <xf numFmtId="0" fontId="7" fillId="0" borderId="11" xfId="74" applyFont="1" applyBorder="1" applyAlignment="1" applyProtection="1">
      <alignment horizontal="right"/>
      <protection locked="0"/>
    </xf>
    <xf numFmtId="0" fontId="6" fillId="0" borderId="11" xfId="74" applyBorder="1" applyProtection="1">
      <protection locked="0"/>
    </xf>
    <xf numFmtId="0" fontId="7" fillId="0" borderId="11" xfId="74" applyFont="1" applyBorder="1" applyAlignment="1" applyProtection="1">
      <alignment horizontal="center" vertical="center"/>
      <protection locked="0"/>
    </xf>
    <xf numFmtId="0" fontId="7" fillId="0" borderId="11" xfId="74" applyFont="1" applyBorder="1" applyProtection="1">
      <protection locked="0"/>
    </xf>
    <xf numFmtId="0" fontId="7" fillId="0" borderId="11" xfId="74" applyFont="1" applyFill="1" applyBorder="1" applyProtection="1"/>
    <xf numFmtId="0" fontId="7" fillId="0" borderId="0" xfId="74" applyFont="1" applyAlignment="1" applyProtection="1">
      <alignment horizontal="right"/>
    </xf>
    <xf numFmtId="0" fontId="7" fillId="0" borderId="0" xfId="74" applyFont="1" applyAlignment="1" applyProtection="1">
      <alignment horizontal="center" vertical="center"/>
    </xf>
    <xf numFmtId="0" fontId="6" fillId="0" borderId="0" xfId="74" applyFont="1" applyProtection="1"/>
    <xf numFmtId="0" fontId="7" fillId="0" borderId="0" xfId="74" applyFont="1" applyAlignment="1" applyProtection="1"/>
    <xf numFmtId="0" fontId="7" fillId="0" borderId="0" xfId="74" applyFont="1" applyAlignment="1" applyProtection="1">
      <alignment horizontal="center"/>
    </xf>
    <xf numFmtId="0" fontId="7" fillId="0" borderId="12" xfId="74" applyFont="1" applyBorder="1" applyAlignment="1" applyProtection="1">
      <alignment horizontal="center"/>
    </xf>
    <xf numFmtId="0" fontId="7" fillId="0" borderId="13" xfId="74" applyFont="1" applyBorder="1" applyAlignment="1" applyProtection="1">
      <alignment horizontal="center"/>
    </xf>
    <xf numFmtId="0" fontId="7" fillId="0" borderId="14" xfId="74" applyFont="1" applyBorder="1" applyAlignment="1" applyProtection="1">
      <alignment horizontal="center"/>
    </xf>
    <xf numFmtId="0" fontId="7" fillId="0" borderId="15" xfId="74" quotePrefix="1" applyFont="1" applyBorder="1" applyAlignment="1" applyProtection="1">
      <alignment horizontal="center"/>
    </xf>
    <xf numFmtId="0" fontId="7" fillId="0" borderId="16" xfId="74" quotePrefix="1" applyFont="1" applyBorder="1" applyAlignment="1" applyProtection="1">
      <alignment horizontal="center"/>
    </xf>
    <xf numFmtId="0" fontId="6" fillId="0" borderId="0" xfId="74" applyBorder="1" applyAlignment="1" applyProtection="1">
      <alignment vertical="top"/>
    </xf>
    <xf numFmtId="0" fontId="6" fillId="4" borderId="0" xfId="74" applyFill="1" applyBorder="1" applyAlignment="1" applyProtection="1">
      <alignment vertical="top"/>
    </xf>
    <xf numFmtId="0" fontId="6" fillId="0" borderId="0" xfId="74" applyFill="1" applyBorder="1" applyAlignment="1" applyProtection="1">
      <alignment vertical="top"/>
      <protection locked="0"/>
    </xf>
    <xf numFmtId="44" fontId="12" fillId="4" borderId="17" xfId="48" applyFont="1" applyFill="1" applyBorder="1" applyAlignment="1" applyProtection="1">
      <alignment horizontal="right" vertical="center"/>
      <protection locked="0"/>
    </xf>
    <xf numFmtId="0" fontId="13" fillId="0" borderId="17" xfId="74" applyFont="1" applyFill="1" applyBorder="1" applyAlignment="1" applyProtection="1">
      <alignment horizontal="right" vertical="center"/>
      <protection locked="0"/>
    </xf>
    <xf numFmtId="44" fontId="12" fillId="0" borderId="13" xfId="47" applyFont="1" applyBorder="1" applyAlignment="1" applyProtection="1">
      <alignment horizontal="right" vertical="center"/>
    </xf>
    <xf numFmtId="0" fontId="13" fillId="0" borderId="0" xfId="74" applyFont="1" applyBorder="1" applyAlignment="1" applyProtection="1">
      <alignment horizontal="right" vertical="center"/>
      <protection locked="0"/>
    </xf>
    <xf numFmtId="0" fontId="13" fillId="0" borderId="13" xfId="74" applyFont="1" applyFill="1" applyBorder="1" applyAlignment="1" applyProtection="1">
      <alignment horizontal="right" vertical="center"/>
      <protection locked="0"/>
    </xf>
    <xf numFmtId="44" fontId="12" fillId="0" borderId="13" xfId="47" applyNumberFormat="1" applyFont="1" applyBorder="1" applyAlignment="1" applyProtection="1">
      <alignment horizontal="right" vertical="center"/>
    </xf>
    <xf numFmtId="44" fontId="13" fillId="0" borderId="17" xfId="74" applyNumberFormat="1" applyFont="1" applyBorder="1" applyAlignment="1" applyProtection="1">
      <alignment horizontal="right" vertical="center"/>
    </xf>
    <xf numFmtId="10" fontId="12" fillId="0" borderId="13" xfId="83" applyNumberFormat="1" applyFont="1" applyBorder="1" applyAlignment="1" applyProtection="1">
      <alignment horizontal="right" vertical="center"/>
    </xf>
    <xf numFmtId="169" fontId="12" fillId="4" borderId="17" xfId="47" applyNumberFormat="1" applyFont="1" applyFill="1" applyBorder="1" applyAlignment="1" applyProtection="1">
      <alignment horizontal="right" vertical="center"/>
      <protection locked="0"/>
    </xf>
    <xf numFmtId="168" fontId="13" fillId="0" borderId="17" xfId="74" applyNumberFormat="1" applyFont="1" applyFill="1" applyBorder="1" applyAlignment="1" applyProtection="1">
      <alignment horizontal="right" vertical="center"/>
      <protection locked="0"/>
    </xf>
    <xf numFmtId="168" fontId="13" fillId="0" borderId="13" xfId="74" applyNumberFormat="1" applyFont="1" applyFill="1" applyBorder="1" applyAlignment="1" applyProtection="1">
      <alignment horizontal="right" vertical="center"/>
      <protection locked="0"/>
    </xf>
    <xf numFmtId="0" fontId="6" fillId="0" borderId="0" xfId="74" applyFill="1" applyBorder="1" applyAlignment="1" applyProtection="1">
      <alignment vertical="top"/>
    </xf>
    <xf numFmtId="44" fontId="12" fillId="4" borderId="17" xfId="47" applyNumberFormat="1" applyFont="1" applyFill="1" applyBorder="1" applyAlignment="1" applyProtection="1">
      <alignment horizontal="right" vertical="center"/>
      <protection locked="0"/>
    </xf>
    <xf numFmtId="0" fontId="6" fillId="0" borderId="11" xfId="74" applyBorder="1" applyAlignment="1" applyProtection="1">
      <alignment vertical="top"/>
    </xf>
    <xf numFmtId="0" fontId="6" fillId="0" borderId="11" xfId="74" applyFill="1" applyBorder="1" applyAlignment="1" applyProtection="1">
      <alignment vertical="top"/>
    </xf>
    <xf numFmtId="0" fontId="6" fillId="4" borderId="11" xfId="74" applyFill="1" applyBorder="1" applyAlignment="1" applyProtection="1">
      <alignment vertical="top"/>
    </xf>
    <xf numFmtId="0" fontId="6" fillId="0" borderId="11" xfId="74" applyFill="1" applyBorder="1" applyAlignment="1" applyProtection="1">
      <alignment vertical="top"/>
      <protection locked="0"/>
    </xf>
    <xf numFmtId="170" fontId="12" fillId="4" borderId="15" xfId="47" applyNumberFormat="1" applyFont="1" applyFill="1" applyBorder="1" applyAlignment="1" applyProtection="1">
      <alignment horizontal="right" vertical="center"/>
      <protection locked="0"/>
    </xf>
    <xf numFmtId="168" fontId="13" fillId="0" borderId="15" xfId="74" applyNumberFormat="1" applyFont="1" applyFill="1" applyBorder="1" applyAlignment="1" applyProtection="1">
      <alignment horizontal="right" vertical="center"/>
      <protection locked="0"/>
    </xf>
    <xf numFmtId="44" fontId="12" fillId="0" borderId="16" xfId="47" applyFont="1" applyBorder="1" applyAlignment="1" applyProtection="1">
      <alignment horizontal="right" vertical="center"/>
    </xf>
    <xf numFmtId="0" fontId="13" fillId="0" borderId="11" xfId="74" applyFont="1" applyBorder="1" applyAlignment="1" applyProtection="1">
      <alignment horizontal="right" vertical="center"/>
      <protection locked="0"/>
    </xf>
    <xf numFmtId="168" fontId="13" fillId="0" borderId="16" xfId="74" applyNumberFormat="1" applyFont="1" applyFill="1" applyBorder="1" applyAlignment="1" applyProtection="1">
      <alignment horizontal="right" vertical="center"/>
      <protection locked="0"/>
    </xf>
    <xf numFmtId="44" fontId="13" fillId="0" borderId="15" xfId="74" applyNumberFormat="1" applyFont="1" applyBorder="1" applyAlignment="1" applyProtection="1">
      <alignment horizontal="right" vertical="center"/>
    </xf>
    <xf numFmtId="10" fontId="12" fillId="0" borderId="16" xfId="83" applyNumberFormat="1" applyFont="1" applyBorder="1" applyAlignment="1" applyProtection="1">
      <alignment horizontal="right" vertical="center"/>
    </xf>
    <xf numFmtId="0" fontId="7" fillId="6" borderId="18" xfId="74" applyFont="1" applyFill="1" applyBorder="1" applyAlignment="1" applyProtection="1">
      <alignment vertical="top"/>
    </xf>
    <xf numFmtId="0" fontId="6" fillId="6" borderId="11" xfId="74" applyFill="1" applyBorder="1" applyAlignment="1" applyProtection="1">
      <alignment vertical="top"/>
    </xf>
    <xf numFmtId="0" fontId="6" fillId="6" borderId="11" xfId="74" applyFill="1" applyBorder="1" applyAlignment="1" applyProtection="1">
      <alignment vertical="top"/>
      <protection locked="0"/>
    </xf>
    <xf numFmtId="169" fontId="12" fillId="6" borderId="15" xfId="47" applyNumberFormat="1" applyFont="1" applyFill="1" applyBorder="1" applyAlignment="1" applyProtection="1">
      <alignment horizontal="right" vertical="center"/>
      <protection locked="0"/>
    </xf>
    <xf numFmtId="0" fontId="13" fillId="6" borderId="15" xfId="74" applyFont="1" applyFill="1" applyBorder="1" applyAlignment="1" applyProtection="1">
      <alignment horizontal="right" vertical="center"/>
      <protection locked="0"/>
    </xf>
    <xf numFmtId="44" fontId="14" fillId="6" borderId="16" xfId="47" applyFont="1" applyFill="1" applyBorder="1" applyAlignment="1" applyProtection="1">
      <alignment horizontal="right" vertical="center"/>
    </xf>
    <xf numFmtId="0" fontId="13" fillId="4" borderId="0" xfId="74" applyFont="1" applyFill="1" applyAlignment="1" applyProtection="1">
      <alignment horizontal="right" vertical="center"/>
      <protection locked="0"/>
    </xf>
    <xf numFmtId="0" fontId="13" fillId="6" borderId="16" xfId="74" applyFont="1" applyFill="1" applyBorder="1" applyAlignment="1" applyProtection="1">
      <alignment horizontal="right" vertical="center"/>
      <protection locked="0"/>
    </xf>
    <xf numFmtId="0" fontId="13" fillId="6" borderId="0" xfId="74" applyFont="1" applyFill="1" applyAlignment="1" applyProtection="1">
      <alignment horizontal="right" vertical="center"/>
      <protection locked="0"/>
    </xf>
    <xf numFmtId="44" fontId="15" fillId="6" borderId="15" xfId="74" applyNumberFormat="1" applyFont="1" applyFill="1" applyBorder="1" applyAlignment="1" applyProtection="1">
      <alignment horizontal="right" vertical="center"/>
    </xf>
    <xf numFmtId="10" fontId="15" fillId="6" borderId="16" xfId="83" applyNumberFormat="1" applyFont="1" applyFill="1" applyBorder="1" applyAlignment="1" applyProtection="1">
      <alignment horizontal="right" vertical="center"/>
    </xf>
    <xf numFmtId="0" fontId="6" fillId="0" borderId="0" xfId="74" applyFont="1" applyFill="1" applyAlignment="1" applyProtection="1">
      <alignment vertical="top" wrapText="1"/>
    </xf>
    <xf numFmtId="0" fontId="6" fillId="0" borderId="0" xfId="74" applyAlignment="1" applyProtection="1">
      <alignment vertical="top"/>
    </xf>
    <xf numFmtId="0" fontId="6" fillId="4" borderId="0" xfId="74" applyFill="1" applyAlignment="1" applyProtection="1">
      <alignment vertical="top"/>
    </xf>
    <xf numFmtId="0" fontId="6" fillId="0" borderId="0" xfId="74" applyFill="1" applyAlignment="1" applyProtection="1">
      <alignment vertical="top"/>
      <protection locked="0"/>
    </xf>
    <xf numFmtId="168" fontId="13" fillId="0" borderId="17" xfId="44" applyNumberFormat="1" applyFont="1" applyFill="1" applyBorder="1" applyAlignment="1" applyProtection="1">
      <alignment horizontal="right" vertical="center"/>
      <protection locked="0"/>
    </xf>
    <xf numFmtId="0" fontId="13" fillId="0" borderId="0" xfId="74" applyFont="1" applyAlignment="1" applyProtection="1">
      <alignment horizontal="right" vertical="center"/>
      <protection locked="0"/>
    </xf>
    <xf numFmtId="170" fontId="12" fillId="4" borderId="17" xfId="47" applyNumberFormat="1" applyFont="1" applyFill="1" applyBorder="1" applyAlignment="1" applyProtection="1">
      <alignment horizontal="right" vertical="center"/>
      <protection locked="0"/>
    </xf>
    <xf numFmtId="0" fontId="6" fillId="0" borderId="0" xfId="74" applyFont="1" applyAlignment="1" applyProtection="1">
      <alignment vertical="top"/>
    </xf>
    <xf numFmtId="0" fontId="7" fillId="6" borderId="19" xfId="74" applyFont="1" applyFill="1" applyBorder="1" applyAlignment="1" applyProtection="1">
      <alignment vertical="top" wrapText="1"/>
    </xf>
    <xf numFmtId="0" fontId="6" fillId="6" borderId="20" xfId="74" applyFill="1" applyBorder="1" applyProtection="1"/>
    <xf numFmtId="0" fontId="6" fillId="6" borderId="20" xfId="74" applyFill="1" applyBorder="1" applyProtection="1">
      <protection locked="0"/>
    </xf>
    <xf numFmtId="0" fontId="13" fillId="6" borderId="1" xfId="74" applyFont="1" applyFill="1" applyBorder="1" applyAlignment="1" applyProtection="1">
      <alignment horizontal="right" vertical="center"/>
      <protection locked="0"/>
    </xf>
    <xf numFmtId="44" fontId="15" fillId="6" borderId="21" xfId="74" applyNumberFormat="1" applyFont="1" applyFill="1" applyBorder="1" applyAlignment="1" applyProtection="1">
      <alignment horizontal="right" vertical="center"/>
    </xf>
    <xf numFmtId="0" fontId="13" fillId="6" borderId="21" xfId="74" applyFont="1" applyFill="1" applyBorder="1" applyAlignment="1" applyProtection="1">
      <alignment horizontal="right" vertical="center"/>
      <protection locked="0"/>
    </xf>
    <xf numFmtId="44" fontId="15" fillId="6" borderId="1" xfId="74" applyNumberFormat="1" applyFont="1" applyFill="1" applyBorder="1" applyAlignment="1" applyProtection="1">
      <alignment horizontal="right" vertical="center"/>
    </xf>
    <xf numFmtId="10" fontId="15" fillId="6" borderId="21" xfId="83" applyNumberFormat="1" applyFont="1" applyFill="1" applyBorder="1" applyAlignment="1" applyProtection="1">
      <alignment horizontal="right" vertical="center"/>
    </xf>
    <xf numFmtId="0" fontId="6" fillId="0" borderId="0" xfId="74" applyAlignment="1" applyProtection="1">
      <alignment vertical="center"/>
    </xf>
    <xf numFmtId="0" fontId="6" fillId="4" borderId="0" xfId="74" applyFill="1" applyAlignment="1" applyProtection="1">
      <alignment vertical="center"/>
    </xf>
    <xf numFmtId="0" fontId="6" fillId="0" borderId="0" xfId="74" applyFill="1" applyAlignment="1" applyProtection="1">
      <alignment vertical="center"/>
      <protection locked="0"/>
    </xf>
    <xf numFmtId="168" fontId="13" fillId="4" borderId="17" xfId="44" applyNumberFormat="1" applyFont="1" applyFill="1" applyBorder="1" applyAlignment="1" applyProtection="1">
      <alignment horizontal="right" vertical="center"/>
      <protection locked="0"/>
    </xf>
    <xf numFmtId="168" fontId="13" fillId="4" borderId="13" xfId="44" applyNumberFormat="1" applyFont="1" applyFill="1" applyBorder="1" applyAlignment="1" applyProtection="1">
      <alignment horizontal="right" vertical="center"/>
      <protection locked="0"/>
    </xf>
    <xf numFmtId="0" fontId="6" fillId="6" borderId="20" xfId="74" applyFill="1" applyBorder="1" applyAlignment="1" applyProtection="1">
      <alignment vertical="top"/>
    </xf>
    <xf numFmtId="0" fontId="6" fillId="6" borderId="20" xfId="74" applyFill="1" applyBorder="1" applyAlignment="1" applyProtection="1">
      <alignment vertical="top"/>
      <protection locked="0"/>
    </xf>
    <xf numFmtId="0" fontId="15" fillId="4" borderId="0" xfId="74" applyFont="1" applyFill="1" applyAlignment="1" applyProtection="1">
      <alignment horizontal="right" vertical="center"/>
      <protection locked="0"/>
    </xf>
    <xf numFmtId="0" fontId="15" fillId="6" borderId="1" xfId="74" applyFont="1" applyFill="1" applyBorder="1" applyAlignment="1" applyProtection="1">
      <alignment horizontal="right" vertical="center"/>
      <protection locked="0"/>
    </xf>
    <xf numFmtId="0" fontId="15" fillId="6" borderId="21" xfId="74" applyFont="1" applyFill="1" applyBorder="1" applyAlignment="1" applyProtection="1">
      <alignment horizontal="right" vertical="center"/>
      <protection locked="0"/>
    </xf>
    <xf numFmtId="0" fontId="15" fillId="6" borderId="0" xfId="74" applyFont="1" applyFill="1" applyAlignment="1" applyProtection="1">
      <alignment horizontal="right" vertical="center"/>
      <protection locked="0"/>
    </xf>
    <xf numFmtId="0" fontId="6" fillId="0" borderId="0" xfId="74" applyAlignment="1" applyProtection="1">
      <alignment vertical="top" wrapText="1"/>
    </xf>
    <xf numFmtId="169" fontId="13" fillId="4" borderId="17" xfId="47" applyNumberFormat="1" applyFont="1" applyFill="1" applyBorder="1" applyAlignment="1" applyProtection="1">
      <alignment horizontal="right" vertical="center"/>
      <protection locked="0"/>
    </xf>
    <xf numFmtId="44" fontId="13" fillId="0" borderId="13" xfId="47" applyFont="1" applyBorder="1" applyAlignment="1" applyProtection="1">
      <alignment horizontal="right" vertical="center"/>
    </xf>
    <xf numFmtId="10" fontId="13" fillId="0" borderId="13" xfId="83" applyNumberFormat="1" applyFont="1" applyBorder="1" applyAlignment="1" applyProtection="1">
      <alignment horizontal="right" vertical="center"/>
    </xf>
    <xf numFmtId="169" fontId="13" fillId="0" borderId="17" xfId="47" applyNumberFormat="1" applyFont="1" applyFill="1" applyBorder="1" applyAlignment="1" applyProtection="1">
      <alignment horizontal="right" vertical="center"/>
      <protection locked="0"/>
    </xf>
    <xf numFmtId="0" fontId="6" fillId="7" borderId="22" xfId="74" applyFont="1" applyFill="1" applyBorder="1" applyProtection="1"/>
    <xf numFmtId="0" fontId="6" fillId="7" borderId="23" xfId="74" applyFill="1" applyBorder="1" applyAlignment="1" applyProtection="1">
      <alignment vertical="top"/>
    </xf>
    <xf numFmtId="0" fontId="6" fillId="7" borderId="23" xfId="74" applyFill="1" applyBorder="1" applyAlignment="1" applyProtection="1">
      <alignment vertical="top"/>
      <protection locked="0"/>
    </xf>
    <xf numFmtId="169" fontId="13" fillId="7" borderId="24" xfId="47" applyNumberFormat="1" applyFont="1" applyFill="1" applyBorder="1" applyAlignment="1" applyProtection="1">
      <alignment horizontal="right" vertical="center"/>
      <protection locked="0"/>
    </xf>
    <xf numFmtId="0" fontId="13" fillId="7" borderId="25" xfId="74" applyFont="1" applyFill="1" applyBorder="1" applyAlignment="1" applyProtection="1">
      <alignment horizontal="right" vertical="center"/>
      <protection locked="0"/>
    </xf>
    <xf numFmtId="44" fontId="13" fillId="7" borderId="23" xfId="47" applyFont="1" applyFill="1" applyBorder="1" applyAlignment="1" applyProtection="1">
      <alignment horizontal="right" vertical="center"/>
    </xf>
    <xf numFmtId="0" fontId="13" fillId="7" borderId="23" xfId="74" applyFont="1" applyFill="1" applyBorder="1" applyAlignment="1" applyProtection="1">
      <alignment horizontal="right" vertical="center"/>
      <protection locked="0"/>
    </xf>
    <xf numFmtId="0" fontId="13" fillId="7" borderId="24" xfId="74" applyFont="1" applyFill="1" applyBorder="1" applyAlignment="1" applyProtection="1">
      <alignment horizontal="right" vertical="center"/>
      <protection locked="0"/>
    </xf>
    <xf numFmtId="44" fontId="13" fillId="7" borderId="24" xfId="74" applyNumberFormat="1" applyFont="1" applyFill="1" applyBorder="1" applyAlignment="1" applyProtection="1">
      <alignment horizontal="right" vertical="center"/>
    </xf>
    <xf numFmtId="10" fontId="13" fillId="7" borderId="26" xfId="83" applyNumberFormat="1" applyFont="1" applyFill="1" applyBorder="1" applyAlignment="1" applyProtection="1">
      <alignment horizontal="right" vertical="center"/>
    </xf>
    <xf numFmtId="0" fontId="7" fillId="0" borderId="0" xfId="74" applyFont="1" applyFill="1" applyAlignment="1" applyProtection="1">
      <alignment vertical="top"/>
    </xf>
    <xf numFmtId="0" fontId="6" fillId="0" borderId="0" xfId="74" applyAlignment="1" applyProtection="1">
      <alignment vertical="top"/>
      <protection locked="0"/>
    </xf>
    <xf numFmtId="9" fontId="13" fillId="0" borderId="17" xfId="74" applyNumberFormat="1" applyFont="1" applyFill="1" applyBorder="1" applyAlignment="1" applyProtection="1">
      <alignment horizontal="right" vertical="center"/>
    </xf>
    <xf numFmtId="9" fontId="13" fillId="0" borderId="0" xfId="74" applyNumberFormat="1" applyFont="1" applyFill="1" applyBorder="1" applyAlignment="1" applyProtection="1">
      <alignment horizontal="right" vertical="center"/>
    </xf>
    <xf numFmtId="44" fontId="15" fillId="0" borderId="27" xfId="74" applyNumberFormat="1" applyFont="1" applyFill="1" applyBorder="1" applyAlignment="1" applyProtection="1">
      <alignment horizontal="right" vertical="center"/>
    </xf>
    <xf numFmtId="0" fontId="15" fillId="0" borderId="17" xfId="74" applyFont="1" applyFill="1" applyBorder="1" applyAlignment="1" applyProtection="1">
      <alignment horizontal="right" vertical="center"/>
    </xf>
    <xf numFmtId="9" fontId="15" fillId="0" borderId="17" xfId="74" applyNumberFormat="1" applyFont="1" applyFill="1" applyBorder="1" applyAlignment="1" applyProtection="1">
      <alignment horizontal="right" vertical="center"/>
    </xf>
    <xf numFmtId="44" fontId="15" fillId="0" borderId="28" xfId="74" applyNumberFormat="1" applyFont="1" applyFill="1" applyBorder="1" applyAlignment="1" applyProtection="1">
      <alignment horizontal="right" vertical="center"/>
    </xf>
    <xf numFmtId="0" fontId="15" fillId="0" borderId="0" xfId="74" applyFont="1" applyFill="1" applyBorder="1" applyAlignment="1" applyProtection="1">
      <alignment horizontal="right" vertical="center"/>
      <protection locked="0"/>
    </xf>
    <xf numFmtId="44" fontId="15" fillId="0" borderId="17" xfId="74" applyNumberFormat="1" applyFont="1" applyFill="1" applyBorder="1" applyAlignment="1" applyProtection="1">
      <alignment horizontal="right" vertical="center"/>
    </xf>
    <xf numFmtId="10" fontId="15" fillId="0" borderId="13" xfId="83" applyNumberFormat="1" applyFont="1" applyFill="1" applyBorder="1" applyAlignment="1" applyProtection="1">
      <alignment horizontal="right" vertical="center"/>
    </xf>
    <xf numFmtId="0" fontId="6" fillId="0" borderId="0" xfId="74" applyFont="1" applyFill="1" applyAlignment="1" applyProtection="1">
      <alignment horizontal="left" vertical="top" indent="1"/>
    </xf>
    <xf numFmtId="0" fontId="13" fillId="0" borderId="0" xfId="74" applyFont="1" applyFill="1" applyBorder="1" applyAlignment="1" applyProtection="1">
      <alignment horizontal="right" vertical="center"/>
    </xf>
    <xf numFmtId="44" fontId="13" fillId="0" borderId="27" xfId="74" applyNumberFormat="1" applyFont="1" applyFill="1" applyBorder="1" applyAlignment="1" applyProtection="1">
      <alignment horizontal="right" vertical="center"/>
    </xf>
    <xf numFmtId="0" fontId="13" fillId="0" borderId="17" xfId="74" applyFont="1" applyFill="1" applyBorder="1" applyAlignment="1" applyProtection="1">
      <alignment horizontal="right" vertical="center"/>
    </xf>
    <xf numFmtId="44" fontId="13" fillId="0" borderId="13" xfId="74" applyNumberFormat="1" applyFont="1" applyFill="1" applyBorder="1" applyAlignment="1" applyProtection="1">
      <alignment horizontal="right" vertical="center"/>
    </xf>
    <xf numFmtId="0" fontId="13" fillId="0" borderId="0" xfId="74" applyFont="1" applyFill="1" applyBorder="1" applyAlignment="1" applyProtection="1">
      <alignment horizontal="right" vertical="center"/>
      <protection locked="0"/>
    </xf>
    <xf numFmtId="44" fontId="13" fillId="0" borderId="17" xfId="74" applyNumberFormat="1" applyFont="1" applyFill="1" applyBorder="1" applyAlignment="1" applyProtection="1">
      <alignment horizontal="right" vertical="center"/>
    </xf>
    <xf numFmtId="10" fontId="13" fillId="0" borderId="13" xfId="83" applyNumberFormat="1" applyFont="1" applyFill="1" applyBorder="1" applyAlignment="1" applyProtection="1">
      <alignment horizontal="right" vertical="center"/>
    </xf>
    <xf numFmtId="0" fontId="7" fillId="0" borderId="0" xfId="74" applyFont="1" applyAlignment="1" applyProtection="1">
      <alignment horizontal="left" vertical="top" wrapText="1" indent="1"/>
    </xf>
    <xf numFmtId="44" fontId="17" fillId="0" borderId="27" xfId="74" applyNumberFormat="1" applyFont="1" applyFill="1" applyBorder="1" applyAlignment="1" applyProtection="1">
      <alignment horizontal="right" vertical="center"/>
    </xf>
    <xf numFmtId="44" fontId="17" fillId="0" borderId="13" xfId="74" applyNumberFormat="1" applyFont="1" applyFill="1" applyBorder="1" applyAlignment="1" applyProtection="1">
      <alignment horizontal="right" vertical="center"/>
    </xf>
    <xf numFmtId="44" fontId="17" fillId="0" borderId="17" xfId="74" applyNumberFormat="1" applyFont="1" applyFill="1" applyBorder="1" applyAlignment="1" applyProtection="1">
      <alignment horizontal="right" vertical="center"/>
    </xf>
    <xf numFmtId="10" fontId="17" fillId="0" borderId="13" xfId="83" applyNumberFormat="1" applyFont="1" applyFill="1" applyBorder="1" applyAlignment="1" applyProtection="1">
      <alignment horizontal="right" vertical="center"/>
    </xf>
    <xf numFmtId="0" fontId="6" fillId="6" borderId="0" xfId="74" applyFill="1" applyAlignment="1" applyProtection="1">
      <alignment vertical="top"/>
      <protection locked="0"/>
    </xf>
    <xf numFmtId="0" fontId="13" fillId="6" borderId="15" xfId="74" applyFont="1" applyFill="1" applyBorder="1" applyAlignment="1" applyProtection="1">
      <alignment horizontal="right" vertical="center"/>
    </xf>
    <xf numFmtId="0" fontId="13" fillId="6" borderId="11" xfId="74" applyFont="1" applyFill="1" applyBorder="1" applyAlignment="1" applyProtection="1">
      <alignment horizontal="right" vertical="center"/>
    </xf>
    <xf numFmtId="44" fontId="15" fillId="6" borderId="18" xfId="74" applyNumberFormat="1" applyFont="1" applyFill="1" applyBorder="1" applyAlignment="1" applyProtection="1">
      <alignment horizontal="right" vertical="center"/>
    </xf>
    <xf numFmtId="0" fontId="15" fillId="6" borderId="15" xfId="74" applyFont="1" applyFill="1" applyBorder="1" applyAlignment="1" applyProtection="1">
      <alignment horizontal="right" vertical="center"/>
    </xf>
    <xf numFmtId="44" fontId="15" fillId="6" borderId="16" xfId="74" applyNumberFormat="1" applyFont="1" applyFill="1" applyBorder="1" applyAlignment="1" applyProtection="1">
      <alignment horizontal="right" vertical="center"/>
    </xf>
    <xf numFmtId="0" fontId="15" fillId="6" borderId="11" xfId="74" applyFont="1" applyFill="1" applyBorder="1" applyAlignment="1" applyProtection="1">
      <alignment horizontal="right" vertical="center"/>
      <protection locked="0"/>
    </xf>
    <xf numFmtId="169" fontId="6" fillId="7" borderId="25" xfId="47" applyNumberFormat="1" applyFill="1" applyBorder="1" applyAlignment="1" applyProtection="1">
      <alignment vertical="top"/>
      <protection locked="0"/>
    </xf>
    <xf numFmtId="0" fontId="6" fillId="7" borderId="23" xfId="74" applyFill="1" applyBorder="1" applyAlignment="1" applyProtection="1">
      <alignment vertical="center"/>
      <protection locked="0"/>
    </xf>
    <xf numFmtId="44" fontId="6" fillId="7" borderId="29" xfId="47" applyFill="1" applyBorder="1" applyAlignment="1" applyProtection="1">
      <alignment vertical="center"/>
      <protection locked="0"/>
    </xf>
    <xf numFmtId="0" fontId="6" fillId="7" borderId="25" xfId="74" applyFill="1" applyBorder="1" applyAlignment="1" applyProtection="1">
      <alignment vertical="center"/>
      <protection locked="0"/>
    </xf>
    <xf numFmtId="44" fontId="6" fillId="7" borderId="24" xfId="47" applyFill="1" applyBorder="1" applyAlignment="1" applyProtection="1">
      <alignment vertical="center"/>
      <protection locked="0"/>
    </xf>
    <xf numFmtId="44" fontId="6" fillId="7" borderId="25" xfId="74" applyNumberFormat="1" applyFill="1" applyBorder="1" applyAlignment="1" applyProtection="1">
      <alignment vertical="center"/>
      <protection locked="0"/>
    </xf>
    <xf numFmtId="10" fontId="6" fillId="7" borderId="26" xfId="83" applyNumberFormat="1" applyFill="1" applyBorder="1" applyAlignment="1" applyProtection="1">
      <alignment vertical="center"/>
      <protection locked="0"/>
    </xf>
    <xf numFmtId="44" fontId="6" fillId="0" borderId="0" xfId="74" applyNumberFormat="1" applyProtection="1">
      <protection locked="0"/>
    </xf>
    <xf numFmtId="165" fontId="12" fillId="4" borderId="17" xfId="46" applyFont="1" applyFill="1" applyBorder="1" applyAlignment="1" applyProtection="1">
      <alignment horizontal="right" vertical="center"/>
      <protection locked="0"/>
    </xf>
    <xf numFmtId="169" fontId="12" fillId="4" borderId="15" xfId="47" applyNumberFormat="1" applyFont="1" applyFill="1" applyBorder="1" applyAlignment="1" applyProtection="1">
      <alignment horizontal="right" vertical="center"/>
      <protection locked="0"/>
    </xf>
    <xf numFmtId="44" fontId="18" fillId="6" borderId="16" xfId="47" applyFont="1" applyFill="1" applyBorder="1" applyAlignment="1" applyProtection="1">
      <alignment horizontal="right" vertical="center"/>
    </xf>
    <xf numFmtId="168" fontId="13" fillId="0" borderId="17" xfId="40" applyNumberFormat="1" applyFont="1" applyFill="1" applyBorder="1" applyAlignment="1" applyProtection="1">
      <alignment horizontal="right" vertical="center"/>
      <protection locked="0"/>
    </xf>
    <xf numFmtId="168" fontId="13" fillId="4" borderId="17" xfId="40" applyNumberFormat="1" applyFont="1" applyFill="1" applyBorder="1" applyAlignment="1" applyProtection="1">
      <alignment horizontal="right" vertical="center"/>
      <protection locked="0"/>
    </xf>
    <xf numFmtId="168" fontId="13" fillId="4" borderId="13" xfId="4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/>
    <xf numFmtId="168" fontId="7" fillId="0" borderId="0" xfId="40" applyNumberFormat="1" applyFont="1" applyFill="1" applyBorder="1" applyProtection="1"/>
    <xf numFmtId="0" fontId="7" fillId="5" borderId="11" xfId="74" applyFont="1" applyFill="1" applyBorder="1" applyProtection="1">
      <protection locked="0"/>
    </xf>
    <xf numFmtId="3" fontId="7" fillId="5" borderId="11" xfId="74" applyNumberFormat="1" applyFont="1" applyFill="1" applyBorder="1" applyProtection="1">
      <protection locked="0"/>
    </xf>
    <xf numFmtId="0" fontId="4" fillId="0" borderId="3" xfId="0" applyFont="1" applyBorder="1"/>
    <xf numFmtId="3" fontId="4" fillId="0" borderId="4" xfId="0" applyNumberFormat="1" applyFont="1" applyBorder="1"/>
    <xf numFmtId="0" fontId="4" fillId="0" borderId="4" xfId="0" applyFont="1" applyBorder="1"/>
    <xf numFmtId="166" fontId="4" fillId="0" borderId="4" xfId="40" applyFont="1" applyBorder="1"/>
    <xf numFmtId="10" fontId="4" fillId="0" borderId="4" xfId="81" applyNumberFormat="1" applyFont="1" applyBorder="1"/>
    <xf numFmtId="10" fontId="4" fillId="0" borderId="5" xfId="81" applyNumberFormat="1" applyFont="1" applyBorder="1"/>
    <xf numFmtId="0" fontId="4" fillId="0" borderId="6" xfId="0" applyFont="1" applyBorder="1"/>
    <xf numFmtId="3" fontId="4" fillId="0" borderId="1" xfId="0" applyNumberFormat="1" applyFont="1" applyBorder="1"/>
    <xf numFmtId="0" fontId="4" fillId="0" borderId="1" xfId="0" applyFont="1" applyBorder="1"/>
    <xf numFmtId="166" fontId="4" fillId="0" borderId="1" xfId="40" applyFont="1" applyBorder="1"/>
    <xf numFmtId="10" fontId="4" fillId="0" borderId="1" xfId="81" applyNumberFormat="1" applyFont="1" applyBorder="1"/>
    <xf numFmtId="10" fontId="4" fillId="0" borderId="7" xfId="81" applyNumberFormat="1" applyFont="1" applyBorder="1"/>
    <xf numFmtId="0" fontId="4" fillId="0" borderId="6" xfId="0" applyFont="1" applyBorder="1" applyAlignment="1">
      <alignment wrapText="1"/>
    </xf>
    <xf numFmtId="10" fontId="4" fillId="0" borderId="1" xfId="40" applyNumberFormat="1" applyFont="1" applyBorder="1"/>
    <xf numFmtId="0" fontId="4" fillId="0" borderId="8" xfId="0" applyFont="1" applyBorder="1"/>
    <xf numFmtId="3" fontId="4" fillId="0" borderId="9" xfId="0" applyNumberFormat="1" applyFont="1" applyBorder="1"/>
    <xf numFmtId="0" fontId="4" fillId="0" borderId="9" xfId="0" applyFont="1" applyBorder="1"/>
    <xf numFmtId="166" fontId="4" fillId="0" borderId="9" xfId="40" applyFont="1" applyBorder="1"/>
    <xf numFmtId="10" fontId="4" fillId="0" borderId="9" xfId="81" applyNumberFormat="1" applyFont="1" applyBorder="1"/>
    <xf numFmtId="10" fontId="4" fillId="0" borderId="10" xfId="81" applyNumberFormat="1" applyFont="1" applyBorder="1"/>
    <xf numFmtId="170" fontId="12" fillId="0" borderId="17" xfId="47" applyNumberFormat="1" applyFont="1" applyFill="1" applyBorder="1" applyAlignment="1" applyProtection="1">
      <alignment horizontal="right" vertical="center"/>
      <protection locked="0"/>
    </xf>
    <xf numFmtId="0" fontId="7" fillId="8" borderId="0" xfId="74" applyFont="1" applyFill="1" applyAlignment="1" applyProtection="1">
      <alignment horizontal="left" vertical="center"/>
      <protection locked="0"/>
    </xf>
    <xf numFmtId="0" fontId="2" fillId="0" borderId="0" xfId="74" applyFont="1" applyBorder="1" applyAlignment="1" applyProtection="1">
      <alignment vertical="top"/>
    </xf>
    <xf numFmtId="0" fontId="2" fillId="0" borderId="0" xfId="74" applyFont="1" applyAlignment="1" applyProtection="1">
      <alignment vertical="top"/>
    </xf>
    <xf numFmtId="0" fontId="7" fillId="6" borderId="19" xfId="74" applyFont="1" applyFill="1" applyBorder="1" applyAlignment="1" applyProtection="1">
      <alignment vertical="top"/>
    </xf>
    <xf numFmtId="0" fontId="7" fillId="0" borderId="0" xfId="74" applyFont="1" applyAlignment="1" applyProtection="1">
      <alignment horizontal="left" vertical="top" indent="1"/>
    </xf>
    <xf numFmtId="0" fontId="6" fillId="0" borderId="0" xfId="74" applyFont="1" applyFill="1" applyAlignment="1" applyProtection="1">
      <alignment vertical="top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42" xfId="0" applyFont="1" applyBorder="1" applyAlignment="1">
      <alignment vertical="center"/>
    </xf>
    <xf numFmtId="0" fontId="4" fillId="0" borderId="42" xfId="0" applyFont="1" applyBorder="1" applyAlignment="1">
      <alignment vertical="center" wrapText="1"/>
    </xf>
    <xf numFmtId="0" fontId="4" fillId="0" borderId="43" xfId="0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5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0" fontId="4" fillId="0" borderId="7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10" fontId="4" fillId="0" borderId="9" xfId="0" applyNumberFormat="1" applyFont="1" applyBorder="1"/>
    <xf numFmtId="10" fontId="4" fillId="0" borderId="10" xfId="0" applyNumberFormat="1" applyFont="1" applyBorder="1"/>
    <xf numFmtId="0" fontId="4" fillId="0" borderId="45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10" fontId="4" fillId="0" borderId="46" xfId="0" applyNumberFormat="1" applyFont="1" applyBorder="1" applyAlignment="1">
      <alignment vertical="center"/>
    </xf>
    <xf numFmtId="10" fontId="4" fillId="0" borderId="21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0" fontId="4" fillId="0" borderId="47" xfId="0" applyNumberFormat="1" applyFont="1" applyBorder="1"/>
    <xf numFmtId="44" fontId="0" fillId="0" borderId="0" xfId="0" applyNumberFormat="1"/>
    <xf numFmtId="9" fontId="0" fillId="0" borderId="0" xfId="81" applyFont="1"/>
    <xf numFmtId="178" fontId="0" fillId="0" borderId="0" xfId="81" applyNumberFormat="1" applyFont="1"/>
    <xf numFmtId="0" fontId="2" fillId="0" borderId="0" xfId="74" applyFont="1" applyAlignment="1" applyProtection="1">
      <alignment vertical="top" wrapText="1"/>
    </xf>
    <xf numFmtId="178" fontId="0" fillId="40" borderId="0" xfId="81" applyNumberFormat="1" applyFont="1" applyFill="1"/>
    <xf numFmtId="0" fontId="3" fillId="0" borderId="30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7" fillId="8" borderId="0" xfId="74" applyFont="1" applyFill="1" applyAlignment="1" applyProtection="1">
      <alignment horizontal="left" vertical="center"/>
      <protection locked="0"/>
    </xf>
    <xf numFmtId="0" fontId="11" fillId="0" borderId="0" xfId="74" applyFont="1" applyAlignment="1" applyProtection="1">
      <alignment horizontal="left" vertical="top"/>
    </xf>
    <xf numFmtId="0" fontId="7" fillId="0" borderId="19" xfId="74" applyFont="1" applyBorder="1" applyAlignment="1" applyProtection="1">
      <alignment horizontal="center"/>
    </xf>
    <xf numFmtId="0" fontId="7" fillId="0" borderId="20" xfId="74" applyFont="1" applyBorder="1" applyAlignment="1" applyProtection="1">
      <alignment horizontal="center"/>
    </xf>
    <xf numFmtId="0" fontId="7" fillId="0" borderId="21" xfId="74" applyFont="1" applyBorder="1" applyAlignment="1" applyProtection="1">
      <alignment horizontal="center"/>
    </xf>
    <xf numFmtId="0" fontId="7" fillId="6" borderId="0" xfId="74" applyFont="1" applyFill="1" applyAlignment="1" applyProtection="1">
      <alignment horizontal="left" vertical="top" wrapText="1"/>
    </xf>
    <xf numFmtId="0" fontId="7" fillId="0" borderId="0" xfId="74" applyFont="1" applyAlignment="1" applyProtection="1">
      <alignment horizontal="center" wrapText="1"/>
    </xf>
    <xf numFmtId="0" fontId="6" fillId="0" borderId="0" xfId="74" applyAlignment="1" applyProtection="1">
      <alignment horizontal="center" wrapText="1"/>
    </xf>
    <xf numFmtId="0" fontId="7" fillId="0" borderId="17" xfId="74" applyFont="1" applyFill="1" applyBorder="1" applyAlignment="1" applyProtection="1">
      <alignment horizontal="center" wrapText="1"/>
    </xf>
    <xf numFmtId="0" fontId="6" fillId="0" borderId="15" xfId="74" applyBorder="1" applyAlignment="1" applyProtection="1">
      <alignment wrapText="1"/>
    </xf>
    <xf numFmtId="0" fontId="7" fillId="0" borderId="13" xfId="74" applyFont="1" applyFill="1" applyBorder="1" applyAlignment="1" applyProtection="1">
      <alignment horizontal="center" wrapText="1"/>
    </xf>
    <xf numFmtId="0" fontId="6" fillId="0" borderId="16" xfId="74" applyBorder="1" applyAlignment="1" applyProtection="1">
      <alignment wrapText="1"/>
    </xf>
    <xf numFmtId="0" fontId="16" fillId="0" borderId="0" xfId="74" applyFont="1" applyAlignment="1" applyProtection="1">
      <alignment horizontal="left" vertical="top" wrapText="1" indent="1"/>
    </xf>
    <xf numFmtId="0" fontId="6" fillId="0" borderId="11" xfId="74" applyBorder="1" applyAlignment="1" applyProtection="1">
      <alignment horizontal="left" vertical="center" wrapText="1"/>
    </xf>
    <xf numFmtId="0" fontId="2" fillId="0" borderId="0" xfId="74" applyFont="1" applyAlignment="1" applyProtection="1">
      <alignment vertical="top" wrapText="1"/>
    </xf>
    <xf numFmtId="0" fontId="0" fillId="0" borderId="0" xfId="0" applyAlignment="1">
      <alignment vertical="top"/>
    </xf>
    <xf numFmtId="0" fontId="0" fillId="0" borderId="13" xfId="0" applyBorder="1" applyAlignment="1">
      <alignment vertical="top"/>
    </xf>
  </cellXfs>
  <cellStyles count="89">
    <cellStyle name="$" xfId="1"/>
    <cellStyle name="$.00" xfId="2"/>
    <cellStyle name="$_9. Rev2Cost_GDPIPI" xfId="3"/>
    <cellStyle name="$_9. Rev2Cost_GDPIPI 2" xfId="4"/>
    <cellStyle name="$_lists" xfId="5"/>
    <cellStyle name="$_lists 2" xfId="6"/>
    <cellStyle name="$_lists_4. Current Monthly Fixed Charge" xfId="7"/>
    <cellStyle name="$_Sheet4" xfId="8"/>
    <cellStyle name="$_Sheet4 2" xfId="9"/>
    <cellStyle name="$M" xfId="10"/>
    <cellStyle name="$M.00" xfId="11"/>
    <cellStyle name="$M_9. Rev2Cost_GDPIPI" xfId="12"/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25"/>
    <cellStyle name="60% - Accent2 2" xfId="26"/>
    <cellStyle name="60% - Accent3 2" xfId="27"/>
    <cellStyle name="60% - Accent4 2" xfId="28"/>
    <cellStyle name="60% - Accent5 2" xfId="29"/>
    <cellStyle name="60% - Accent6 2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 2" xfId="38"/>
    <cellStyle name="Check Cell 2" xfId="39"/>
    <cellStyle name="Comma" xfId="40" builtinId="3"/>
    <cellStyle name="Comma 2" xfId="41"/>
    <cellStyle name="Comma 3" xfId="42"/>
    <cellStyle name="Comma 4" xfId="43"/>
    <cellStyle name="Comma 5" xfId="44"/>
    <cellStyle name="Comma0" xfId="45"/>
    <cellStyle name="Currency" xfId="46" builtinId="4"/>
    <cellStyle name="Currency 2" xfId="47"/>
    <cellStyle name="Currency 3" xfId="48"/>
    <cellStyle name="Currency0" xfId="49"/>
    <cellStyle name="Date" xfId="50"/>
    <cellStyle name="Explanatory Text 2" xfId="51"/>
    <cellStyle name="Fixed" xfId="52"/>
    <cellStyle name="Good 2" xfId="53"/>
    <cellStyle name="Grey" xfId="54"/>
    <cellStyle name="Heading 1 2" xfId="55"/>
    <cellStyle name="Heading 2 2" xfId="56"/>
    <cellStyle name="Heading 3 2" xfId="57"/>
    <cellStyle name="Heading 4 2" xfId="58"/>
    <cellStyle name="Hyperlink 2" xfId="59"/>
    <cellStyle name="Input [yellow]" xfId="60"/>
    <cellStyle name="Input 2" xfId="61"/>
    <cellStyle name="Linked Cell 2" xfId="62"/>
    <cellStyle name="M" xfId="63"/>
    <cellStyle name="M.00" xfId="64"/>
    <cellStyle name="M_9. Rev2Cost_GDPIPI" xfId="65"/>
    <cellStyle name="M_9. Rev2Cost_GDPIPI 2" xfId="66"/>
    <cellStyle name="M_lists" xfId="67"/>
    <cellStyle name="M_lists 2" xfId="68"/>
    <cellStyle name="M_lists_4. Current Monthly Fixed Charge" xfId="69"/>
    <cellStyle name="M_Sheet4" xfId="70"/>
    <cellStyle name="M_Sheet4 2" xfId="71"/>
    <cellStyle name="Neutral 2" xfId="72"/>
    <cellStyle name="Normal" xfId="0" builtinId="0"/>
    <cellStyle name="Normal - Style1" xfId="73"/>
    <cellStyle name="Normal 2" xfId="74"/>
    <cellStyle name="Normal 3" xfId="75"/>
    <cellStyle name="Normal 4" xfId="76"/>
    <cellStyle name="Normal 5" xfId="77"/>
    <cellStyle name="Normal 6" xfId="78"/>
    <cellStyle name="Note 2" xfId="79"/>
    <cellStyle name="Output 2" xfId="80"/>
    <cellStyle name="Percent" xfId="81" builtinId="5"/>
    <cellStyle name="Percent [2]" xfId="82"/>
    <cellStyle name="Percent 2" xfId="83"/>
    <cellStyle name="Percent 3" xfId="84"/>
    <cellStyle name="Percent 4" xfId="85"/>
    <cellStyle name="Title 2" xfId="86"/>
    <cellStyle name="Total 2" xfId="87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ch_rick\Distribution%20Rate%20Application\2015%20IRM%20filing\Procedural%20order%202%20response\PO2%20Spreadsheets\mich_rick\Distribution%20Rate%20Application\2012%20IRM%20rate%20filing\Essex_2012_IRM_Rate_Genera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Current MFC"/>
      <sheetName val="5. Current DVR"/>
      <sheetName val="6. Current Rate_Riders"/>
      <sheetName val="7. Current RTSR-Network"/>
      <sheetName val="8. Current RTSR-Connection"/>
      <sheetName val="9. 2012 Cont. Sched. Def_Var"/>
      <sheetName val="10. Billing Det. for Def_Var"/>
      <sheetName val="11. Cost Allocation Def_Var"/>
      <sheetName val="12. Calc. of Def_Var RR"/>
      <sheetName val="13. Proposed MFC"/>
      <sheetName val="14. Proposed Rate_Riders"/>
      <sheetName val="15. Proposed RTSR-Network"/>
      <sheetName val="16. Proposed RTSR-Connection"/>
      <sheetName val="17. GDP-IPI - X"/>
      <sheetName val="HIDDEN FINAL MFC"/>
      <sheetName val="HIDDEN FINAL DVC"/>
      <sheetName val="HIDDEN FINAL RATE RIDERS"/>
      <sheetName val="HIDDEN FINAL DEF_VAR"/>
      <sheetName val="HIDDEN RTSR_NET"/>
      <sheetName val="HIDDEN RTSR_CONNECT"/>
      <sheetName val="18. LF - Current and Proposed"/>
      <sheetName val="19. Other Charges"/>
      <sheetName val="HIDDEN LF AND CHARGES"/>
      <sheetName val="20. 2012 Final Tariff"/>
      <sheetName val="21. Bill Impacts"/>
      <sheetName val="hidden1"/>
      <sheetName val="DRC SSS WMSR SPC RRRP"/>
      <sheetName val="CURRENT RATES"/>
      <sheetName val="PROPOSED RATES"/>
      <sheetName val="listclasses worksheet 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Residential Regular</v>
          </cell>
        </row>
        <row r="2">
          <cell r="A2" t="str">
            <v>General Service Less Than 50 kW</v>
          </cell>
        </row>
        <row r="3">
          <cell r="A3" t="str">
            <v>General Service 50 to 2,999 kW</v>
          </cell>
        </row>
        <row r="4">
          <cell r="A4" t="str">
            <v>General Service 3,000 to 4,999 kW</v>
          </cell>
        </row>
        <row r="5">
          <cell r="A5" t="str">
            <v>Unmetered Scattered Load</v>
          </cell>
        </row>
        <row r="6">
          <cell r="A6" t="str">
            <v>Sentinel Lighting</v>
          </cell>
        </row>
        <row r="7">
          <cell r="A7" t="str">
            <v>Street Lighting</v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</sheetData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R24"/>
  <sheetViews>
    <sheetView showGridLines="0" workbookViewId="0">
      <selection activeCell="C40" sqref="C40"/>
    </sheetView>
  </sheetViews>
  <sheetFormatPr defaultColWidth="9.140625" defaultRowHeight="11.25" x14ac:dyDescent="0.2"/>
  <cols>
    <col min="1" max="1" width="9.140625" style="1"/>
    <col min="2" max="2" width="22.85546875" style="1" customWidth="1"/>
    <col min="3" max="4" width="9.140625" style="1"/>
    <col min="5" max="6" width="14" style="1" bestFit="1" customWidth="1"/>
    <col min="7" max="7" width="10.42578125" style="1" bestFit="1" customWidth="1"/>
    <col min="8" max="8" width="6.85546875" style="1" bestFit="1" customWidth="1"/>
    <col min="9" max="11" width="9.140625" style="1"/>
    <col min="12" max="12" width="15.85546875" style="1" customWidth="1"/>
    <col min="13" max="16384" width="9.140625" style="1"/>
  </cols>
  <sheetData>
    <row r="2" spans="2:18" ht="12" thickBot="1" x14ac:dyDescent="0.25">
      <c r="L2" s="235" t="s">
        <v>69</v>
      </c>
      <c r="M2" s="235"/>
      <c r="N2" s="235"/>
      <c r="O2" s="235"/>
      <c r="P2" s="235"/>
      <c r="Q2" s="235"/>
      <c r="R2" s="235"/>
    </row>
    <row r="3" spans="2:18" ht="12" thickBot="1" x14ac:dyDescent="0.25">
      <c r="B3" s="236" t="s">
        <v>76</v>
      </c>
      <c r="C3" s="236" t="s">
        <v>1</v>
      </c>
      <c r="D3" s="236" t="s">
        <v>2</v>
      </c>
      <c r="E3" s="209" t="s">
        <v>72</v>
      </c>
      <c r="F3" s="209" t="s">
        <v>72</v>
      </c>
      <c r="L3" s="236" t="s">
        <v>0</v>
      </c>
      <c r="M3" s="236" t="s">
        <v>1</v>
      </c>
      <c r="N3" s="236" t="s">
        <v>2</v>
      </c>
      <c r="O3" s="238" t="s">
        <v>3</v>
      </c>
      <c r="P3" s="239"/>
      <c r="Q3" s="238" t="s">
        <v>4</v>
      </c>
      <c r="R3" s="239"/>
    </row>
    <row r="4" spans="2:18" ht="12" thickBot="1" x14ac:dyDescent="0.25">
      <c r="B4" s="237"/>
      <c r="C4" s="237"/>
      <c r="D4" s="237"/>
      <c r="E4" s="210" t="s">
        <v>73</v>
      </c>
      <c r="F4" s="210" t="s">
        <v>74</v>
      </c>
      <c r="L4" s="237"/>
      <c r="M4" s="237"/>
      <c r="N4" s="237"/>
      <c r="O4" s="2" t="s">
        <v>5</v>
      </c>
      <c r="P4" s="2" t="s">
        <v>6</v>
      </c>
      <c r="Q4" s="2" t="s">
        <v>5</v>
      </c>
      <c r="R4" s="2" t="s">
        <v>6</v>
      </c>
    </row>
    <row r="5" spans="2:18" s="9" customFormat="1" x14ac:dyDescent="0.2">
      <c r="B5" s="225" t="s">
        <v>75</v>
      </c>
      <c r="C5" s="214">
        <f>+M5</f>
        <v>800</v>
      </c>
      <c r="D5" s="5">
        <f>+N5</f>
        <v>0</v>
      </c>
      <c r="E5" s="215">
        <f>+ResidentialRPP!N42</f>
        <v>2.777953581849258E-2</v>
      </c>
      <c r="F5" s="216">
        <f>+ResidentialRPP!N40</f>
        <v>2.777953581849258E-2</v>
      </c>
      <c r="L5" s="3" t="s">
        <v>7</v>
      </c>
      <c r="M5" s="4">
        <f>ResidentialRPP!E5</f>
        <v>800</v>
      </c>
      <c r="N5" s="5">
        <f>ResidentialRPP!E8</f>
        <v>0</v>
      </c>
      <c r="O5" s="6">
        <f>ResidentialRPP!M25</f>
        <v>4.9599999999999973</v>
      </c>
      <c r="P5" s="7">
        <f>ResidentialRPP!N25</f>
        <v>0.20177704391683854</v>
      </c>
      <c r="Q5" s="6">
        <f>ResidentialRPP!M42</f>
        <v>3.7838004799999965</v>
      </c>
      <c r="R5" s="8">
        <f>ResidentialRPP!N42</f>
        <v>2.777953581849258E-2</v>
      </c>
    </row>
    <row r="6" spans="2:18" s="9" customFormat="1" x14ac:dyDescent="0.2">
      <c r="B6" s="224" t="s">
        <v>71</v>
      </c>
      <c r="C6" s="10">
        <f>+'Residential 10th '!E5</f>
        <v>364</v>
      </c>
      <c r="D6" s="12">
        <v>0</v>
      </c>
      <c r="E6" s="217">
        <f>+'Residential 10th '!N42</f>
        <v>4.4888597188199902E-2</v>
      </c>
      <c r="F6" s="218">
        <f>+'Residential 10th '!N40</f>
        <v>4.4888597188199902E-2</v>
      </c>
      <c r="L6" s="10" t="s">
        <v>8</v>
      </c>
      <c r="M6" s="11">
        <f>'GS &lt;50RPP'!E5</f>
        <v>2000</v>
      </c>
      <c r="N6" s="12">
        <f>'GS &lt;50RPP'!E8</f>
        <v>0</v>
      </c>
      <c r="O6" s="13">
        <f>'GS &lt;50RPP'!M24</f>
        <v>-4.0299999999999869</v>
      </c>
      <c r="P6" s="14">
        <f>'GS &lt;50RPP'!N24</f>
        <v>-5.5626368367252453E-2</v>
      </c>
      <c r="Q6" s="13">
        <f>'GS &lt;50RPP'!M41</f>
        <v>-8.6271884000000227</v>
      </c>
      <c r="R6" s="15">
        <f>'GS &lt;50RPP'!N41</f>
        <v>-2.3590634858965842E-2</v>
      </c>
    </row>
    <row r="7" spans="2:18" s="9" customFormat="1" x14ac:dyDescent="0.2">
      <c r="B7" s="211" t="s">
        <v>8</v>
      </c>
      <c r="C7" s="219">
        <f>+M6</f>
        <v>2000</v>
      </c>
      <c r="D7" s="12">
        <f>+N6</f>
        <v>0</v>
      </c>
      <c r="E7" s="217">
        <f>+'GS &lt;50RPP'!N41</f>
        <v>-2.3590634858965842E-2</v>
      </c>
      <c r="F7" s="218">
        <f>+'GS &lt;50RPP'!N39</f>
        <v>-2.3590634858965842E-2</v>
      </c>
      <c r="L7" s="10" t="s">
        <v>9</v>
      </c>
      <c r="M7" s="11">
        <f>'GS 50-2999RPP'!E5</f>
        <v>40000</v>
      </c>
      <c r="N7" s="11">
        <f>'GS 50-2999RPP'!E8</f>
        <v>100</v>
      </c>
      <c r="O7" s="13">
        <f>'GS 50-2999RPP'!M23</f>
        <v>279.92999999999984</v>
      </c>
      <c r="P7" s="14">
        <f>'GS 50-2999RPP'!N23</f>
        <v>0.78059051492594489</v>
      </c>
      <c r="Q7" s="13">
        <f>'GS 50-2999RPP'!M40</f>
        <v>215.79453833999833</v>
      </c>
      <c r="R7" s="15">
        <f>'GS 50-2999RPP'!N40</f>
        <v>3.4984237276820471E-2</v>
      </c>
    </row>
    <row r="8" spans="2:18" s="9" customFormat="1" ht="45" hidden="1" customHeight="1" x14ac:dyDescent="0.2">
      <c r="B8" s="211" t="s">
        <v>9</v>
      </c>
      <c r="C8" s="219">
        <f>+M7</f>
        <v>40000</v>
      </c>
      <c r="D8" s="12">
        <f>+N7</f>
        <v>100</v>
      </c>
      <c r="E8" s="12"/>
      <c r="F8" s="220"/>
      <c r="L8" s="16" t="s">
        <v>10</v>
      </c>
      <c r="M8" s="11">
        <f>'GS3000-4999RPP'!E5</f>
        <v>1282464</v>
      </c>
      <c r="N8" s="12">
        <f>'GS3000-4999RPP'!E8</f>
        <v>2440</v>
      </c>
      <c r="O8" s="13">
        <f>'GS3000-4999RPP'!M18</f>
        <v>93.644000000000233</v>
      </c>
      <c r="P8" s="14">
        <f>'GS3000-4999RPP'!N18</f>
        <v>1.9475879143231078E-2</v>
      </c>
      <c r="Q8" s="13">
        <f>'GS3000-4999RPP'!M40</f>
        <v>105.81772000002093</v>
      </c>
      <c r="R8" s="15">
        <f>'GS3000-4999RPP'!N40</f>
        <v>5.5180518068164786E-4</v>
      </c>
    </row>
    <row r="9" spans="2:18" s="9" customFormat="1" ht="13.5" customHeight="1" x14ac:dyDescent="0.2">
      <c r="B9" s="212" t="str">
        <f>+L7</f>
        <v>GS 50 - 2,999</v>
      </c>
      <c r="C9" s="219">
        <f>+M7</f>
        <v>40000</v>
      </c>
      <c r="D9" s="11">
        <f>+N7</f>
        <v>100</v>
      </c>
      <c r="E9" s="217">
        <f>+'GS 50-2999RPP'!N40</f>
        <v>3.4984237276820471E-2</v>
      </c>
      <c r="F9" s="218">
        <f>+'GS 50-2999RPP'!N38</f>
        <v>3.4984237276820471E-2</v>
      </c>
      <c r="L9" s="10" t="s">
        <v>11</v>
      </c>
      <c r="M9" s="11">
        <f>UMSLRPP!E5</f>
        <v>2000</v>
      </c>
      <c r="N9" s="12">
        <f>UMSLRPP!E8</f>
        <v>0</v>
      </c>
      <c r="O9" s="13">
        <f>UMSLRPP!M23</f>
        <v>14.779999999999987</v>
      </c>
      <c r="P9" s="14">
        <f>UMSLRPP!N23</f>
        <v>0.2372861807482366</v>
      </c>
      <c r="Q9" s="13">
        <f>UMSLRPP!M40</f>
        <v>12.628111600000011</v>
      </c>
      <c r="R9" s="15">
        <f>UMSLRPP!N40</f>
        <v>3.5650158737077692E-2</v>
      </c>
    </row>
    <row r="10" spans="2:18" s="9" customFormat="1" x14ac:dyDescent="0.2">
      <c r="B10" s="211" t="s">
        <v>11</v>
      </c>
      <c r="C10" s="219">
        <f t="shared" ref="C10:D12" si="0">+M9</f>
        <v>2000</v>
      </c>
      <c r="D10" s="12">
        <f t="shared" si="0"/>
        <v>0</v>
      </c>
      <c r="E10" s="217">
        <f>+UMSLRPP!N40</f>
        <v>3.5650158737077692E-2</v>
      </c>
      <c r="F10" s="218">
        <f>+UMSLRPP!N38</f>
        <v>3.5650158737077692E-2</v>
      </c>
      <c r="L10" s="10" t="s">
        <v>12</v>
      </c>
      <c r="M10" s="11">
        <f>'Sentinel LightsRPP'!E5</f>
        <v>36</v>
      </c>
      <c r="N10" s="12">
        <f>'Sentinel LightsRPP'!E8</f>
        <v>0.1</v>
      </c>
      <c r="O10" s="13">
        <f>'Sentinel LightsRPP'!M23</f>
        <v>0.34999999999999964</v>
      </c>
      <c r="P10" s="17">
        <f>'Sentinel LightsRPP'!N23</f>
        <v>8.4827965570261774E-2</v>
      </c>
      <c r="Q10" s="13">
        <f>'Sentinel LightsRPP'!M40</f>
        <v>0.33275937838000225</v>
      </c>
      <c r="R10" s="15">
        <f>'Sentinel LightsRPP'!N40</f>
        <v>3.2490921455734581E-2</v>
      </c>
    </row>
    <row r="11" spans="2:18" s="9" customFormat="1" ht="12" thickBot="1" x14ac:dyDescent="0.25">
      <c r="B11" s="211" t="s">
        <v>12</v>
      </c>
      <c r="C11" s="219">
        <f t="shared" si="0"/>
        <v>36</v>
      </c>
      <c r="D11" s="12">
        <f t="shared" si="0"/>
        <v>0.1</v>
      </c>
      <c r="E11" s="217">
        <f>+'Sentinel LightsRPP'!N40</f>
        <v>3.2490921455734581E-2</v>
      </c>
      <c r="F11" s="218">
        <f>+'Sentinel LightsRPP'!N38</f>
        <v>3.2490921455734581E-2</v>
      </c>
      <c r="L11" s="18" t="s">
        <v>13</v>
      </c>
      <c r="M11" s="19">
        <f>'Street LightingRPP'!E5</f>
        <v>36</v>
      </c>
      <c r="N11" s="20">
        <f>'Street LightingRPP'!E8</f>
        <v>0.1</v>
      </c>
      <c r="O11" s="21">
        <f>'Street LightingRPP'!M23</f>
        <v>0.29331999999999958</v>
      </c>
      <c r="P11" s="22">
        <f>'Street LightingRPP'!N26</f>
        <v>5.540822163911429E-2</v>
      </c>
      <c r="Q11" s="21">
        <f>'Street LightingRPP'!M40</f>
        <v>0.26958553735999935</v>
      </c>
      <c r="R11" s="23">
        <f>'Street LightingRPP'!N40</f>
        <v>2.6704011136646194E-2</v>
      </c>
    </row>
    <row r="12" spans="2:18" ht="12" thickBot="1" x14ac:dyDescent="0.25">
      <c r="B12" s="213" t="s">
        <v>13</v>
      </c>
      <c r="C12" s="221">
        <f t="shared" si="0"/>
        <v>36</v>
      </c>
      <c r="D12" s="20">
        <f t="shared" si="0"/>
        <v>0.1</v>
      </c>
      <c r="E12" s="222">
        <f>+'Street LightingRPP'!N40</f>
        <v>2.6704011136646194E-2</v>
      </c>
      <c r="F12" s="223">
        <f>+'Street LightingRPP'!N38</f>
        <v>2.6704011136646194E-2</v>
      </c>
    </row>
    <row r="14" spans="2:18" ht="12" thickBot="1" x14ac:dyDescent="0.25">
      <c r="L14" s="235" t="s">
        <v>70</v>
      </c>
      <c r="M14" s="235"/>
      <c r="N14" s="235"/>
      <c r="O14" s="235"/>
      <c r="P14" s="235"/>
      <c r="Q14" s="235"/>
      <c r="R14" s="235"/>
    </row>
    <row r="15" spans="2:18" ht="12" thickBot="1" x14ac:dyDescent="0.25">
      <c r="B15" s="236" t="s">
        <v>77</v>
      </c>
      <c r="C15" s="236" t="s">
        <v>1</v>
      </c>
      <c r="D15" s="236" t="s">
        <v>2</v>
      </c>
      <c r="E15" s="209" t="s">
        <v>72</v>
      </c>
      <c r="F15" s="209" t="s">
        <v>72</v>
      </c>
      <c r="L15" s="236" t="s">
        <v>0</v>
      </c>
      <c r="M15" s="236" t="s">
        <v>1</v>
      </c>
      <c r="N15" s="236" t="s">
        <v>2</v>
      </c>
      <c r="O15" s="238" t="s">
        <v>3</v>
      </c>
      <c r="P15" s="239"/>
      <c r="Q15" s="238" t="s">
        <v>4</v>
      </c>
      <c r="R15" s="239"/>
    </row>
    <row r="16" spans="2:18" ht="12" thickBot="1" x14ac:dyDescent="0.25">
      <c r="B16" s="237"/>
      <c r="C16" s="237"/>
      <c r="D16" s="237"/>
      <c r="E16" s="210" t="s">
        <v>73</v>
      </c>
      <c r="F16" s="210" t="s">
        <v>74</v>
      </c>
      <c r="L16" s="237"/>
      <c r="M16" s="237"/>
      <c r="N16" s="237"/>
      <c r="O16" s="2" t="s">
        <v>5</v>
      </c>
      <c r="P16" s="2" t="s">
        <v>6</v>
      </c>
      <c r="Q16" s="2" t="s">
        <v>5</v>
      </c>
      <c r="R16" s="2" t="s">
        <v>6</v>
      </c>
    </row>
    <row r="17" spans="2:18" x14ac:dyDescent="0.2">
      <c r="B17" s="225" t="s">
        <v>75</v>
      </c>
      <c r="C17" s="214">
        <f>+C5</f>
        <v>800</v>
      </c>
      <c r="D17" s="5">
        <f>+D5</f>
        <v>0</v>
      </c>
      <c r="E17" s="226">
        <f>+ResidentialNonRPP!N42</f>
        <v>4.7062778117919465E-2</v>
      </c>
      <c r="F17" s="216">
        <f>+ResidentialNonRPP!N40</f>
        <v>4.7062778117919465E-2</v>
      </c>
      <c r="L17" s="182" t="s">
        <v>7</v>
      </c>
      <c r="M17" s="183">
        <f>ResidentialNonRPP!E5</f>
        <v>800</v>
      </c>
      <c r="N17" s="184">
        <f>ResidentialNonRPP!E8</f>
        <v>0</v>
      </c>
      <c r="O17" s="185">
        <f>ResidentialNonRPP!M25</f>
        <v>9.1999999999999922</v>
      </c>
      <c r="P17" s="186">
        <f>ResidentialNonRPP!N25</f>
        <v>0.35927395420038083</v>
      </c>
      <c r="Q17" s="185">
        <f>ResidentialNonRPP!M42</f>
        <v>8.5762841600000002</v>
      </c>
      <c r="R17" s="187">
        <f>ResidentialNonRPP!N42</f>
        <v>4.7062778117919465E-2</v>
      </c>
    </row>
    <row r="18" spans="2:18" x14ac:dyDescent="0.2">
      <c r="B18" s="224" t="s">
        <v>71</v>
      </c>
      <c r="C18" s="219">
        <f t="shared" ref="C18:D18" si="1">+C6</f>
        <v>364</v>
      </c>
      <c r="D18" s="12">
        <f t="shared" si="1"/>
        <v>0</v>
      </c>
      <c r="E18" s="227">
        <f>+'ResidentialNonRPP 10th'!N42</f>
        <v>5.8329903302496412E-2</v>
      </c>
      <c r="F18" s="218">
        <f>+'ResidentialNonRPP 10th'!N40</f>
        <v>5.8329903302496412E-2</v>
      </c>
      <c r="L18" s="188" t="s">
        <v>8</v>
      </c>
      <c r="M18" s="189">
        <f>'GS &lt;50NonRPP'!E5</f>
        <v>2000</v>
      </c>
      <c r="N18" s="190">
        <f>'GS &lt;50NonRPP'!E8</f>
        <v>0</v>
      </c>
      <c r="O18" s="191">
        <f>'GS &lt;50NonRPP'!M24</f>
        <v>6.5699999999999932</v>
      </c>
      <c r="P18" s="192">
        <f>'GS &lt;50NonRPP'!N24</f>
        <v>9.2116414963100732E-2</v>
      </c>
      <c r="Q18" s="191">
        <f>'GS &lt;50NonRPP'!M41</f>
        <v>3.3508115999999859</v>
      </c>
      <c r="R18" s="193">
        <f>'GS &lt;50NonRPP'!N41</f>
        <v>7.0307073103443429E-3</v>
      </c>
    </row>
    <row r="19" spans="2:18" x14ac:dyDescent="0.2">
      <c r="B19" s="211" t="s">
        <v>8</v>
      </c>
      <c r="C19" s="219">
        <f t="shared" ref="C19:D19" si="2">+C7</f>
        <v>2000</v>
      </c>
      <c r="D19" s="12">
        <f t="shared" si="2"/>
        <v>0</v>
      </c>
      <c r="E19" s="227">
        <f>+'GS &lt;50NonRPP'!N41</f>
        <v>7.0307073103443429E-3</v>
      </c>
      <c r="F19" s="218">
        <f>+'GS &lt;50NonRPP'!N39</f>
        <v>7.0307073103443429E-3</v>
      </c>
      <c r="L19" s="188" t="s">
        <v>9</v>
      </c>
      <c r="M19" s="189">
        <f>'GS 50-2999NonRPP'!E5</f>
        <v>40000</v>
      </c>
      <c r="N19" s="189">
        <f>'GS 50-2999NonRPP'!E8</f>
        <v>100</v>
      </c>
      <c r="O19" s="191">
        <f>'GS 50-2999NonRPP'!M23</f>
        <v>480.49999999999994</v>
      </c>
      <c r="P19" s="192">
        <f>'GS 50-2999NonRPP'!N23</f>
        <v>2.0331170625967427</v>
      </c>
      <c r="Q19" s="191">
        <f>'GS 50-2999NonRPP'!M40</f>
        <v>442.43863833999967</v>
      </c>
      <c r="R19" s="193">
        <f>'GS 50-2999NonRPP'!N40</f>
        <v>8.320645146242911E-2</v>
      </c>
    </row>
    <row r="20" spans="2:18" ht="33.75" hidden="1" x14ac:dyDescent="0.2">
      <c r="B20" s="211" t="s">
        <v>9</v>
      </c>
      <c r="C20" s="219">
        <f t="shared" ref="C20:D20" si="3">+C8</f>
        <v>40000</v>
      </c>
      <c r="D20" s="12">
        <f t="shared" si="3"/>
        <v>100</v>
      </c>
      <c r="E20" s="228"/>
      <c r="F20" s="220"/>
      <c r="L20" s="194" t="s">
        <v>54</v>
      </c>
      <c r="M20" s="189">
        <f>'GS3000-4999NonRPP'!E5</f>
        <v>1282464</v>
      </c>
      <c r="N20" s="190">
        <f>'GS3000-4999NonRPP'!E8</f>
        <v>2440</v>
      </c>
      <c r="O20" s="191">
        <f>'GS3000-4999NonRPP'!M18</f>
        <v>93.644000000000233</v>
      </c>
      <c r="P20" s="192">
        <f>'GS3000-4999NonRPP'!N18</f>
        <v>1.9475879143231078E-2</v>
      </c>
      <c r="Q20" s="191">
        <f>'GS3000-4999NonRPP'!M40</f>
        <v>105.81772000002093</v>
      </c>
      <c r="R20" s="193">
        <f>'GS3000-4999NonRPP'!N40</f>
        <v>4.1977886536992469E-4</v>
      </c>
    </row>
    <row r="21" spans="2:18" x14ac:dyDescent="0.2">
      <c r="B21" s="212" t="str">
        <f>+L19</f>
        <v>GS 50 - 2,999</v>
      </c>
      <c r="C21" s="219">
        <f t="shared" ref="C21:D21" si="4">+C9</f>
        <v>40000</v>
      </c>
      <c r="D21" s="12">
        <f t="shared" si="4"/>
        <v>100</v>
      </c>
      <c r="E21" s="227">
        <f>+'GS 50-2999NonRPP'!N40</f>
        <v>8.320645146242911E-2</v>
      </c>
      <c r="F21" s="218">
        <f>+'GS 50-2999NonRPP'!N38</f>
        <v>8.320645146242911E-2</v>
      </c>
      <c r="L21" s="188" t="s">
        <v>11</v>
      </c>
      <c r="M21" s="189">
        <f>UMSLNonRPP!E5</f>
        <v>2000</v>
      </c>
      <c r="N21" s="190">
        <f>UMSLNonRPP!E8</f>
        <v>0</v>
      </c>
      <c r="O21" s="191">
        <f>UMSLNonRPP!M23</f>
        <v>25.379999999999981</v>
      </c>
      <c r="P21" s="192">
        <f>UMSLNonRPP!N23</f>
        <v>0.41495815901346511</v>
      </c>
      <c r="Q21" s="191">
        <f>UMSLNonRPP!M40</f>
        <v>24.606111599999963</v>
      </c>
      <c r="R21" s="193">
        <f>UMSLNonRPP!N40</f>
        <v>5.2903187954368304E-2</v>
      </c>
    </row>
    <row r="22" spans="2:18" x14ac:dyDescent="0.2">
      <c r="B22" s="211" t="s">
        <v>11</v>
      </c>
      <c r="C22" s="219">
        <f t="shared" ref="C22:D22" si="5">+C10</f>
        <v>2000</v>
      </c>
      <c r="D22" s="12">
        <f t="shared" si="5"/>
        <v>0</v>
      </c>
      <c r="E22" s="227">
        <f>+UMSLNonRPP!N40</f>
        <v>5.2903187954368304E-2</v>
      </c>
      <c r="F22" s="218">
        <f>+UMSLNonRPP!N38</f>
        <v>5.2903187954368304E-2</v>
      </c>
      <c r="L22" s="188" t="s">
        <v>12</v>
      </c>
      <c r="M22" s="189">
        <f>'Sentinel LightsNonRPP'!E5</f>
        <v>36</v>
      </c>
      <c r="N22" s="190">
        <f>'Sentinel LightsNonRPP'!E8</f>
        <v>0.1</v>
      </c>
      <c r="O22" s="191">
        <f>'Sentinel LightsNonRPP'!M23</f>
        <v>0.53445000000000054</v>
      </c>
      <c r="P22" s="195">
        <f>'Sentinel LightsNonRPP'!N23</f>
        <v>0.12996217838870497</v>
      </c>
      <c r="Q22" s="191">
        <f>'Sentinel LightsNonRPP'!M40</f>
        <v>0.5411878783800006</v>
      </c>
      <c r="R22" s="193">
        <f>'Sentinel LightsNonRPP'!N40</f>
        <v>4.5112713948470697E-2</v>
      </c>
    </row>
    <row r="23" spans="2:18" ht="12" thickBot="1" x14ac:dyDescent="0.25">
      <c r="B23" s="211" t="s">
        <v>12</v>
      </c>
      <c r="C23" s="219">
        <f t="shared" ref="C23:D23" si="6">+C11</f>
        <v>36</v>
      </c>
      <c r="D23" s="12">
        <f t="shared" si="6"/>
        <v>0.1</v>
      </c>
      <c r="E23" s="227">
        <f>+'Sentinel LightsNonRPP'!N40</f>
        <v>4.5112713948470697E-2</v>
      </c>
      <c r="F23" s="218">
        <f>+'Sentinel LightsNonRPP'!N38</f>
        <v>4.5112713948470697E-2</v>
      </c>
      <c r="L23" s="196" t="s">
        <v>13</v>
      </c>
      <c r="M23" s="197">
        <f>'Street LightingNonRPP'!E5</f>
        <v>36</v>
      </c>
      <c r="N23" s="198">
        <f>'Street LightingNonRPP'!E8</f>
        <v>0.1</v>
      </c>
      <c r="O23" s="199">
        <f>'Street LightingNonRPP'!M23</f>
        <v>0.46642000000000028</v>
      </c>
      <c r="P23" s="200">
        <f>'Street LightingNonRPP'!N23</f>
        <v>0.11722658592072277</v>
      </c>
      <c r="Q23" s="199">
        <f>'Street LightingNonRPP'!M40</f>
        <v>0.46518853735999954</v>
      </c>
      <c r="R23" s="201">
        <f>'Street LightingNonRPP'!N40</f>
        <v>3.9284843693358121E-2</v>
      </c>
    </row>
    <row r="24" spans="2:18" ht="12" thickBot="1" x14ac:dyDescent="0.25">
      <c r="B24" s="213" t="s">
        <v>13</v>
      </c>
      <c r="C24" s="221">
        <f t="shared" ref="C24:D24" si="7">+C12</f>
        <v>36</v>
      </c>
      <c r="D24" s="20">
        <f t="shared" si="7"/>
        <v>0.1</v>
      </c>
      <c r="E24" s="229">
        <f>+'Street LightingNonRPP'!N40</f>
        <v>3.9284843693358121E-2</v>
      </c>
      <c r="F24" s="223">
        <f>+'Street LightingNonRPP'!N38</f>
        <v>3.9284843693358121E-2</v>
      </c>
    </row>
  </sheetData>
  <mergeCells count="18">
    <mergeCell ref="B3:B4"/>
    <mergeCell ref="C3:C4"/>
    <mergeCell ref="D3:D4"/>
    <mergeCell ref="B15:B16"/>
    <mergeCell ref="C15:C16"/>
    <mergeCell ref="D15:D16"/>
    <mergeCell ref="L2:R2"/>
    <mergeCell ref="L3:L4"/>
    <mergeCell ref="M3:M4"/>
    <mergeCell ref="N3:N4"/>
    <mergeCell ref="O3:P3"/>
    <mergeCell ref="Q3:R3"/>
    <mergeCell ref="L14:R14"/>
    <mergeCell ref="L15:L16"/>
    <mergeCell ref="M15:M16"/>
    <mergeCell ref="N15:N16"/>
    <mergeCell ref="O15:P15"/>
    <mergeCell ref="Q15:R15"/>
  </mergeCells>
  <phoneticPr fontId="0" type="noConversion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  <pageSetUpPr fitToPage="1"/>
  </sheetPr>
  <dimension ref="A1:N46"/>
  <sheetViews>
    <sheetView topLeftCell="A10" workbookViewId="0">
      <selection activeCell="N32" sqref="N32"/>
    </sheetView>
  </sheetViews>
  <sheetFormatPr defaultRowHeight="12.75" x14ac:dyDescent="0.2"/>
  <cols>
    <col min="1" max="1" width="37.28515625" customWidth="1"/>
    <col min="2" max="2" width="1.28515625" customWidth="1"/>
    <col min="3" max="3" width="5.5703125" bestFit="1" customWidth="1"/>
    <col min="4" max="4" width="3.140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11.28515625" bestFit="1" customWidth="1"/>
    <col min="10" max="10" width="8" bestFit="1" customWidth="1"/>
    <col min="11" max="11" width="9.85546875" bestFit="1" customWidth="1"/>
    <col min="12" max="12" width="4.7109375" customWidth="1"/>
    <col min="13" max="13" width="9.85546875" bestFit="1" customWidth="1"/>
    <col min="14" max="14" width="12.5703125" bestFit="1" customWidth="1"/>
  </cols>
  <sheetData>
    <row r="1" spans="1:14" ht="15.75" x14ac:dyDescent="0.2">
      <c r="A1" s="24"/>
      <c r="B1" s="25"/>
      <c r="C1" s="240" t="s">
        <v>59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800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56">
        <f>ResidentialRPP!E14</f>
        <v>12.94</v>
      </c>
      <c r="F14" s="57">
        <f>ResidentialRPP!F14</f>
        <v>1</v>
      </c>
      <c r="G14" s="58">
        <f>E14*F14</f>
        <v>12.94</v>
      </c>
      <c r="H14" s="59"/>
      <c r="I14" s="56">
        <f>ResidentialRPP!I14</f>
        <v>16.579999999999998</v>
      </c>
      <c r="J14" s="60">
        <f>ResidentialRPP!J14</f>
        <v>1</v>
      </c>
      <c r="K14" s="61">
        <f t="shared" ref="K14:K19" si="0">I14*J14</f>
        <v>16.579999999999998</v>
      </c>
      <c r="L14" s="59"/>
      <c r="M14" s="62">
        <f>K14-G14</f>
        <v>3.6399999999999988</v>
      </c>
      <c r="N14" s="63">
        <f>M14/G14</f>
        <v>0.28129829984544041</v>
      </c>
    </row>
    <row r="15" spans="1:14" ht="14.25" x14ac:dyDescent="0.2">
      <c r="A15" s="53" t="s">
        <v>29</v>
      </c>
      <c r="B15" s="53"/>
      <c r="C15" s="54"/>
      <c r="D15" s="55"/>
      <c r="E15" s="64">
        <f>ResidentialRPP!E15</f>
        <v>1.52E-2</v>
      </c>
      <c r="F15" s="65">
        <f>ResidentialRPP!F15</f>
        <v>800</v>
      </c>
      <c r="G15" s="58">
        <f>E15*F15</f>
        <v>12.16</v>
      </c>
      <c r="H15" s="59"/>
      <c r="I15" s="64">
        <f>ResidentialRPP!I15</f>
        <v>1.1599999999999999E-2</v>
      </c>
      <c r="J15" s="66">
        <v>800</v>
      </c>
      <c r="K15" s="58">
        <f t="shared" si="0"/>
        <v>9.2799999999999994</v>
      </c>
      <c r="L15" s="59"/>
      <c r="M15" s="62">
        <f t="shared" ref="M15:M36" si="1">K15-G15</f>
        <v>-2.8800000000000008</v>
      </c>
      <c r="N15" s="63">
        <f t="shared" ref="N15:N35" si="2">M15/G15</f>
        <v>-0.23684210526315796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57">
        <f>ResidentialRPP!F19</f>
        <v>800</v>
      </c>
      <c r="G16" s="58">
        <f>E16*F16</f>
        <v>0</v>
      </c>
      <c r="H16" s="59"/>
      <c r="I16" s="68">
        <f>ResidentialRPP!I16</f>
        <v>-0.11</v>
      </c>
      <c r="J16" s="60">
        <v>1</v>
      </c>
      <c r="K16" s="61">
        <f t="shared" si="0"/>
        <v>-0.11</v>
      </c>
      <c r="L16" s="59"/>
      <c r="M16" s="62">
        <f t="shared" si="1"/>
        <v>-0.11</v>
      </c>
      <c r="N16" s="63" t="e">
        <f t="shared" si="2"/>
        <v>#DIV/0!</v>
      </c>
    </row>
    <row r="17" spans="1:14" ht="14.25" x14ac:dyDescent="0.2">
      <c r="A17" s="91" t="s">
        <v>57</v>
      </c>
      <c r="B17" s="92"/>
      <c r="C17" s="93"/>
      <c r="D17" s="94"/>
      <c r="E17" s="97">
        <f>+ResidentialRPP!E17</f>
        <v>-0.04</v>
      </c>
      <c r="F17" s="95">
        <v>1</v>
      </c>
      <c r="G17" s="58">
        <f>+E17*F17</f>
        <v>-0.04</v>
      </c>
      <c r="H17" s="86"/>
      <c r="I17" s="97">
        <v>0</v>
      </c>
      <c r="J17" s="95">
        <v>1</v>
      </c>
      <c r="K17" s="58">
        <f t="shared" si="0"/>
        <v>0</v>
      </c>
      <c r="L17" s="96"/>
      <c r="M17" s="62">
        <f>K17-G17</f>
        <v>0.04</v>
      </c>
      <c r="N17" s="63">
        <f>IFERROR(M17/G17, "")</f>
        <v>-1</v>
      </c>
    </row>
    <row r="18" spans="1:14" ht="14.25" x14ac:dyDescent="0.2">
      <c r="A18" s="91" t="s">
        <v>58</v>
      </c>
      <c r="B18" s="92"/>
      <c r="C18" s="93"/>
      <c r="D18" s="94"/>
      <c r="E18" s="97">
        <f>+ResidentialRPP!E18</f>
        <v>1.17</v>
      </c>
      <c r="F18" s="95">
        <v>1</v>
      </c>
      <c r="G18" s="58">
        <f>+E18*F18</f>
        <v>1.17</v>
      </c>
      <c r="H18" s="86"/>
      <c r="I18" s="97">
        <v>0</v>
      </c>
      <c r="J18" s="95">
        <v>1</v>
      </c>
      <c r="K18" s="58">
        <f t="shared" si="0"/>
        <v>0</v>
      </c>
      <c r="L18" s="96"/>
      <c r="M18" s="62">
        <f>K18-G18</f>
        <v>-1.17</v>
      </c>
      <c r="N18" s="63">
        <f>IFERROR(M18/G18, "")</f>
        <v>-1</v>
      </c>
    </row>
    <row r="19" spans="1:14" ht="14.25" x14ac:dyDescent="0.2">
      <c r="A19" s="69" t="s">
        <v>31</v>
      </c>
      <c r="B19" s="70"/>
      <c r="C19" s="71"/>
      <c r="D19" s="72"/>
      <c r="E19" s="73">
        <f>+ResidentialRPP!E19</f>
        <v>-2.0000000000000001E-4</v>
      </c>
      <c r="F19" s="74">
        <v>800</v>
      </c>
      <c r="G19" s="75">
        <f>E19*F19</f>
        <v>-0.16</v>
      </c>
      <c r="H19" s="76"/>
      <c r="I19" s="73">
        <f>+ResidentialRPP!I19</f>
        <v>0</v>
      </c>
      <c r="J19" s="77">
        <v>800</v>
      </c>
      <c r="K19" s="75">
        <f t="shared" si="0"/>
        <v>0</v>
      </c>
      <c r="L19" s="76"/>
      <c r="M19" s="78">
        <f t="shared" si="1"/>
        <v>0.16</v>
      </c>
      <c r="N19" s="79">
        <f>-M19/G19</f>
        <v>1</v>
      </c>
    </row>
    <row r="20" spans="1:14" ht="15" x14ac:dyDescent="0.2">
      <c r="A20" s="80" t="s">
        <v>32</v>
      </c>
      <c r="B20" s="81"/>
      <c r="C20" s="81"/>
      <c r="D20" s="82"/>
      <c r="E20" s="83"/>
      <c r="F20" s="84"/>
      <c r="G20" s="85">
        <f>SUM(G14:G19)</f>
        <v>26.070000000000004</v>
      </c>
      <c r="H20" s="86"/>
      <c r="I20" s="83"/>
      <c r="J20" s="87"/>
      <c r="K20" s="85">
        <f>SUM(K14:K19)</f>
        <v>25.75</v>
      </c>
      <c r="L20" s="88"/>
      <c r="M20" s="89">
        <f t="shared" si="1"/>
        <v>-0.32000000000000384</v>
      </c>
      <c r="N20" s="90">
        <f t="shared" si="2"/>
        <v>-1.2274645186037736E-2</v>
      </c>
    </row>
    <row r="21" spans="1:14" ht="14.25" x14ac:dyDescent="0.2">
      <c r="A21" s="91" t="s">
        <v>33</v>
      </c>
      <c r="B21" s="92"/>
      <c r="C21" s="93"/>
      <c r="D21" s="94"/>
      <c r="E21" s="64">
        <v>8.3900000000000002E-2</v>
      </c>
      <c r="F21" s="95">
        <v>48</v>
      </c>
      <c r="G21" s="58">
        <f>E21*F21</f>
        <v>4.0272000000000006</v>
      </c>
      <c r="H21" s="86"/>
      <c r="I21" s="64">
        <v>8.3900000000000002E-2</v>
      </c>
      <c r="J21" s="95">
        <v>48</v>
      </c>
      <c r="K21" s="58">
        <f t="shared" ref="K21:K24" si="3">I21*J21</f>
        <v>4.0272000000000006</v>
      </c>
      <c r="L21" s="96"/>
      <c r="M21" s="62">
        <f t="shared" si="1"/>
        <v>0</v>
      </c>
      <c r="N21" s="63">
        <f t="shared" si="2"/>
        <v>0</v>
      </c>
    </row>
    <row r="22" spans="1:14" ht="25.5" x14ac:dyDescent="0.2">
      <c r="A22" s="91" t="s">
        <v>34</v>
      </c>
      <c r="B22" s="92"/>
      <c r="C22" s="93"/>
      <c r="D22" s="94"/>
      <c r="E22" s="97">
        <v>-7.6E-3</v>
      </c>
      <c r="F22" s="95">
        <v>800</v>
      </c>
      <c r="G22" s="58">
        <f>E22*F22</f>
        <v>-6.08</v>
      </c>
      <c r="H22" s="86"/>
      <c r="I22" s="97">
        <f>-0.0023+0.0066</f>
        <v>4.3E-3</v>
      </c>
      <c r="J22" s="95">
        <v>800</v>
      </c>
      <c r="K22" s="58">
        <f t="shared" si="3"/>
        <v>3.44</v>
      </c>
      <c r="L22" s="96"/>
      <c r="M22" s="62">
        <f>K22-G22</f>
        <v>9.52</v>
      </c>
      <c r="N22" s="63">
        <f>IFERROR(-M22/G22, "")</f>
        <v>1.5657894736842104</v>
      </c>
    </row>
    <row r="23" spans="1:14" ht="14.25" x14ac:dyDescent="0.2">
      <c r="A23" s="98" t="s">
        <v>35</v>
      </c>
      <c r="B23" s="92"/>
      <c r="C23" s="93"/>
      <c r="D23" s="94"/>
      <c r="E23" s="64">
        <v>1E-3</v>
      </c>
      <c r="F23" s="95">
        <v>800</v>
      </c>
      <c r="G23" s="58">
        <f>E23*F23</f>
        <v>0.8</v>
      </c>
      <c r="H23" s="86"/>
      <c r="I23" s="64">
        <v>1E-3</v>
      </c>
      <c r="J23" s="95">
        <v>800</v>
      </c>
      <c r="K23" s="58">
        <f t="shared" si="3"/>
        <v>0.8</v>
      </c>
      <c r="L23" s="96"/>
      <c r="M23" s="62">
        <f t="shared" si="1"/>
        <v>0</v>
      </c>
      <c r="N23" s="63">
        <f t="shared" si="2"/>
        <v>0</v>
      </c>
    </row>
    <row r="24" spans="1:14" ht="14.25" x14ac:dyDescent="0.2">
      <c r="A24" s="98" t="s">
        <v>36</v>
      </c>
      <c r="B24" s="92"/>
      <c r="C24" s="93"/>
      <c r="D24" s="94"/>
      <c r="E24" s="64">
        <v>0.79</v>
      </c>
      <c r="F24" s="95">
        <v>1</v>
      </c>
      <c r="G24" s="58">
        <f>E24*F24</f>
        <v>0.79</v>
      </c>
      <c r="H24" s="86"/>
      <c r="I24" s="64">
        <v>0.79</v>
      </c>
      <c r="J24" s="95">
        <v>1</v>
      </c>
      <c r="K24" s="58">
        <f t="shared" si="3"/>
        <v>0.79</v>
      </c>
      <c r="L24" s="96"/>
      <c r="M24" s="62">
        <f>K24-G24</f>
        <v>0</v>
      </c>
      <c r="N24" s="63">
        <f t="shared" si="2"/>
        <v>0</v>
      </c>
    </row>
    <row r="25" spans="1:14" ht="33.75" customHeight="1" x14ac:dyDescent="0.2">
      <c r="A25" s="99" t="s">
        <v>37</v>
      </c>
      <c r="B25" s="100"/>
      <c r="C25" s="100"/>
      <c r="D25" s="101"/>
      <c r="E25" s="102"/>
      <c r="F25" s="102"/>
      <c r="G25" s="103">
        <f>SUM(G20:G24)</f>
        <v>25.607200000000002</v>
      </c>
      <c r="H25" s="86"/>
      <c r="I25" s="102"/>
      <c r="J25" s="104"/>
      <c r="K25" s="103">
        <f>SUM(K20:K24)</f>
        <v>34.807199999999995</v>
      </c>
      <c r="L25" s="88"/>
      <c r="M25" s="105">
        <f t="shared" si="1"/>
        <v>9.1999999999999922</v>
      </c>
      <c r="N25" s="106">
        <f t="shared" si="2"/>
        <v>0.35927395420038083</v>
      </c>
    </row>
    <row r="26" spans="1:14" ht="14.25" x14ac:dyDescent="0.2">
      <c r="A26" s="107" t="s">
        <v>38</v>
      </c>
      <c r="B26" s="107"/>
      <c r="C26" s="108"/>
      <c r="D26" s="109"/>
      <c r="E26" s="64">
        <v>7.1000000000000004E-3</v>
      </c>
      <c r="F26" s="110">
        <v>848</v>
      </c>
      <c r="G26" s="58">
        <f>E26*F26</f>
        <v>6.0208000000000004</v>
      </c>
      <c r="H26" s="86"/>
      <c r="I26" s="64">
        <f>+ResidentialRPP!I26</f>
        <v>5.1999999999999998E-3</v>
      </c>
      <c r="J26" s="111">
        <f>E5*E3</f>
        <v>848.16000000000008</v>
      </c>
      <c r="K26" s="58">
        <f>I26*J26</f>
        <v>4.4104320000000001</v>
      </c>
      <c r="L26" s="96"/>
      <c r="M26" s="62">
        <f t="shared" si="1"/>
        <v>-1.6103680000000002</v>
      </c>
      <c r="N26" s="63">
        <f t="shared" si="2"/>
        <v>-0.26746744618655333</v>
      </c>
    </row>
    <row r="27" spans="1:14" ht="29.25" customHeight="1" x14ac:dyDescent="0.2">
      <c r="A27" s="253" t="s">
        <v>39</v>
      </c>
      <c r="B27" s="253"/>
      <c r="C27" s="253"/>
      <c r="D27" s="109"/>
      <c r="E27" s="64">
        <v>3.3999999999999998E-3</v>
      </c>
      <c r="F27" s="110">
        <f>ResidentialRPP!F26</f>
        <v>848.16000000000008</v>
      </c>
      <c r="G27" s="58">
        <f>E27*F27</f>
        <v>2.8837440000000001</v>
      </c>
      <c r="H27" s="86"/>
      <c r="I27" s="64">
        <f>+ResidentialRPP!I27</f>
        <v>3.3999999999999998E-3</v>
      </c>
      <c r="J27" s="111">
        <f>ResidentialRPP!J26</f>
        <v>848.16000000000008</v>
      </c>
      <c r="K27" s="58">
        <f>I27*J27</f>
        <v>2.8837440000000001</v>
      </c>
      <c r="L27" s="96"/>
      <c r="M27" s="62">
        <f t="shared" si="1"/>
        <v>0</v>
      </c>
      <c r="N27" s="63">
        <f t="shared" si="2"/>
        <v>0</v>
      </c>
    </row>
    <row r="28" spans="1:14" ht="25.5" x14ac:dyDescent="0.2">
      <c r="A28" s="99" t="s">
        <v>40</v>
      </c>
      <c r="B28" s="112"/>
      <c r="C28" s="112"/>
      <c r="D28" s="113"/>
      <c r="E28" s="102"/>
      <c r="F28" s="102"/>
      <c r="G28" s="103">
        <f>SUM(G25:G27)</f>
        <v>34.511744000000007</v>
      </c>
      <c r="H28" s="114"/>
      <c r="I28" s="115"/>
      <c r="J28" s="116"/>
      <c r="K28" s="103">
        <f>SUM(K25:K27)</f>
        <v>42.101375999999995</v>
      </c>
      <c r="L28" s="117"/>
      <c r="M28" s="105">
        <f t="shared" si="1"/>
        <v>7.5896319999999875</v>
      </c>
      <c r="N28" s="106">
        <f t="shared" si="2"/>
        <v>0.21991447317179874</v>
      </c>
    </row>
    <row r="29" spans="1:14" ht="25.5" x14ac:dyDescent="0.2">
      <c r="A29" s="118" t="s">
        <v>41</v>
      </c>
      <c r="B29" s="92"/>
      <c r="C29" s="93"/>
      <c r="D29" s="94"/>
      <c r="E29" s="119">
        <f>+ResidentialRPP!E29</f>
        <v>3.5999999999999999E-3</v>
      </c>
      <c r="F29" s="110">
        <v>848</v>
      </c>
      <c r="G29" s="120">
        <f t="shared" ref="G29:G36" si="4">E29*F29</f>
        <v>3.0528</v>
      </c>
      <c r="H29" s="96"/>
      <c r="I29" s="119">
        <f>+E29</f>
        <v>3.5999999999999999E-3</v>
      </c>
      <c r="J29" s="111">
        <v>848</v>
      </c>
      <c r="K29" s="120">
        <f t="shared" ref="K29:K35" si="5">I29*J29</f>
        <v>3.0528</v>
      </c>
      <c r="L29" s="96"/>
      <c r="M29" s="62">
        <f t="shared" si="1"/>
        <v>0</v>
      </c>
      <c r="N29" s="121">
        <f>IFERROR(M29/G29,"")</f>
        <v>0</v>
      </c>
    </row>
    <row r="30" spans="1:14" ht="14.25" x14ac:dyDescent="0.2">
      <c r="A30" s="118" t="s">
        <v>42</v>
      </c>
      <c r="B30" s="92"/>
      <c r="C30" s="93"/>
      <c r="D30" s="94"/>
      <c r="E30" s="119">
        <f>+ResidentialRPP!E30</f>
        <v>1.2999999999999999E-3</v>
      </c>
      <c r="F30" s="110">
        <f>ResidentialRPP!F29</f>
        <v>848.16000000000008</v>
      </c>
      <c r="G30" s="120">
        <f t="shared" si="4"/>
        <v>1.102608</v>
      </c>
      <c r="H30" s="96"/>
      <c r="I30" s="119">
        <f>+E30</f>
        <v>1.2999999999999999E-3</v>
      </c>
      <c r="J30" s="111">
        <f>ResidentialRPP!J29</f>
        <v>848.16000000000008</v>
      </c>
      <c r="K30" s="120">
        <f t="shared" si="5"/>
        <v>1.102608</v>
      </c>
      <c r="L30" s="96"/>
      <c r="M30" s="62">
        <f t="shared" si="1"/>
        <v>0</v>
      </c>
      <c r="N30" s="121">
        <f t="shared" si="2"/>
        <v>0</v>
      </c>
    </row>
    <row r="31" spans="1:14" ht="14.25" x14ac:dyDescent="0.2">
      <c r="A31" s="92" t="s">
        <v>43</v>
      </c>
      <c r="B31" s="92"/>
      <c r="C31" s="93"/>
      <c r="D31" s="94"/>
      <c r="E31" s="119">
        <f>+ResidentialRPP!E31</f>
        <v>0.25</v>
      </c>
      <c r="F31" s="110">
        <v>1</v>
      </c>
      <c r="G31" s="120">
        <f t="shared" si="4"/>
        <v>0.25</v>
      </c>
      <c r="H31" s="96"/>
      <c r="I31" s="119">
        <f>+E31</f>
        <v>0.25</v>
      </c>
      <c r="J31" s="111">
        <v>1</v>
      </c>
      <c r="K31" s="120">
        <f t="shared" si="5"/>
        <v>0.25</v>
      </c>
      <c r="L31" s="96"/>
      <c r="M31" s="62">
        <f t="shared" si="1"/>
        <v>0</v>
      </c>
      <c r="N31" s="121">
        <f t="shared" si="2"/>
        <v>0</v>
      </c>
    </row>
    <row r="32" spans="1:14" ht="14.25" x14ac:dyDescent="0.2">
      <c r="A32" s="92"/>
      <c r="B32" s="92"/>
      <c r="C32" s="93"/>
      <c r="D32" s="94"/>
      <c r="E32" s="119"/>
      <c r="F32" s="110"/>
      <c r="G32" s="120"/>
      <c r="H32" s="96"/>
      <c r="I32" s="119"/>
      <c r="J32" s="111"/>
      <c r="K32" s="120"/>
      <c r="L32" s="96"/>
      <c r="M32" s="62"/>
      <c r="N32" s="121"/>
    </row>
    <row r="33" spans="1:14" ht="25.5" x14ac:dyDescent="0.2">
      <c r="A33" s="233" t="s">
        <v>86</v>
      </c>
      <c r="B33" s="92"/>
      <c r="C33" s="93"/>
      <c r="D33" s="94"/>
      <c r="E33" s="119">
        <v>1.1000000000000001E-3</v>
      </c>
      <c r="F33" s="110">
        <f>+F30</f>
        <v>848.16000000000008</v>
      </c>
      <c r="G33" s="120">
        <f>+F33*E33</f>
        <v>0.93297600000000014</v>
      </c>
      <c r="H33" s="96"/>
      <c r="I33" s="119">
        <v>1.1000000000000001E-3</v>
      </c>
      <c r="J33" s="110">
        <f>+J30</f>
        <v>848.16000000000008</v>
      </c>
      <c r="K33" s="120">
        <f>+J33*I33</f>
        <v>0.93297600000000014</v>
      </c>
      <c r="L33" s="96"/>
      <c r="M33" s="62">
        <f>K33-G33</f>
        <v>0</v>
      </c>
      <c r="N33" s="121">
        <f>M33/G33</f>
        <v>0</v>
      </c>
    </row>
    <row r="34" spans="1:14" ht="14.25" x14ac:dyDescent="0.2">
      <c r="A34" s="205" t="s">
        <v>65</v>
      </c>
      <c r="B34" s="92"/>
      <c r="C34" s="93"/>
      <c r="D34" s="94"/>
      <c r="E34" s="122">
        <v>9.5399999999999999E-2</v>
      </c>
      <c r="F34" s="110">
        <v>800</v>
      </c>
      <c r="G34" s="120">
        <f t="shared" si="4"/>
        <v>76.319999999999993</v>
      </c>
      <c r="H34" s="96"/>
      <c r="I34" s="119">
        <f>E34</f>
        <v>9.5399999999999999E-2</v>
      </c>
      <c r="J34" s="110">
        <f>F34</f>
        <v>800</v>
      </c>
      <c r="K34" s="120">
        <f>I34*J34</f>
        <v>76.319999999999993</v>
      </c>
      <c r="L34" s="96"/>
      <c r="M34" s="62">
        <f t="shared" si="1"/>
        <v>0</v>
      </c>
      <c r="N34" s="121">
        <f t="shared" si="2"/>
        <v>0</v>
      </c>
    </row>
    <row r="35" spans="1:14" ht="14.25" x14ac:dyDescent="0.2">
      <c r="A35" s="98" t="s">
        <v>56</v>
      </c>
      <c r="B35" s="92"/>
      <c r="C35" s="93"/>
      <c r="D35" s="94"/>
      <c r="E35" s="122">
        <v>5.6370000000000003E-2</v>
      </c>
      <c r="F35" s="110">
        <v>800</v>
      </c>
      <c r="G35" s="120">
        <f t="shared" si="4"/>
        <v>45.096000000000004</v>
      </c>
      <c r="H35" s="96"/>
      <c r="I35" s="119">
        <f>E35</f>
        <v>5.6370000000000003E-2</v>
      </c>
      <c r="J35" s="110">
        <f>F35</f>
        <v>800</v>
      </c>
      <c r="K35" s="120">
        <f t="shared" si="5"/>
        <v>45.096000000000004</v>
      </c>
      <c r="L35" s="96"/>
      <c r="M35" s="62">
        <f t="shared" si="1"/>
        <v>0</v>
      </c>
      <c r="N35" s="121">
        <f t="shared" si="2"/>
        <v>0</v>
      </c>
    </row>
    <row r="36" spans="1:14" ht="15" thickBot="1" x14ac:dyDescent="0.25">
      <c r="A36" s="45"/>
      <c r="B36" s="92"/>
      <c r="C36" s="93"/>
      <c r="D36" s="94"/>
      <c r="E36" s="122"/>
      <c r="F36" s="110"/>
      <c r="G36" s="120">
        <f t="shared" si="4"/>
        <v>0</v>
      </c>
      <c r="H36" s="96"/>
      <c r="I36" s="119"/>
      <c r="J36" s="110"/>
      <c r="K36" s="120">
        <f>I36*J36</f>
        <v>0</v>
      </c>
      <c r="L36" s="96"/>
      <c r="M36" s="62">
        <f t="shared" si="1"/>
        <v>0</v>
      </c>
      <c r="N36" s="121" t="str">
        <f>IFERROR(M36/G36, "")</f>
        <v/>
      </c>
    </row>
    <row r="37" spans="1:14" ht="15" thickBot="1" x14ac:dyDescent="0.25">
      <c r="A37" s="123"/>
      <c r="B37" s="124"/>
      <c r="C37" s="124"/>
      <c r="D37" s="125"/>
      <c r="E37" s="126"/>
      <c r="F37" s="127"/>
      <c r="G37" s="128"/>
      <c r="H37" s="129"/>
      <c r="I37" s="126"/>
      <c r="J37" s="130"/>
      <c r="K37" s="128"/>
      <c r="L37" s="129"/>
      <c r="M37" s="131"/>
      <c r="N37" s="132"/>
    </row>
    <row r="38" spans="1:14" ht="15" x14ac:dyDescent="0.2">
      <c r="A38" s="133" t="s">
        <v>48</v>
      </c>
      <c r="B38" s="92"/>
      <c r="C38" s="92"/>
      <c r="D38" s="134"/>
      <c r="E38" s="135"/>
      <c r="F38" s="136"/>
      <c r="G38" s="137">
        <f>SUM(G28:G37)</f>
        <v>161.26612800000001</v>
      </c>
      <c r="H38" s="138"/>
      <c r="I38" s="139"/>
      <c r="J38" s="139"/>
      <c r="K38" s="140">
        <f>SUM(K28:K37)</f>
        <v>168.85576</v>
      </c>
      <c r="L38" s="141"/>
      <c r="M38" s="142">
        <f>K38-G38</f>
        <v>7.5896319999999946</v>
      </c>
      <c r="N38" s="143">
        <f>M38/G38</f>
        <v>4.7062778117919431E-2</v>
      </c>
    </row>
    <row r="39" spans="1:14" ht="14.25" x14ac:dyDescent="0.2">
      <c r="A39" s="144" t="s">
        <v>49</v>
      </c>
      <c r="B39" s="92"/>
      <c r="C39" s="92"/>
      <c r="D39" s="134"/>
      <c r="E39" s="135">
        <v>0.13</v>
      </c>
      <c r="F39" s="145"/>
      <c r="G39" s="146">
        <f>G38*E39</f>
        <v>20.964596640000003</v>
      </c>
      <c r="H39" s="147"/>
      <c r="I39" s="135">
        <v>0.13</v>
      </c>
      <c r="J39" s="147"/>
      <c r="K39" s="148">
        <f>K38*I39</f>
        <v>21.951248800000002</v>
      </c>
      <c r="L39" s="149"/>
      <c r="M39" s="150">
        <f>K39-G39</f>
        <v>0.98665215999999845</v>
      </c>
      <c r="N39" s="151">
        <f>M39/G39</f>
        <v>4.7062778117919389E-2</v>
      </c>
    </row>
    <row r="40" spans="1:14" ht="14.25" x14ac:dyDescent="0.2">
      <c r="A40" s="152" t="s">
        <v>50</v>
      </c>
      <c r="B40" s="92"/>
      <c r="C40" s="92"/>
      <c r="D40" s="134"/>
      <c r="E40" s="147"/>
      <c r="F40" s="145"/>
      <c r="G40" s="146">
        <f>SUM(G38:G39)</f>
        <v>182.23072464000001</v>
      </c>
      <c r="H40" s="147"/>
      <c r="I40" s="147"/>
      <c r="J40" s="147"/>
      <c r="K40" s="148">
        <f>SUM(K38:K39)</f>
        <v>190.80700880000001</v>
      </c>
      <c r="L40" s="149"/>
      <c r="M40" s="150">
        <f>K40-G40</f>
        <v>8.5762841600000002</v>
      </c>
      <c r="N40" s="151">
        <f>M40/G40</f>
        <v>4.7062778117919465E-2</v>
      </c>
    </row>
    <row r="41" spans="1:14" ht="14.25" customHeight="1" x14ac:dyDescent="0.2">
      <c r="A41" s="252"/>
      <c r="B41" s="252"/>
      <c r="C41" s="252"/>
      <c r="D41" s="134"/>
      <c r="E41" s="147"/>
      <c r="F41" s="145"/>
      <c r="G41" s="153"/>
      <c r="H41" s="147"/>
      <c r="I41" s="147"/>
      <c r="J41" s="147"/>
      <c r="K41" s="154"/>
      <c r="L41" s="149"/>
      <c r="M41" s="155"/>
      <c r="N41" s="156"/>
    </row>
    <row r="42" spans="1:14" ht="15.75" customHeight="1" thickBot="1" x14ac:dyDescent="0.25">
      <c r="A42" s="245" t="s">
        <v>51</v>
      </c>
      <c r="B42" s="245"/>
      <c r="C42" s="245"/>
      <c r="D42" s="157"/>
      <c r="E42" s="158"/>
      <c r="F42" s="159"/>
      <c r="G42" s="160">
        <f>SUM(G40:G41)</f>
        <v>182.23072464000001</v>
      </c>
      <c r="H42" s="161"/>
      <c r="I42" s="161"/>
      <c r="J42" s="161"/>
      <c r="K42" s="162">
        <f>SUM(K40:K41)</f>
        <v>190.80700880000001</v>
      </c>
      <c r="L42" s="163"/>
      <c r="M42" s="89">
        <f>K42-G42</f>
        <v>8.5762841600000002</v>
      </c>
      <c r="N42" s="90">
        <f>M42/G42</f>
        <v>4.7062778117919465E-2</v>
      </c>
    </row>
    <row r="43" spans="1:14" ht="13.5" thickBot="1" x14ac:dyDescent="0.25">
      <c r="A43" s="123"/>
      <c r="B43" s="124"/>
      <c r="C43" s="124"/>
      <c r="D43" s="125"/>
      <c r="E43" s="164"/>
      <c r="F43" s="165"/>
      <c r="G43" s="166"/>
      <c r="H43" s="167"/>
      <c r="I43" s="164"/>
      <c r="J43" s="167"/>
      <c r="K43" s="168"/>
      <c r="L43" s="165"/>
      <c r="M43" s="169"/>
      <c r="N43" s="170"/>
    </row>
    <row r="44" spans="1:14" x14ac:dyDescent="0.2">
      <c r="A44" s="28"/>
      <c r="B44" s="28"/>
      <c r="C44" s="28"/>
      <c r="D44" s="25"/>
      <c r="E44" s="25"/>
      <c r="F44" s="25"/>
      <c r="G44" s="25"/>
      <c r="H44" s="25"/>
      <c r="I44" s="25"/>
      <c r="J44" s="25"/>
      <c r="K44" s="171"/>
      <c r="L44" s="25"/>
      <c r="M44" s="25"/>
      <c r="N44" s="25"/>
    </row>
    <row r="45" spans="1:14" x14ac:dyDescent="0.2">
      <c r="A45" s="28"/>
      <c r="B45" s="28"/>
      <c r="C45" s="28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x14ac:dyDescent="0.2">
      <c r="A46" s="28"/>
      <c r="B46" s="28"/>
      <c r="C46" s="28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</sheetData>
  <mergeCells count="11">
    <mergeCell ref="M11:N11"/>
    <mergeCell ref="C12:C13"/>
    <mergeCell ref="M12:M13"/>
    <mergeCell ref="N12:N13"/>
    <mergeCell ref="A41:C41"/>
    <mergeCell ref="A27:C27"/>
    <mergeCell ref="C1:K1"/>
    <mergeCell ref="E9:J9"/>
    <mergeCell ref="E11:G11"/>
    <mergeCell ref="I11:K11"/>
    <mergeCell ref="A42:C42"/>
  </mergeCells>
  <phoneticPr fontId="0" type="noConversion"/>
  <dataValidations disablePrompts="1" count="3">
    <dataValidation type="list" allowBlank="1" showInputMessage="1" showErrorMessage="1" sqref="D26:D27 D43 D22:D24 D14:D19 D29:D30 D31:D37">
      <formula1>#REF!</formula1>
    </dataValidation>
    <dataValidation type="list" allowBlank="1" showInputMessage="1" showErrorMessage="1" prompt="Select Charge Unit - monthly, per kWh, per kW" sqref="C37 C43">
      <formula1>"Monthly, per kWh, per kW"</formula1>
    </dataValidation>
    <dataValidation showDropDown="1" showInputMessage="1" showErrorMessage="1" prompt="Select Charge Unit - monthly, per kWh, per kW" sqref="C26 C22:C24 C14:C19 C29:C30 C31:C36"/>
  </dataValidations>
  <pageMargins left="0.75" right="0.75" top="1" bottom="1" header="0.5" footer="0.5"/>
  <pageSetup scale="65" orientation="portrait" r:id="rId1"/>
  <headerFooter alignWithMargins="0"/>
  <ignoredErrors>
    <ignoredError sqref="E14:N14 F19:H19 H18 E37:N39 E20:F21 E35:M36 K19:M19 E15:I15 K15:N15 E16:H16 K16:M16 E42:N42 E41:F41 E40:F40 M40:N40 E23:F25 F22 J17:M18 H17 E28:F28 F26 F27 F30 F34" unlockedFormula="1"/>
    <ignoredError sqref="N35" evalError="1" unlockedFormula="1"/>
    <ignoredError sqref="G20:N21 G34:M34 G23:N25 G22:H22 L41 H41:J41 G40:L40 J22:M22 G28:N28 G26:H26 J26:N26 G27:H27 J27:N27 G29:H29 K29:M29 G30:H30 J30:M30 G31:H31 K31:M31 H32 L32" formula="1" unlockedFormula="1"/>
    <ignoredError sqref="N34 N30 N31" evalError="1" formula="1" unlockedFormula="1"/>
    <ignoredError sqref="N2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opLeftCell="A10" workbookViewId="0">
      <selection activeCell="P35" sqref="P35"/>
    </sheetView>
  </sheetViews>
  <sheetFormatPr defaultRowHeight="12.75" x14ac:dyDescent="0.2"/>
  <cols>
    <col min="1" max="1" width="23" customWidth="1"/>
    <col min="5" max="5" width="14.140625" customWidth="1"/>
    <col min="7" max="7" width="9.85546875" bestFit="1" customWidth="1"/>
    <col min="9" max="9" width="14.140625" customWidth="1"/>
    <col min="11" max="11" width="9.85546875" bestFit="1" customWidth="1"/>
    <col min="14" max="14" width="10" bestFit="1" customWidth="1"/>
  </cols>
  <sheetData>
    <row r="1" spans="1:14" ht="38.25" customHeight="1" x14ac:dyDescent="0.2">
      <c r="A1" s="24"/>
      <c r="B1" s="25"/>
      <c r="C1" s="203" t="s">
        <v>68</v>
      </c>
      <c r="D1" s="203"/>
      <c r="E1" s="203"/>
      <c r="F1" s="203"/>
      <c r="G1" s="203"/>
      <c r="H1" s="203"/>
      <c r="I1" s="203"/>
      <c r="J1" s="203"/>
      <c r="K1" s="203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364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ht="17.25" customHeight="1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7.25" customHeight="1" x14ac:dyDescent="0.2">
      <c r="A14" s="53" t="s">
        <v>28</v>
      </c>
      <c r="B14" s="53"/>
      <c r="C14" s="54"/>
      <c r="D14" s="55"/>
      <c r="E14" s="56">
        <f>ResidentialRPP!E14</f>
        <v>12.94</v>
      </c>
      <c r="F14" s="57">
        <f>ResidentialRPP!F14</f>
        <v>1</v>
      </c>
      <c r="G14" s="58">
        <f>E14*F14</f>
        <v>12.94</v>
      </c>
      <c r="H14" s="59"/>
      <c r="I14" s="56">
        <f>ResidentialRPP!I14</f>
        <v>16.579999999999998</v>
      </c>
      <c r="J14" s="60">
        <f>ResidentialRPP!J14</f>
        <v>1</v>
      </c>
      <c r="K14" s="61">
        <f t="shared" ref="K14:K19" si="0">I14*J14</f>
        <v>16.579999999999998</v>
      </c>
      <c r="L14" s="59"/>
      <c r="M14" s="62">
        <f>K14-G14</f>
        <v>3.6399999999999988</v>
      </c>
      <c r="N14" s="63">
        <f>M14/G14</f>
        <v>0.28129829984544041</v>
      </c>
    </row>
    <row r="15" spans="1:14" ht="14.25" x14ac:dyDescent="0.2">
      <c r="A15" s="53" t="s">
        <v>29</v>
      </c>
      <c r="B15" s="53"/>
      <c r="C15" s="54"/>
      <c r="D15" s="55"/>
      <c r="E15" s="64">
        <f>ResidentialRPP!E15</f>
        <v>1.52E-2</v>
      </c>
      <c r="F15" s="65">
        <f>+E5</f>
        <v>364</v>
      </c>
      <c r="G15" s="58">
        <f>E15*F15</f>
        <v>5.5327999999999999</v>
      </c>
      <c r="H15" s="59"/>
      <c r="I15" s="64">
        <f>ResidentialRPP!I15</f>
        <v>1.1599999999999999E-2</v>
      </c>
      <c r="J15" s="66">
        <f>+F15</f>
        <v>364</v>
      </c>
      <c r="K15" s="58">
        <f t="shared" si="0"/>
        <v>4.2223999999999995</v>
      </c>
      <c r="L15" s="59"/>
      <c r="M15" s="62">
        <f t="shared" ref="M15:M36" si="1">K15-G15</f>
        <v>-1.3104000000000005</v>
      </c>
      <c r="N15" s="63">
        <f t="shared" ref="N15:N35" si="2">M15/G15</f>
        <v>-0.23684210526315799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65"/>
      <c r="G16" s="58">
        <f>E16*F16</f>
        <v>0</v>
      </c>
      <c r="H16" s="59"/>
      <c r="I16" s="68">
        <f>ResidentialRPP!I16</f>
        <v>-0.11</v>
      </c>
      <c r="J16" s="60">
        <v>1</v>
      </c>
      <c r="K16" s="61">
        <f t="shared" si="0"/>
        <v>-0.11</v>
      </c>
      <c r="L16" s="59"/>
      <c r="M16" s="62">
        <f t="shared" si="1"/>
        <v>-0.11</v>
      </c>
      <c r="N16" s="63" t="e">
        <f t="shared" si="2"/>
        <v>#DIV/0!</v>
      </c>
    </row>
    <row r="17" spans="1:16" ht="14.25" x14ac:dyDescent="0.2">
      <c r="A17" s="91" t="s">
        <v>57</v>
      </c>
      <c r="B17" s="92"/>
      <c r="C17" s="93"/>
      <c r="D17" s="94"/>
      <c r="E17" s="97">
        <f>+ResidentialRPP!E17</f>
        <v>-0.04</v>
      </c>
      <c r="F17" s="95">
        <v>1</v>
      </c>
      <c r="G17" s="58">
        <f>+E17*F17</f>
        <v>-0.04</v>
      </c>
      <c r="H17" s="86"/>
      <c r="I17" s="97">
        <v>0</v>
      </c>
      <c r="J17" s="95">
        <v>1</v>
      </c>
      <c r="K17" s="58">
        <f t="shared" si="0"/>
        <v>0</v>
      </c>
      <c r="L17" s="96"/>
      <c r="M17" s="62">
        <f>K17-G17</f>
        <v>0.04</v>
      </c>
      <c r="N17" s="63">
        <f>IFERROR(M17/G17, "")</f>
        <v>-1</v>
      </c>
    </row>
    <row r="18" spans="1:16" ht="14.25" x14ac:dyDescent="0.2">
      <c r="A18" s="91" t="s">
        <v>58</v>
      </c>
      <c r="B18" s="92"/>
      <c r="C18" s="93"/>
      <c r="D18" s="94"/>
      <c r="E18" s="97">
        <f>+ResidentialRPP!E18</f>
        <v>1.17</v>
      </c>
      <c r="F18" s="95">
        <v>1</v>
      </c>
      <c r="G18" s="58">
        <f>+E18*F18</f>
        <v>1.17</v>
      </c>
      <c r="H18" s="86"/>
      <c r="I18" s="97">
        <v>0</v>
      </c>
      <c r="J18" s="95">
        <v>1</v>
      </c>
      <c r="K18" s="58">
        <f t="shared" si="0"/>
        <v>0</v>
      </c>
      <c r="L18" s="96"/>
      <c r="M18" s="62">
        <f>K18-G18</f>
        <v>-1.17</v>
      </c>
      <c r="N18" s="63">
        <f>IFERROR(M18/G18, "")</f>
        <v>-1</v>
      </c>
    </row>
    <row r="19" spans="1:16" ht="14.25" x14ac:dyDescent="0.2">
      <c r="A19" s="69" t="s">
        <v>31</v>
      </c>
      <c r="B19" s="70"/>
      <c r="C19" s="71"/>
      <c r="D19" s="72"/>
      <c r="E19" s="73">
        <f>+ResidentialRPP!E19</f>
        <v>-2.0000000000000001E-4</v>
      </c>
      <c r="F19" s="74">
        <f>+F15</f>
        <v>364</v>
      </c>
      <c r="G19" s="75">
        <f>E19*F19</f>
        <v>-7.2800000000000004E-2</v>
      </c>
      <c r="H19" s="76"/>
      <c r="I19" s="73">
        <f>+ResidentialNonRPP!I19</f>
        <v>0</v>
      </c>
      <c r="J19" s="77">
        <f>+F19</f>
        <v>364</v>
      </c>
      <c r="K19" s="75">
        <f t="shared" si="0"/>
        <v>0</v>
      </c>
      <c r="L19" s="76"/>
      <c r="M19" s="78">
        <f t="shared" si="1"/>
        <v>7.2800000000000004E-2</v>
      </c>
      <c r="N19" s="79">
        <f>-M19/G19</f>
        <v>1</v>
      </c>
    </row>
    <row r="20" spans="1:16" ht="15" x14ac:dyDescent="0.2">
      <c r="A20" s="80" t="s">
        <v>32</v>
      </c>
      <c r="B20" s="81"/>
      <c r="C20" s="81"/>
      <c r="D20" s="82"/>
      <c r="E20" s="83"/>
      <c r="F20" s="84"/>
      <c r="G20" s="85">
        <f>SUM(G14:G19)</f>
        <v>19.53</v>
      </c>
      <c r="H20" s="86"/>
      <c r="I20" s="83"/>
      <c r="J20" s="87"/>
      <c r="K20" s="85">
        <f>SUM(K14:K19)</f>
        <v>20.692399999999999</v>
      </c>
      <c r="L20" s="88"/>
      <c r="M20" s="89">
        <f t="shared" si="1"/>
        <v>1.1623999999999981</v>
      </c>
      <c r="N20" s="90">
        <f t="shared" si="2"/>
        <v>5.9518689196108449E-2</v>
      </c>
    </row>
    <row r="21" spans="1:16" ht="14.25" x14ac:dyDescent="0.2">
      <c r="A21" s="208" t="s">
        <v>33</v>
      </c>
      <c r="B21" s="92"/>
      <c r="C21" s="93"/>
      <c r="D21" s="94"/>
      <c r="E21" s="64">
        <v>8.3900000000000002E-2</v>
      </c>
      <c r="F21" s="95">
        <f>+E5*0.0602</f>
        <v>21.912799999999997</v>
      </c>
      <c r="G21" s="58">
        <f>E21*F21</f>
        <v>1.8384839199999998</v>
      </c>
      <c r="H21" s="86"/>
      <c r="I21" s="64">
        <v>8.3900000000000002E-2</v>
      </c>
      <c r="J21" s="66">
        <f>+F21</f>
        <v>21.912799999999997</v>
      </c>
      <c r="K21" s="58">
        <f t="shared" ref="K21:K24" si="3">I21*J21</f>
        <v>1.8384839199999998</v>
      </c>
      <c r="L21" s="96"/>
      <c r="M21" s="62">
        <f t="shared" si="1"/>
        <v>0</v>
      </c>
      <c r="N21" s="63">
        <f t="shared" si="2"/>
        <v>0</v>
      </c>
    </row>
    <row r="22" spans="1:16" ht="14.25" x14ac:dyDescent="0.2">
      <c r="A22" s="208" t="s">
        <v>34</v>
      </c>
      <c r="B22" s="92"/>
      <c r="C22" s="93"/>
      <c r="D22" s="94"/>
      <c r="E22" s="97">
        <v>-7.6E-3</v>
      </c>
      <c r="F22" s="95">
        <f>+F19</f>
        <v>364</v>
      </c>
      <c r="G22" s="58">
        <f>E22*F22</f>
        <v>-2.7664</v>
      </c>
      <c r="H22" s="86"/>
      <c r="I22" s="97">
        <f>-0.0023+0.0066</f>
        <v>4.3E-3</v>
      </c>
      <c r="J22" s="65">
        <f>+F22</f>
        <v>364</v>
      </c>
      <c r="K22" s="58">
        <f t="shared" si="3"/>
        <v>1.5651999999999999</v>
      </c>
      <c r="L22" s="96"/>
      <c r="M22" s="62">
        <f>K22-G22</f>
        <v>4.3315999999999999</v>
      </c>
      <c r="N22" s="63">
        <f>IFERROR(-M22/G22, "")</f>
        <v>1.5657894736842104</v>
      </c>
    </row>
    <row r="23" spans="1:16" ht="14.25" x14ac:dyDescent="0.2">
      <c r="A23" s="98" t="s">
        <v>35</v>
      </c>
      <c r="B23" s="92"/>
      <c r="C23" s="93"/>
      <c r="D23" s="94"/>
      <c r="E23" s="64">
        <v>1E-3</v>
      </c>
      <c r="F23" s="95">
        <f>+F22</f>
        <v>364</v>
      </c>
      <c r="G23" s="58">
        <f>E23*F23</f>
        <v>0.36399999999999999</v>
      </c>
      <c r="H23" s="86"/>
      <c r="I23" s="64">
        <v>1E-3</v>
      </c>
      <c r="J23" s="65">
        <f>+F23</f>
        <v>364</v>
      </c>
      <c r="K23" s="58">
        <f t="shared" si="3"/>
        <v>0.36399999999999999</v>
      </c>
      <c r="L23" s="96"/>
      <c r="M23" s="62">
        <f t="shared" si="1"/>
        <v>0</v>
      </c>
      <c r="N23" s="63">
        <f t="shared" si="2"/>
        <v>0</v>
      </c>
    </row>
    <row r="24" spans="1:16" ht="14.25" x14ac:dyDescent="0.2">
      <c r="A24" s="98" t="s">
        <v>36</v>
      </c>
      <c r="B24" s="92"/>
      <c r="C24" s="93"/>
      <c r="D24" s="94"/>
      <c r="E24" s="64">
        <v>0.79</v>
      </c>
      <c r="F24" s="95">
        <v>1</v>
      </c>
      <c r="G24" s="58">
        <f>E24*F24</f>
        <v>0.79</v>
      </c>
      <c r="H24" s="86"/>
      <c r="I24" s="64">
        <v>0.79</v>
      </c>
      <c r="J24" s="95">
        <v>1</v>
      </c>
      <c r="K24" s="58">
        <f t="shared" si="3"/>
        <v>0.79</v>
      </c>
      <c r="L24" s="96"/>
      <c r="M24" s="62">
        <f>K24-G24</f>
        <v>0</v>
      </c>
      <c r="N24" s="63">
        <f t="shared" si="2"/>
        <v>0</v>
      </c>
    </row>
    <row r="25" spans="1:16" ht="33.75" customHeight="1" x14ac:dyDescent="0.2">
      <c r="A25" s="206" t="s">
        <v>37</v>
      </c>
      <c r="B25" s="100"/>
      <c r="C25" s="100"/>
      <c r="D25" s="101"/>
      <c r="E25" s="102"/>
      <c r="F25" s="102"/>
      <c r="G25" s="103">
        <f>SUM(G20:G24)</f>
        <v>19.756083920000002</v>
      </c>
      <c r="H25" s="86"/>
      <c r="I25" s="102"/>
      <c r="J25" s="104"/>
      <c r="K25" s="103">
        <f>SUM(K20:K24)</f>
        <v>25.250083920000002</v>
      </c>
      <c r="L25" s="88"/>
      <c r="M25" s="105">
        <f t="shared" si="1"/>
        <v>5.4939999999999998</v>
      </c>
      <c r="N25" s="106">
        <f t="shared" si="2"/>
        <v>0.27809155003832353</v>
      </c>
    </row>
    <row r="26" spans="1:16" ht="14.25" x14ac:dyDescent="0.2">
      <c r="A26" s="107" t="s">
        <v>38</v>
      </c>
      <c r="B26" s="107"/>
      <c r="C26" s="108"/>
      <c r="D26" s="109"/>
      <c r="E26" s="64">
        <v>7.1000000000000004E-3</v>
      </c>
      <c r="F26" s="110">
        <f>+F23+F21</f>
        <v>385.9128</v>
      </c>
      <c r="G26" s="58">
        <f>E26*F26</f>
        <v>2.7399808800000001</v>
      </c>
      <c r="H26" s="86"/>
      <c r="I26" s="64">
        <f>+ResidentialNonRPP!I26</f>
        <v>5.1999999999999998E-3</v>
      </c>
      <c r="J26" s="66">
        <f>+F26</f>
        <v>385.9128</v>
      </c>
      <c r="K26" s="58">
        <f>I26*J26</f>
        <v>2.0067465599999998</v>
      </c>
      <c r="L26" s="96"/>
      <c r="M26" s="62">
        <f t="shared" si="1"/>
        <v>-0.73323432000000022</v>
      </c>
      <c r="N26" s="63">
        <f t="shared" si="2"/>
        <v>-0.26760563380281699</v>
      </c>
    </row>
    <row r="27" spans="1:16" ht="33.75" customHeight="1" x14ac:dyDescent="0.2">
      <c r="A27" s="253" t="s">
        <v>39</v>
      </c>
      <c r="B27" s="253"/>
      <c r="C27" s="253"/>
      <c r="D27" s="109"/>
      <c r="E27" s="64">
        <v>3.3999999999999998E-3</v>
      </c>
      <c r="F27" s="110">
        <f>+F26</f>
        <v>385.9128</v>
      </c>
      <c r="G27" s="58">
        <f>E27*F27</f>
        <v>1.31210352</v>
      </c>
      <c r="H27" s="86"/>
      <c r="I27" s="64">
        <f>+ResidentialNonRPP!I27</f>
        <v>3.3999999999999998E-3</v>
      </c>
      <c r="J27" s="74">
        <f>+F27</f>
        <v>385.9128</v>
      </c>
      <c r="K27" s="58">
        <f>I27*J27</f>
        <v>1.31210352</v>
      </c>
      <c r="L27" s="96"/>
      <c r="M27" s="62">
        <f t="shared" si="1"/>
        <v>0</v>
      </c>
      <c r="N27" s="63">
        <f t="shared" si="2"/>
        <v>0</v>
      </c>
    </row>
    <row r="28" spans="1:16" ht="15" x14ac:dyDescent="0.2">
      <c r="A28" s="206" t="s">
        <v>40</v>
      </c>
      <c r="B28" s="112"/>
      <c r="C28" s="112"/>
      <c r="D28" s="113"/>
      <c r="E28" s="102"/>
      <c r="F28" s="102"/>
      <c r="G28" s="103">
        <f>SUM(G25:G27)</f>
        <v>23.808168320000004</v>
      </c>
      <c r="H28" s="114"/>
      <c r="I28" s="115"/>
      <c r="J28" s="116"/>
      <c r="K28" s="103">
        <f>SUM(K25:K27)</f>
        <v>28.568934000000002</v>
      </c>
      <c r="L28" s="117"/>
      <c r="M28" s="105">
        <f t="shared" si="1"/>
        <v>4.7607656799999987</v>
      </c>
      <c r="N28" s="106">
        <f t="shared" si="2"/>
        <v>0.19996354259645951</v>
      </c>
      <c r="P28" s="234">
        <f>+M28/K42</f>
        <v>4.8774378662512982E-2</v>
      </c>
    </row>
    <row r="29" spans="1:16" ht="14.25" x14ac:dyDescent="0.2">
      <c r="A29" s="92" t="s">
        <v>41</v>
      </c>
      <c r="B29" s="92"/>
      <c r="C29" s="93"/>
      <c r="D29" s="94"/>
      <c r="E29" s="119">
        <f>+ResidentialRPP!E29</f>
        <v>3.5999999999999999E-3</v>
      </c>
      <c r="F29" s="110">
        <f>+F27</f>
        <v>385.9128</v>
      </c>
      <c r="G29" s="120">
        <f t="shared" ref="G29:G36" si="4">E29*F29</f>
        <v>1.38928608</v>
      </c>
      <c r="H29" s="96"/>
      <c r="I29" s="119">
        <f>+E29</f>
        <v>3.5999999999999999E-3</v>
      </c>
      <c r="J29" s="66">
        <f>+F29</f>
        <v>385.9128</v>
      </c>
      <c r="K29" s="120">
        <f t="shared" ref="K29:K35" si="5">I29*J29</f>
        <v>1.38928608</v>
      </c>
      <c r="L29" s="96"/>
      <c r="M29" s="62">
        <f t="shared" si="1"/>
        <v>0</v>
      </c>
      <c r="N29" s="121">
        <f>IFERROR(M29/G29,"")</f>
        <v>0</v>
      </c>
    </row>
    <row r="30" spans="1:16" ht="14.25" x14ac:dyDescent="0.2">
      <c r="A30" s="92" t="s">
        <v>42</v>
      </c>
      <c r="B30" s="92"/>
      <c r="C30" s="93"/>
      <c r="D30" s="94"/>
      <c r="E30" s="119">
        <f>+ResidentialRPP!E30</f>
        <v>1.2999999999999999E-3</v>
      </c>
      <c r="F30" s="110">
        <f>+F27</f>
        <v>385.9128</v>
      </c>
      <c r="G30" s="120">
        <f t="shared" si="4"/>
        <v>0.50168663999999996</v>
      </c>
      <c r="H30" s="96"/>
      <c r="I30" s="119">
        <f>+E30</f>
        <v>1.2999999999999999E-3</v>
      </c>
      <c r="J30" s="65">
        <f>+F30</f>
        <v>385.9128</v>
      </c>
      <c r="K30" s="120">
        <f t="shared" si="5"/>
        <v>0.50168663999999996</v>
      </c>
      <c r="L30" s="96"/>
      <c r="M30" s="62">
        <f t="shared" si="1"/>
        <v>0</v>
      </c>
      <c r="N30" s="121">
        <f t="shared" si="2"/>
        <v>0</v>
      </c>
    </row>
    <row r="31" spans="1:16" ht="14.25" x14ac:dyDescent="0.2">
      <c r="A31" s="92" t="s">
        <v>43</v>
      </c>
      <c r="B31" s="92"/>
      <c r="C31" s="93"/>
      <c r="D31" s="94"/>
      <c r="E31" s="119">
        <f>+ResidentialRPP!E31</f>
        <v>0.25</v>
      </c>
      <c r="F31" s="110">
        <v>1</v>
      </c>
      <c r="G31" s="120">
        <f t="shared" si="4"/>
        <v>0.25</v>
      </c>
      <c r="H31" s="96"/>
      <c r="I31" s="119">
        <f>+E31</f>
        <v>0.25</v>
      </c>
      <c r="J31" s="110">
        <v>1</v>
      </c>
      <c r="K31" s="120">
        <f t="shared" si="5"/>
        <v>0.25</v>
      </c>
      <c r="L31" s="96"/>
      <c r="M31" s="62">
        <f t="shared" si="1"/>
        <v>0</v>
      </c>
      <c r="N31" s="121">
        <f t="shared" si="2"/>
        <v>0</v>
      </c>
    </row>
    <row r="32" spans="1:16" ht="14.25" x14ac:dyDescent="0.2">
      <c r="A32" s="92"/>
      <c r="B32" s="92"/>
      <c r="C32" s="93"/>
      <c r="D32" s="94"/>
      <c r="E32" s="119"/>
      <c r="F32" s="110"/>
      <c r="G32" s="120"/>
      <c r="H32" s="96"/>
      <c r="I32" s="119"/>
      <c r="J32" s="65"/>
      <c r="K32" s="120"/>
      <c r="L32" s="96"/>
      <c r="M32" s="62"/>
      <c r="N32" s="121"/>
    </row>
    <row r="33" spans="1:14" ht="14.25" x14ac:dyDescent="0.2">
      <c r="A33" s="254" t="s">
        <v>86</v>
      </c>
      <c r="B33" s="255"/>
      <c r="C33" s="255"/>
      <c r="D33" s="94"/>
      <c r="E33" s="119">
        <v>1.1000000000000001E-3</v>
      </c>
      <c r="F33" s="110">
        <f>+F30</f>
        <v>385.9128</v>
      </c>
      <c r="G33" s="120">
        <f>+F33*E33</f>
        <v>0.42450408000000001</v>
      </c>
      <c r="H33" s="96"/>
      <c r="I33" s="119">
        <v>1.1000000000000001E-3</v>
      </c>
      <c r="J33" s="110">
        <f>+J30</f>
        <v>385.9128</v>
      </c>
      <c r="K33" s="120">
        <f>+J33*I33</f>
        <v>0.42450408000000001</v>
      </c>
      <c r="L33" s="96"/>
      <c r="M33" s="62">
        <f>K33-G33</f>
        <v>0</v>
      </c>
      <c r="N33" s="121">
        <f>M33/G33</f>
        <v>0</v>
      </c>
    </row>
    <row r="34" spans="1:14" ht="14.25" x14ac:dyDescent="0.2">
      <c r="A34" s="205" t="s">
        <v>65</v>
      </c>
      <c r="B34" s="92"/>
      <c r="C34" s="93"/>
      <c r="D34" s="94"/>
      <c r="E34" s="122">
        <v>9.5399999999999999E-2</v>
      </c>
      <c r="F34" s="110">
        <f>+F23</f>
        <v>364</v>
      </c>
      <c r="G34" s="120">
        <f t="shared" si="4"/>
        <v>34.7256</v>
      </c>
      <c r="H34" s="96"/>
      <c r="I34" s="119">
        <f>E34</f>
        <v>9.5399999999999999E-2</v>
      </c>
      <c r="J34" s="110">
        <f>F34</f>
        <v>364</v>
      </c>
      <c r="K34" s="120">
        <f>I34*J34</f>
        <v>34.7256</v>
      </c>
      <c r="L34" s="96"/>
      <c r="M34" s="62">
        <f t="shared" si="1"/>
        <v>0</v>
      </c>
      <c r="N34" s="121">
        <f t="shared" si="2"/>
        <v>0</v>
      </c>
    </row>
    <row r="35" spans="1:14" ht="14.25" x14ac:dyDescent="0.2">
      <c r="A35" s="98" t="s">
        <v>56</v>
      </c>
      <c r="B35" s="92"/>
      <c r="C35" s="93"/>
      <c r="D35" s="94"/>
      <c r="E35" s="122">
        <v>5.6370000000000003E-2</v>
      </c>
      <c r="F35" s="110">
        <f>+F34</f>
        <v>364</v>
      </c>
      <c r="G35" s="120">
        <f t="shared" si="4"/>
        <v>20.51868</v>
      </c>
      <c r="H35" s="96"/>
      <c r="I35" s="119">
        <f>E35</f>
        <v>5.6370000000000003E-2</v>
      </c>
      <c r="J35" s="110">
        <f>F35</f>
        <v>364</v>
      </c>
      <c r="K35" s="120">
        <f t="shared" si="5"/>
        <v>20.51868</v>
      </c>
      <c r="L35" s="96"/>
      <c r="M35" s="62">
        <f t="shared" si="1"/>
        <v>0</v>
      </c>
      <c r="N35" s="121">
        <f t="shared" si="2"/>
        <v>0</v>
      </c>
    </row>
    <row r="36" spans="1:14" ht="15" thickBot="1" x14ac:dyDescent="0.25">
      <c r="A36" s="45"/>
      <c r="B36" s="92"/>
      <c r="C36" s="93"/>
      <c r="D36" s="94"/>
      <c r="E36" s="122"/>
      <c r="F36" s="110"/>
      <c r="G36" s="120">
        <f t="shared" si="4"/>
        <v>0</v>
      </c>
      <c r="H36" s="96"/>
      <c r="I36" s="119"/>
      <c r="J36" s="110"/>
      <c r="K36" s="120">
        <f>I36*J36</f>
        <v>0</v>
      </c>
      <c r="L36" s="96"/>
      <c r="M36" s="62">
        <f t="shared" si="1"/>
        <v>0</v>
      </c>
      <c r="N36" s="121" t="str">
        <f>IFERROR(M36/G36, "")</f>
        <v/>
      </c>
    </row>
    <row r="37" spans="1:14" ht="15" thickBot="1" x14ac:dyDescent="0.25">
      <c r="A37" s="123"/>
      <c r="B37" s="124"/>
      <c r="C37" s="124"/>
      <c r="D37" s="125"/>
      <c r="E37" s="126"/>
      <c r="F37" s="127"/>
      <c r="G37" s="128"/>
      <c r="H37" s="129"/>
      <c r="I37" s="126"/>
      <c r="J37" s="130"/>
      <c r="K37" s="128"/>
      <c r="L37" s="129"/>
      <c r="M37" s="131"/>
      <c r="N37" s="132"/>
    </row>
    <row r="38" spans="1:14" ht="15" x14ac:dyDescent="0.2">
      <c r="A38" s="133" t="s">
        <v>48</v>
      </c>
      <c r="B38" s="92"/>
      <c r="C38" s="92"/>
      <c r="D38" s="134"/>
      <c r="E38" s="135"/>
      <c r="F38" s="136"/>
      <c r="G38" s="137">
        <f>SUM(G28:G37)</f>
        <v>81.61792512000001</v>
      </c>
      <c r="H38" s="138"/>
      <c r="I38" s="139"/>
      <c r="J38" s="139"/>
      <c r="K38" s="140">
        <f>SUM(K28:K37)</f>
        <v>86.378690800000001</v>
      </c>
      <c r="L38" s="141"/>
      <c r="M38" s="142">
        <f>K38-G38</f>
        <v>4.7607656799999916</v>
      </c>
      <c r="N38" s="143">
        <f>M38/G38</f>
        <v>5.8329903302496391E-2</v>
      </c>
    </row>
    <row r="39" spans="1:14" ht="14.25" x14ac:dyDescent="0.2">
      <c r="A39" s="144" t="s">
        <v>49</v>
      </c>
      <c r="B39" s="92"/>
      <c r="C39" s="92"/>
      <c r="D39" s="134"/>
      <c r="E39" s="135">
        <v>0.13</v>
      </c>
      <c r="F39" s="145"/>
      <c r="G39" s="146">
        <f>G38*E39</f>
        <v>10.610330265600002</v>
      </c>
      <c r="H39" s="147"/>
      <c r="I39" s="135">
        <v>0.13</v>
      </c>
      <c r="J39" s="147"/>
      <c r="K39" s="148">
        <f>K38*I39</f>
        <v>11.229229804000001</v>
      </c>
      <c r="L39" s="149"/>
      <c r="M39" s="150">
        <f>K39-G39</f>
        <v>0.61889953839999912</v>
      </c>
      <c r="N39" s="151">
        <f>M39/G39</f>
        <v>5.8329903302496405E-2</v>
      </c>
    </row>
    <row r="40" spans="1:14" ht="14.25" x14ac:dyDescent="0.2">
      <c r="A40" s="207" t="s">
        <v>50</v>
      </c>
      <c r="B40" s="92"/>
      <c r="C40" s="92"/>
      <c r="D40" s="134"/>
      <c r="E40" s="147"/>
      <c r="F40" s="145"/>
      <c r="G40" s="146">
        <f>SUM(G38:G39)</f>
        <v>92.228255385600008</v>
      </c>
      <c r="H40" s="147"/>
      <c r="I40" s="147"/>
      <c r="J40" s="147"/>
      <c r="K40" s="148">
        <f>SUM(K38:K39)</f>
        <v>97.607920604</v>
      </c>
      <c r="L40" s="149"/>
      <c r="M40" s="150">
        <f>K40-G40</f>
        <v>5.3796652183999925</v>
      </c>
      <c r="N40" s="151">
        <f>M40/G40</f>
        <v>5.8329903302496412E-2</v>
      </c>
    </row>
    <row r="41" spans="1:14" ht="14.25" customHeight="1" x14ac:dyDescent="0.2">
      <c r="A41" s="252"/>
      <c r="B41" s="252"/>
      <c r="C41" s="252"/>
      <c r="D41" s="134"/>
      <c r="E41" s="147"/>
      <c r="F41" s="145"/>
      <c r="G41" s="153"/>
      <c r="H41" s="147"/>
      <c r="I41" s="147"/>
      <c r="J41" s="147"/>
      <c r="K41" s="154"/>
      <c r="L41" s="149"/>
      <c r="M41" s="155"/>
      <c r="N41" s="156"/>
    </row>
    <row r="42" spans="1:14" ht="15.75" customHeight="1" thickBot="1" x14ac:dyDescent="0.25">
      <c r="A42" s="245" t="s">
        <v>51</v>
      </c>
      <c r="B42" s="245"/>
      <c r="C42" s="245"/>
      <c r="D42" s="157"/>
      <c r="E42" s="158"/>
      <c r="F42" s="159"/>
      <c r="G42" s="160">
        <f>SUM(G40:G41)</f>
        <v>92.228255385600008</v>
      </c>
      <c r="H42" s="161"/>
      <c r="I42" s="161"/>
      <c r="J42" s="161"/>
      <c r="K42" s="162">
        <f>SUM(K40:K41)</f>
        <v>97.607920604</v>
      </c>
      <c r="L42" s="163"/>
      <c r="M42" s="89">
        <f>K42-G42</f>
        <v>5.3796652183999925</v>
      </c>
      <c r="N42" s="90">
        <f>M42/G42</f>
        <v>5.8329903302496412E-2</v>
      </c>
    </row>
    <row r="43" spans="1:14" ht="13.5" thickBot="1" x14ac:dyDescent="0.25">
      <c r="A43" s="123"/>
      <c r="B43" s="124"/>
      <c r="C43" s="124"/>
      <c r="D43" s="125"/>
      <c r="E43" s="164"/>
      <c r="F43" s="165"/>
      <c r="G43" s="166"/>
      <c r="H43" s="167"/>
      <c r="I43" s="164"/>
      <c r="J43" s="167"/>
      <c r="K43" s="168"/>
      <c r="L43" s="165"/>
      <c r="M43" s="169"/>
      <c r="N43" s="170"/>
    </row>
  </sheetData>
  <mergeCells count="11">
    <mergeCell ref="A41:C41"/>
    <mergeCell ref="A42:C42"/>
    <mergeCell ref="E9:J9"/>
    <mergeCell ref="E11:G11"/>
    <mergeCell ref="I11:K11"/>
    <mergeCell ref="A33:C33"/>
    <mergeCell ref="M11:N11"/>
    <mergeCell ref="C12:C13"/>
    <mergeCell ref="M12:M13"/>
    <mergeCell ref="N12:N13"/>
    <mergeCell ref="A27:C27"/>
  </mergeCells>
  <dataValidations count="4">
    <dataValidation showDropDown="1" showInputMessage="1" showErrorMessage="1" prompt="Select Charge Unit - monthly, per kWh, per kW" sqref="C26 C22:C24 C14:C19 C29:C30 C31:C32 C34:C36"/>
    <dataValidation type="list" allowBlank="1" showInputMessage="1" showErrorMessage="1" prompt="Select Charge Unit - monthly, per kWh, per kW" sqref="C37 C43">
      <formula1>"Monthly, per kWh, per kW"</formula1>
    </dataValidation>
    <dataValidation type="list" allowBlank="1" showInputMessage="1" showErrorMessage="1" sqref="D26:D27 D43 D22:D24 D14:D19 D29:D30 D31:D32 D34:D37">
      <formula1>#REF!</formula1>
    </dataValidation>
    <dataValidation type="list" allowBlank="1" showInputMessage="1" showErrorMessage="1" sqref="D33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  <pageSetUpPr fitToPage="1"/>
  </sheetPr>
  <dimension ref="A1:N46"/>
  <sheetViews>
    <sheetView topLeftCell="A13" workbookViewId="0">
      <selection activeCell="N40" sqref="N40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5.5703125" customWidth="1"/>
    <col min="5" max="5" width="11" bestFit="1" customWidth="1"/>
    <col min="6" max="6" width="8" bestFit="1" customWidth="1"/>
    <col min="7" max="7" width="9.85546875" bestFit="1" customWidth="1"/>
    <col min="8" max="8" width="4.7109375" customWidth="1"/>
    <col min="9" max="9" width="11" bestFit="1" customWidth="1"/>
    <col min="10" max="10" width="8" bestFit="1" customWidth="1"/>
    <col min="11" max="11" width="11.5703125" bestFit="1" customWidth="1"/>
    <col min="12" max="12" width="4.7109375" customWidth="1"/>
    <col min="13" max="13" width="9.5703125" bestFit="1" customWidth="1"/>
    <col min="14" max="14" width="12.140625" bestFit="1" customWidth="1"/>
  </cols>
  <sheetData>
    <row r="1" spans="1:14" ht="15.75" x14ac:dyDescent="0.2">
      <c r="A1" s="24"/>
      <c r="B1" s="25"/>
      <c r="C1" s="240" t="s">
        <v>60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33.869999999999997</v>
      </c>
      <c r="F14" s="147">
        <v>1</v>
      </c>
      <c r="G14" s="58">
        <f>E14*F14</f>
        <v>33.869999999999997</v>
      </c>
      <c r="H14" s="59"/>
      <c r="I14" s="172">
        <f>+'GS &lt;50RPP'!I14</f>
        <v>34.53</v>
      </c>
      <c r="J14" s="60">
        <v>1</v>
      </c>
      <c r="K14" s="61">
        <f>I14*J14</f>
        <v>34.53</v>
      </c>
      <c r="L14" s="59"/>
      <c r="M14" s="62">
        <f>K14-G14</f>
        <v>0.66000000000000369</v>
      </c>
      <c r="N14" s="63">
        <f>M14/G14</f>
        <v>1.9486271036315433E-2</v>
      </c>
    </row>
    <row r="15" spans="1:14" ht="14.25" x14ac:dyDescent="0.2">
      <c r="A15" s="53" t="s">
        <v>29</v>
      </c>
      <c r="B15" s="53"/>
      <c r="C15" s="54"/>
      <c r="D15" s="55"/>
      <c r="E15" s="64">
        <v>1.1599999999999999E-2</v>
      </c>
      <c r="F15" s="65">
        <v>2000</v>
      </c>
      <c r="G15" s="58">
        <f>E15*F15</f>
        <v>23.2</v>
      </c>
      <c r="H15" s="59"/>
      <c r="I15" s="64">
        <f>+'GS &lt;50RPP'!I15</f>
        <v>1.18E-2</v>
      </c>
      <c r="J15" s="66">
        <f>F15</f>
        <v>2000</v>
      </c>
      <c r="K15" s="58">
        <f>I15*J15</f>
        <v>23.599999999999998</v>
      </c>
      <c r="L15" s="59"/>
      <c r="M15" s="62">
        <f t="shared" ref="M15:M35" si="0">K15-G15</f>
        <v>0.39999999999999858</v>
      </c>
      <c r="N15" s="63">
        <f t="shared" ref="N15:N34" si="1">M15/G15</f>
        <v>1.7241379310344768E-2</v>
      </c>
    </row>
    <row r="16" spans="1:14" ht="14.25" x14ac:dyDescent="0.2">
      <c r="A16" s="53" t="s">
        <v>57</v>
      </c>
      <c r="B16" s="53"/>
      <c r="C16" s="54"/>
      <c r="D16" s="55"/>
      <c r="E16" s="68">
        <v>14.91</v>
      </c>
      <c r="F16" s="65">
        <v>1</v>
      </c>
      <c r="G16" s="58">
        <f>+F16*E16</f>
        <v>14.91</v>
      </c>
      <c r="H16" s="59"/>
      <c r="I16" s="68">
        <v>0</v>
      </c>
      <c r="J16" s="66">
        <v>1</v>
      </c>
      <c r="K16" s="58">
        <f>I16*J16</f>
        <v>0</v>
      </c>
      <c r="L16" s="59"/>
      <c r="M16" s="62">
        <f t="shared" ref="M16:M17" si="2">K16-G16</f>
        <v>-14.91</v>
      </c>
      <c r="N16" s="63">
        <f>IFERROR(M16/G16, "")</f>
        <v>-1</v>
      </c>
    </row>
    <row r="17" spans="1:14" ht="14.25" x14ac:dyDescent="0.2">
      <c r="A17" s="67" t="s">
        <v>58</v>
      </c>
      <c r="B17" s="67"/>
      <c r="C17" s="54"/>
      <c r="D17" s="55"/>
      <c r="E17" s="68">
        <v>3.78</v>
      </c>
      <c r="F17" s="147">
        <v>1</v>
      </c>
      <c r="G17" s="58">
        <f>E17*F17</f>
        <v>3.78</v>
      </c>
      <c r="H17" s="59"/>
      <c r="I17" s="68">
        <v>0</v>
      </c>
      <c r="J17" s="60">
        <v>1</v>
      </c>
      <c r="K17" s="61">
        <f>I17*J17</f>
        <v>0</v>
      </c>
      <c r="L17" s="59"/>
      <c r="M17" s="62">
        <f t="shared" si="2"/>
        <v>-3.78</v>
      </c>
      <c r="N17" s="63">
        <f>IFERROR(M17/G17, "")</f>
        <v>-1</v>
      </c>
    </row>
    <row r="18" spans="1:14" ht="14.25" x14ac:dyDescent="0.2">
      <c r="A18" s="69" t="s">
        <v>31</v>
      </c>
      <c r="B18" s="70"/>
      <c r="C18" s="71"/>
      <c r="D18" s="72"/>
      <c r="E18" s="173">
        <v>-1E-4</v>
      </c>
      <c r="F18" s="74">
        <v>2000</v>
      </c>
      <c r="G18" s="75">
        <f>E18*F18</f>
        <v>-0.2</v>
      </c>
      <c r="H18" s="76"/>
      <c r="I18" s="173">
        <f>+'GS &lt;50RPP'!I18</f>
        <v>-1E-4</v>
      </c>
      <c r="J18" s="77">
        <f>F18</f>
        <v>2000</v>
      </c>
      <c r="K18" s="75">
        <f>I18*J18</f>
        <v>-0.2</v>
      </c>
      <c r="L18" s="76"/>
      <c r="M18" s="78">
        <f t="shared" si="0"/>
        <v>0</v>
      </c>
      <c r="N18" s="79">
        <f t="shared" si="1"/>
        <v>0</v>
      </c>
    </row>
    <row r="19" spans="1:14" ht="15" x14ac:dyDescent="0.2">
      <c r="A19" s="80" t="s">
        <v>32</v>
      </c>
      <c r="B19" s="81"/>
      <c r="C19" s="81"/>
      <c r="D19" s="82"/>
      <c r="E19" s="83"/>
      <c r="F19" s="84"/>
      <c r="G19" s="174">
        <f>SUM(G14:G18)</f>
        <v>75.559999999999988</v>
      </c>
      <c r="H19" s="86"/>
      <c r="I19" s="83"/>
      <c r="J19" s="87"/>
      <c r="K19" s="174">
        <f>SUM(K14:K18)</f>
        <v>57.929999999999993</v>
      </c>
      <c r="L19" s="88"/>
      <c r="M19" s="89">
        <f t="shared" si="0"/>
        <v>-17.629999999999995</v>
      </c>
      <c r="N19" s="90">
        <f t="shared" si="1"/>
        <v>-0.23332451032292215</v>
      </c>
    </row>
    <row r="20" spans="1:14" ht="14.25" x14ac:dyDescent="0.2">
      <c r="A20" s="91" t="s">
        <v>33</v>
      </c>
      <c r="B20" s="92"/>
      <c r="C20" s="93"/>
      <c r="D20" s="94"/>
      <c r="E20" s="64">
        <f>E33*0.64+E34*0.18+E35*0.18</f>
        <v>7.1202600000000005E-2</v>
      </c>
      <c r="F20" s="175">
        <f>E5*(E3-1)</f>
        <v>120.40000000000006</v>
      </c>
      <c r="G20" s="58">
        <f>E20*F20</f>
        <v>8.5727930400000059</v>
      </c>
      <c r="H20" s="86"/>
      <c r="I20" s="64">
        <f>I33*0.64+I34*0.18+I35*0.18</f>
        <v>7.1202600000000005E-2</v>
      </c>
      <c r="J20" s="175">
        <f>F20</f>
        <v>120.40000000000006</v>
      </c>
      <c r="K20" s="58">
        <f t="shared" ref="K20:K23" si="3">I20*J20</f>
        <v>8.5727930400000059</v>
      </c>
      <c r="L20" s="96"/>
      <c r="M20" s="62">
        <f t="shared" si="0"/>
        <v>0</v>
      </c>
      <c r="N20" s="63">
        <f t="shared" si="1"/>
        <v>0</v>
      </c>
    </row>
    <row r="21" spans="1:14" ht="25.5" x14ac:dyDescent="0.2">
      <c r="A21" s="91" t="s">
        <v>34</v>
      </c>
      <c r="B21" s="92"/>
      <c r="C21" s="93"/>
      <c r="D21" s="94"/>
      <c r="E21" s="64">
        <v>-7.7999999999999996E-3</v>
      </c>
      <c r="F21" s="175">
        <v>2000</v>
      </c>
      <c r="G21" s="58">
        <f>E21*F21</f>
        <v>-15.6</v>
      </c>
      <c r="H21" s="86"/>
      <c r="I21" s="64">
        <f>-0.0023+0.0066+0</f>
        <v>4.3E-3</v>
      </c>
      <c r="J21" s="175">
        <f>F21</f>
        <v>2000</v>
      </c>
      <c r="K21" s="58">
        <f t="shared" si="3"/>
        <v>8.6</v>
      </c>
      <c r="L21" s="96"/>
      <c r="M21" s="62">
        <f t="shared" si="0"/>
        <v>24.2</v>
      </c>
      <c r="N21" s="63">
        <f>IFERROR(-M21/G21, "")</f>
        <v>1.5512820512820513</v>
      </c>
    </row>
    <row r="22" spans="1:14" ht="14.25" x14ac:dyDescent="0.2">
      <c r="A22" s="98" t="s">
        <v>35</v>
      </c>
      <c r="B22" s="92"/>
      <c r="C22" s="93"/>
      <c r="D22" s="94"/>
      <c r="E22" s="64">
        <v>1E-3</v>
      </c>
      <c r="F22" s="175">
        <v>2000</v>
      </c>
      <c r="G22" s="58">
        <f>E22*F22</f>
        <v>2</v>
      </c>
      <c r="H22" s="86"/>
      <c r="I22" s="64">
        <v>1E-3</v>
      </c>
      <c r="J22" s="175">
        <f>F22</f>
        <v>2000</v>
      </c>
      <c r="K22" s="58">
        <f t="shared" si="3"/>
        <v>2</v>
      </c>
      <c r="L22" s="96"/>
      <c r="M22" s="62">
        <f t="shared" si="0"/>
        <v>0</v>
      </c>
      <c r="N22" s="63">
        <f t="shared" si="1"/>
        <v>0</v>
      </c>
    </row>
    <row r="23" spans="1:14" ht="14.25" x14ac:dyDescent="0.2">
      <c r="A23" s="98" t="s">
        <v>36</v>
      </c>
      <c r="B23" s="92"/>
      <c r="C23" s="93"/>
      <c r="D23" s="94"/>
      <c r="E23" s="64">
        <v>0.79</v>
      </c>
      <c r="F23" s="175">
        <v>1</v>
      </c>
      <c r="G23" s="58">
        <f>E23*F23</f>
        <v>0.79</v>
      </c>
      <c r="H23" s="86"/>
      <c r="I23" s="64">
        <v>0.79</v>
      </c>
      <c r="J23" s="175">
        <f>F23</f>
        <v>1</v>
      </c>
      <c r="K23" s="58">
        <f t="shared" si="3"/>
        <v>0.79</v>
      </c>
      <c r="L23" s="96"/>
      <c r="M23" s="62">
        <f t="shared" si="0"/>
        <v>0</v>
      </c>
      <c r="N23" s="63">
        <f t="shared" si="1"/>
        <v>0</v>
      </c>
    </row>
    <row r="24" spans="1:14" ht="25.5" x14ac:dyDescent="0.2">
      <c r="A24" s="99" t="s">
        <v>37</v>
      </c>
      <c r="B24" s="100"/>
      <c r="C24" s="100"/>
      <c r="D24" s="101"/>
      <c r="E24" s="102"/>
      <c r="F24" s="102"/>
      <c r="G24" s="103">
        <f>SUM(G19:G23)</f>
        <v>71.322793040000008</v>
      </c>
      <c r="H24" s="86"/>
      <c r="I24" s="102"/>
      <c r="J24" s="104"/>
      <c r="K24" s="103">
        <f>SUM(K19:K23)</f>
        <v>77.892793040000001</v>
      </c>
      <c r="L24" s="88"/>
      <c r="M24" s="105">
        <f t="shared" si="0"/>
        <v>6.5699999999999932</v>
      </c>
      <c r="N24" s="106">
        <f t="shared" si="1"/>
        <v>9.2116414963100732E-2</v>
      </c>
    </row>
    <row r="25" spans="1:14" ht="33.75" customHeight="1" x14ac:dyDescent="0.2">
      <c r="A25" s="107" t="s">
        <v>38</v>
      </c>
      <c r="B25" s="107"/>
      <c r="C25" s="108"/>
      <c r="D25" s="109"/>
      <c r="E25" s="64">
        <v>6.1999999999999998E-3</v>
      </c>
      <c r="F25" s="176">
        <v>2120.4</v>
      </c>
      <c r="G25" s="58">
        <f>E25*F25</f>
        <v>13.14648</v>
      </c>
      <c r="H25" s="86"/>
      <c r="I25" s="64">
        <f>+'GS &lt;50RPP'!I25</f>
        <v>4.4999999999999997E-3</v>
      </c>
      <c r="J25" s="177">
        <f>F25</f>
        <v>2120.4</v>
      </c>
      <c r="K25" s="58">
        <f>I25*J25</f>
        <v>9.5418000000000003</v>
      </c>
      <c r="L25" s="96"/>
      <c r="M25" s="62">
        <f t="shared" si="0"/>
        <v>-3.6046800000000001</v>
      </c>
      <c r="N25" s="63">
        <f t="shared" si="1"/>
        <v>-0.27419354838709675</v>
      </c>
    </row>
    <row r="26" spans="1:14" ht="25.5" customHeight="1" x14ac:dyDescent="0.2">
      <c r="A26" s="253" t="s">
        <v>39</v>
      </c>
      <c r="B26" s="253"/>
      <c r="C26" s="253"/>
      <c r="D26" s="109"/>
      <c r="E26" s="64">
        <v>3.2000000000000002E-3</v>
      </c>
      <c r="F26" s="176">
        <v>2120.4</v>
      </c>
      <c r="G26" s="58">
        <f>E26*F26</f>
        <v>6.7852800000000002</v>
      </c>
      <c r="H26" s="86"/>
      <c r="I26" s="64">
        <f>+'GS &lt;50RPP'!I26</f>
        <v>3.2000000000000002E-3</v>
      </c>
      <c r="J26" s="177">
        <f>F26</f>
        <v>2120.4</v>
      </c>
      <c r="K26" s="58">
        <f>I26*J26</f>
        <v>6.7852800000000002</v>
      </c>
      <c r="L26" s="96"/>
      <c r="M26" s="62">
        <f t="shared" si="0"/>
        <v>0</v>
      </c>
      <c r="N26" s="63">
        <f t="shared" si="1"/>
        <v>0</v>
      </c>
    </row>
    <row r="27" spans="1:14" ht="21.75" customHeight="1" x14ac:dyDescent="0.2">
      <c r="A27" s="99" t="s">
        <v>40</v>
      </c>
      <c r="B27" s="112"/>
      <c r="C27" s="112"/>
      <c r="D27" s="113"/>
      <c r="E27" s="102"/>
      <c r="F27" s="102"/>
      <c r="G27" s="103">
        <f>SUM(G24:G26)</f>
        <v>91.254553040000005</v>
      </c>
      <c r="H27" s="114"/>
      <c r="I27" s="115"/>
      <c r="J27" s="116"/>
      <c r="K27" s="103">
        <f>SUM(K24:K26)</f>
        <v>94.219873039999996</v>
      </c>
      <c r="L27" s="117"/>
      <c r="M27" s="105">
        <f t="shared" si="0"/>
        <v>2.9653199999999913</v>
      </c>
      <c r="N27" s="106">
        <f t="shared" si="1"/>
        <v>3.2495036151239373E-2</v>
      </c>
    </row>
    <row r="28" spans="1:14" ht="25.5" x14ac:dyDescent="0.2">
      <c r="A28" s="118" t="s">
        <v>41</v>
      </c>
      <c r="B28" s="92"/>
      <c r="C28" s="93"/>
      <c r="D28" s="94"/>
      <c r="E28" s="119">
        <v>3.5999999999999999E-3</v>
      </c>
      <c r="F28" s="176">
        <f>E5*E3</f>
        <v>2120.4</v>
      </c>
      <c r="G28" s="120">
        <f t="shared" ref="G28:G35" si="4">E28*F28</f>
        <v>7.6334400000000002</v>
      </c>
      <c r="H28" s="96"/>
      <c r="I28" s="119">
        <v>3.5999999999999999E-3</v>
      </c>
      <c r="J28" s="177">
        <f>E5*E3</f>
        <v>2120.4</v>
      </c>
      <c r="K28" s="120">
        <f t="shared" ref="K28:K34" si="5">I28*J28</f>
        <v>7.6334400000000002</v>
      </c>
      <c r="L28" s="96"/>
      <c r="M28" s="62">
        <f t="shared" si="0"/>
        <v>0</v>
      </c>
      <c r="N28" s="121">
        <f t="shared" si="1"/>
        <v>0</v>
      </c>
    </row>
    <row r="29" spans="1:14" ht="25.5" x14ac:dyDescent="0.2">
      <c r="A29" s="118" t="s">
        <v>42</v>
      </c>
      <c r="B29" s="92"/>
      <c r="C29" s="93"/>
      <c r="D29" s="94"/>
      <c r="E29" s="119">
        <v>1.2999999999999999E-3</v>
      </c>
      <c r="F29" s="176">
        <f>E5*E3</f>
        <v>2120.4</v>
      </c>
      <c r="G29" s="120">
        <f t="shared" si="4"/>
        <v>2.7565200000000001</v>
      </c>
      <c r="H29" s="96"/>
      <c r="I29" s="119">
        <v>1.2999999999999999E-3</v>
      </c>
      <c r="J29" s="177">
        <f>E5*E3</f>
        <v>2120.4</v>
      </c>
      <c r="K29" s="120">
        <f t="shared" si="5"/>
        <v>2.7565200000000001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43</v>
      </c>
      <c r="B30" s="92"/>
      <c r="C30" s="93"/>
      <c r="D30" s="94"/>
      <c r="E30" s="119">
        <v>0.25</v>
      </c>
      <c r="F30" s="176">
        <v>1</v>
      </c>
      <c r="G30" s="120">
        <f t="shared" si="4"/>
        <v>0.25</v>
      </c>
      <c r="H30" s="96"/>
      <c r="I30" s="119">
        <v>0.25</v>
      </c>
      <c r="J30" s="177">
        <v>1</v>
      </c>
      <c r="K30" s="120">
        <f t="shared" si="5"/>
        <v>0.25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2" t="s">
        <v>44</v>
      </c>
      <c r="B31" s="92"/>
      <c r="C31" s="93"/>
      <c r="D31" s="94"/>
      <c r="E31" s="119">
        <v>7.0000000000000001E-3</v>
      </c>
      <c r="F31" s="176">
        <f>E5</f>
        <v>2000</v>
      </c>
      <c r="G31" s="120">
        <f t="shared" si="4"/>
        <v>14</v>
      </c>
      <c r="H31" s="96"/>
      <c r="I31" s="119">
        <v>7.0000000000000001E-3</v>
      </c>
      <c r="J31" s="177">
        <f>E5</f>
        <v>2000</v>
      </c>
      <c r="K31" s="120">
        <f t="shared" si="5"/>
        <v>14</v>
      </c>
      <c r="L31" s="96"/>
      <c r="M31" s="62">
        <f t="shared" si="0"/>
        <v>0</v>
      </c>
      <c r="N31" s="121">
        <f t="shared" si="1"/>
        <v>0</v>
      </c>
    </row>
    <row r="32" spans="1:14" ht="25.5" x14ac:dyDescent="0.2">
      <c r="A32" s="233" t="s">
        <v>86</v>
      </c>
      <c r="B32" s="92"/>
      <c r="C32" s="93"/>
      <c r="D32" s="94"/>
      <c r="E32" s="119">
        <v>1.1000000000000001E-3</v>
      </c>
      <c r="F32" s="110">
        <f>+F29</f>
        <v>2120.4</v>
      </c>
      <c r="G32" s="120">
        <f>+F32*E32</f>
        <v>2.3324400000000001</v>
      </c>
      <c r="H32" s="96"/>
      <c r="I32" s="119">
        <v>1.1000000000000001E-3</v>
      </c>
      <c r="J32" s="110">
        <f>+J29</f>
        <v>2120.4</v>
      </c>
      <c r="K32" s="120">
        <f>+J32*I32</f>
        <v>2.3324400000000001</v>
      </c>
      <c r="L32" s="96"/>
      <c r="M32" s="62">
        <f>K32-G32</f>
        <v>0</v>
      </c>
      <c r="N32" s="121">
        <f>M32/G32</f>
        <v>0</v>
      </c>
    </row>
    <row r="33" spans="1:14" ht="14.25" x14ac:dyDescent="0.2">
      <c r="A33" s="205" t="s">
        <v>66</v>
      </c>
      <c r="B33" s="92"/>
      <c r="C33" s="93"/>
      <c r="D33" s="94"/>
      <c r="E33" s="122">
        <v>9.5399999999999999E-2</v>
      </c>
      <c r="F33" s="176">
        <v>2000</v>
      </c>
      <c r="G33" s="120">
        <f t="shared" si="4"/>
        <v>190.8</v>
      </c>
      <c r="H33" s="96"/>
      <c r="I33" s="119">
        <f>E33</f>
        <v>9.5399999999999999E-2</v>
      </c>
      <c r="J33" s="176">
        <f>F33</f>
        <v>2000</v>
      </c>
      <c r="K33" s="120">
        <f t="shared" si="5"/>
        <v>190.8</v>
      </c>
      <c r="L33" s="96"/>
      <c r="M33" s="62">
        <f t="shared" si="0"/>
        <v>0</v>
      </c>
      <c r="N33" s="121">
        <f t="shared" si="1"/>
        <v>0</v>
      </c>
    </row>
    <row r="34" spans="1:14" ht="14.25" x14ac:dyDescent="0.2">
      <c r="A34" s="98" t="s">
        <v>56</v>
      </c>
      <c r="B34" s="92"/>
      <c r="C34" s="93"/>
      <c r="D34" s="94"/>
      <c r="E34" s="122">
        <v>5.6370000000000003E-2</v>
      </c>
      <c r="F34" s="176">
        <v>2000</v>
      </c>
      <c r="G34" s="120">
        <f t="shared" si="4"/>
        <v>112.74000000000001</v>
      </c>
      <c r="H34" s="96"/>
      <c r="I34" s="119">
        <f>E34</f>
        <v>5.6370000000000003E-2</v>
      </c>
      <c r="J34" s="176">
        <f>F34</f>
        <v>2000</v>
      </c>
      <c r="K34" s="120">
        <f t="shared" si="5"/>
        <v>112.74000000000001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45"/>
      <c r="B35" s="92"/>
      <c r="C35" s="93"/>
      <c r="D35" s="94"/>
      <c r="E35" s="122"/>
      <c r="F35" s="176"/>
      <c r="G35" s="120">
        <f t="shared" si="4"/>
        <v>0</v>
      </c>
      <c r="H35" s="96"/>
      <c r="I35" s="119"/>
      <c r="J35" s="176">
        <f>F35</f>
        <v>0</v>
      </c>
      <c r="K35" s="120">
        <f>I35*J35</f>
        <v>0</v>
      </c>
      <c r="L35" s="96"/>
      <c r="M35" s="62">
        <f t="shared" si="0"/>
        <v>0</v>
      </c>
      <c r="N35" s="121" t="str">
        <f>IFERROR(M35/G35, "")</f>
        <v/>
      </c>
    </row>
    <row r="36" spans="1:14" ht="15" thickBot="1" x14ac:dyDescent="0.25">
      <c r="A36" s="123"/>
      <c r="B36" s="124"/>
      <c r="C36" s="124"/>
      <c r="D36" s="125"/>
      <c r="E36" s="126"/>
      <c r="F36" s="127"/>
      <c r="G36" s="128"/>
      <c r="H36" s="129"/>
      <c r="I36" s="126"/>
      <c r="J36" s="130"/>
      <c r="K36" s="128"/>
      <c r="L36" s="129"/>
      <c r="M36" s="131"/>
      <c r="N36" s="132"/>
    </row>
    <row r="37" spans="1:14" ht="15" x14ac:dyDescent="0.2">
      <c r="A37" s="133" t="s">
        <v>48</v>
      </c>
      <c r="B37" s="92"/>
      <c r="C37" s="92"/>
      <c r="D37" s="134"/>
      <c r="E37" s="135"/>
      <c r="F37" s="136"/>
      <c r="G37" s="137">
        <f>SUM(G27:G36)</f>
        <v>421.76695304000003</v>
      </c>
      <c r="H37" s="138"/>
      <c r="I37" s="139"/>
      <c r="J37" s="139"/>
      <c r="K37" s="140">
        <f>SUM(K27:K36)</f>
        <v>424.73227304</v>
      </c>
      <c r="L37" s="141"/>
      <c r="M37" s="142">
        <f>K37-G37</f>
        <v>2.9653199999999629</v>
      </c>
      <c r="N37" s="143">
        <f>M37/G37</f>
        <v>7.0307073103442847E-3</v>
      </c>
    </row>
    <row r="38" spans="1:14" ht="14.25" x14ac:dyDescent="0.2">
      <c r="A38" s="144" t="s">
        <v>49</v>
      </c>
      <c r="B38" s="92"/>
      <c r="C38" s="92"/>
      <c r="D38" s="134"/>
      <c r="E38" s="135">
        <v>0.13</v>
      </c>
      <c r="F38" s="145"/>
      <c r="G38" s="146">
        <f>G37*E38</f>
        <v>54.829703895200005</v>
      </c>
      <c r="H38" s="147"/>
      <c r="I38" s="135">
        <v>0.13</v>
      </c>
      <c r="J38" s="147"/>
      <c r="K38" s="148">
        <f>K37*I38</f>
        <v>55.2151954952</v>
      </c>
      <c r="L38" s="149"/>
      <c r="M38" s="150">
        <f>K38-G38</f>
        <v>0.38549159999999461</v>
      </c>
      <c r="N38" s="151">
        <f>M38/G38</f>
        <v>7.0307073103442743E-3</v>
      </c>
    </row>
    <row r="39" spans="1:14" ht="14.25" x14ac:dyDescent="0.2">
      <c r="A39" s="152" t="s">
        <v>50</v>
      </c>
      <c r="B39" s="92"/>
      <c r="C39" s="92"/>
      <c r="D39" s="134"/>
      <c r="E39" s="147"/>
      <c r="F39" s="145"/>
      <c r="G39" s="146">
        <f>SUM(G37:G38)</f>
        <v>476.59665693520003</v>
      </c>
      <c r="H39" s="147"/>
      <c r="I39" s="147"/>
      <c r="J39" s="147"/>
      <c r="K39" s="148">
        <f>SUM(K37:K38)</f>
        <v>479.94746853520002</v>
      </c>
      <c r="L39" s="149"/>
      <c r="M39" s="150">
        <f>K39-G39</f>
        <v>3.3508115999999859</v>
      </c>
      <c r="N39" s="151">
        <f>M39/G39</f>
        <v>7.0307073103443429E-3</v>
      </c>
    </row>
    <row r="40" spans="1:14" ht="14.25" customHeight="1" x14ac:dyDescent="0.2">
      <c r="A40" s="252"/>
      <c r="B40" s="252"/>
      <c r="C40" s="252"/>
      <c r="D40" s="134"/>
      <c r="E40" s="147"/>
      <c r="F40" s="145"/>
      <c r="G40" s="153"/>
      <c r="H40" s="147"/>
      <c r="I40" s="147"/>
      <c r="J40" s="147"/>
      <c r="K40" s="154"/>
      <c r="L40" s="149"/>
      <c r="M40" s="155"/>
      <c r="N40" s="156"/>
    </row>
    <row r="41" spans="1:14" ht="15.75" customHeight="1" thickBot="1" x14ac:dyDescent="0.25">
      <c r="A41" s="245" t="s">
        <v>51</v>
      </c>
      <c r="B41" s="245"/>
      <c r="C41" s="245"/>
      <c r="D41" s="157"/>
      <c r="E41" s="158"/>
      <c r="F41" s="159"/>
      <c r="G41" s="160">
        <f>SUM(G39:G40)</f>
        <v>476.59665693520003</v>
      </c>
      <c r="H41" s="161"/>
      <c r="I41" s="161"/>
      <c r="J41" s="161"/>
      <c r="K41" s="162">
        <f>SUM(K39:K40)</f>
        <v>479.94746853520002</v>
      </c>
      <c r="L41" s="163"/>
      <c r="M41" s="89">
        <f>K41-G41</f>
        <v>3.3508115999999859</v>
      </c>
      <c r="N41" s="90">
        <f>M41/G41</f>
        <v>7.0307073103443429E-3</v>
      </c>
    </row>
    <row r="42" spans="1:14" ht="13.5" thickBot="1" x14ac:dyDescent="0.25">
      <c r="A42" s="123"/>
      <c r="B42" s="124"/>
      <c r="C42" s="124"/>
      <c r="D42" s="125"/>
      <c r="E42" s="164"/>
      <c r="F42" s="165"/>
      <c r="G42" s="166"/>
      <c r="H42" s="167"/>
      <c r="I42" s="164"/>
      <c r="J42" s="167"/>
      <c r="K42" s="168"/>
      <c r="L42" s="165"/>
      <c r="M42" s="169"/>
      <c r="N42" s="170"/>
    </row>
    <row r="43" spans="1:14" x14ac:dyDescent="0.2">
      <c r="A43" s="28"/>
      <c r="B43" s="28"/>
      <c r="C43" s="28"/>
      <c r="D43" s="25"/>
      <c r="E43" s="25"/>
      <c r="F43" s="25"/>
      <c r="G43" s="25"/>
      <c r="H43" s="25"/>
      <c r="I43" s="25"/>
      <c r="J43" s="25"/>
      <c r="K43" s="171"/>
      <c r="L43" s="25"/>
      <c r="M43" s="25"/>
      <c r="N43" s="25"/>
    </row>
    <row r="44" spans="1:14" x14ac:dyDescent="0.2">
      <c r="A44" s="28"/>
      <c r="B44" s="28"/>
      <c r="C44" s="28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2">
      <c r="A45" s="28"/>
      <c r="B45" s="28"/>
      <c r="C45" s="28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x14ac:dyDescent="0.2">
      <c r="A46" s="178"/>
      <c r="B46" s="178"/>
      <c r="C46" s="178"/>
      <c r="D46" s="178"/>
      <c r="E46" s="178"/>
      <c r="F46" s="178"/>
      <c r="G46" s="178"/>
      <c r="H46" s="178"/>
      <c r="I46" s="178"/>
      <c r="J46" s="178"/>
    </row>
  </sheetData>
  <mergeCells count="11">
    <mergeCell ref="M11:N11"/>
    <mergeCell ref="C12:C13"/>
    <mergeCell ref="M12:M13"/>
    <mergeCell ref="N12:N13"/>
    <mergeCell ref="A40:C40"/>
    <mergeCell ref="A26:C26"/>
    <mergeCell ref="C1:K1"/>
    <mergeCell ref="E9:J9"/>
    <mergeCell ref="E11:G11"/>
    <mergeCell ref="I11:K11"/>
    <mergeCell ref="A41:C41"/>
  </mergeCells>
  <phoneticPr fontId="0" type="noConversion"/>
  <dataValidations disablePrompts="1" count="4">
    <dataValidation type="list" allowBlank="1" showInputMessage="1" showErrorMessage="1" sqref="D25:D26 D42 D21:D23 D14:D18 D28:D29 D30:D31 D33:D36">
      <formula1>#REF!</formula1>
    </dataValidation>
    <dataValidation type="list" allowBlank="1" showInputMessage="1" showErrorMessage="1" prompt="Select Charge Unit - monthly, per kWh, per kW" sqref="C36 C42">
      <formula1>"Monthly, per kWh, per kW"</formula1>
    </dataValidation>
    <dataValidation showDropDown="1" showInputMessage="1" showErrorMessage="1" prompt="Select Charge Unit - monthly, per kWh, per kW" sqref="C25 C21:C23 C14:C18 C28:C29 C30:C35"/>
    <dataValidation type="list" allowBlank="1" showInputMessage="1" showErrorMessage="1" sqref="D32">
      <formula1>#REF!</formula1>
    </dataValidation>
  </dataValidations>
  <pageMargins left="0.75" right="0.75" top="1" bottom="1" header="0.5" footer="0.5"/>
  <pageSetup scale="64" orientation="portrait" r:id="rId1"/>
  <headerFooter alignWithMargins="0"/>
  <ignoredErrors>
    <ignoredError sqref="J15:K18 E20:O20 E22:O23 F21:H21 O21 J25:K26 L33:N34 L35:M35 J21:M21 L28:N29 L30:N31" unlockedFormula="1"/>
    <ignoredError sqref="G19:N19 G24:K24 E30:E31 E27:I27 G41:K41 E34:E35 H40:J40 E29" formula="1"/>
    <ignoredError sqref="F28:H28 F30:K30 J27:K28 F33:K35 F31:H31 J31:K31 F29:K29" formula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  <pageSetUpPr fitToPage="1"/>
  </sheetPr>
  <dimension ref="A1:N41"/>
  <sheetViews>
    <sheetView topLeftCell="A16" workbookViewId="0">
      <selection activeCell="I18" sqref="I18"/>
    </sheetView>
  </sheetViews>
  <sheetFormatPr defaultRowHeight="12.75" x14ac:dyDescent="0.2"/>
  <cols>
    <col min="1" max="1" width="35.28515625" bestFit="1" customWidth="1"/>
    <col min="2" max="2" width="2.140625" customWidth="1"/>
    <col min="3" max="3" width="5.5703125" bestFit="1" customWidth="1"/>
    <col min="4" max="4" width="3" customWidth="1"/>
    <col min="5" max="5" width="11" bestFit="1" customWidth="1"/>
    <col min="6" max="6" width="11.5703125" bestFit="1" customWidth="1"/>
    <col min="7" max="7" width="14" bestFit="1" customWidth="1"/>
    <col min="8" max="8" width="4.7109375" customWidth="1"/>
    <col min="9" max="9" width="11" bestFit="1" customWidth="1"/>
    <col min="10" max="10" width="11.5703125" bestFit="1" customWidth="1"/>
    <col min="11" max="11" width="14" bestFit="1" customWidth="1"/>
    <col min="12" max="12" width="4.7109375" customWidth="1"/>
    <col min="13" max="13" width="12.7109375" bestFit="1" customWidth="1"/>
    <col min="14" max="14" width="11" bestFit="1" customWidth="1"/>
  </cols>
  <sheetData>
    <row r="1" spans="1:14" ht="15.75" x14ac:dyDescent="0.2">
      <c r="A1" s="24"/>
      <c r="B1" s="25"/>
      <c r="C1" s="240" t="s">
        <v>67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40000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100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224.32</v>
      </c>
      <c r="F14" s="147">
        <v>1</v>
      </c>
      <c r="G14" s="58">
        <f>E14*F14</f>
        <v>224.32</v>
      </c>
      <c r="H14" s="59"/>
      <c r="I14" s="172">
        <v>228.69</v>
      </c>
      <c r="J14" s="60">
        <v>1</v>
      </c>
      <c r="K14" s="61">
        <f>I14*J14</f>
        <v>228.69</v>
      </c>
      <c r="L14" s="59"/>
      <c r="M14" s="62">
        <f>K14-G14</f>
        <v>4.3700000000000045</v>
      </c>
      <c r="N14" s="63">
        <f>M14/G14</f>
        <v>1.9481098430813144E-2</v>
      </c>
    </row>
    <row r="15" spans="1:14" ht="14.25" x14ac:dyDescent="0.2">
      <c r="A15" s="53" t="s">
        <v>29</v>
      </c>
      <c r="B15" s="53"/>
      <c r="C15" s="54"/>
      <c r="D15" s="55"/>
      <c r="E15" s="64">
        <v>2.1305999999999998</v>
      </c>
      <c r="F15" s="65">
        <f>E8</f>
        <v>100</v>
      </c>
      <c r="G15" s="58">
        <f>E15*F15</f>
        <v>213.05999999999997</v>
      </c>
      <c r="H15" s="59"/>
      <c r="I15" s="64">
        <v>2.1720999999999999</v>
      </c>
      <c r="J15" s="66">
        <f>F15</f>
        <v>100</v>
      </c>
      <c r="K15" s="58">
        <f>I15*J15</f>
        <v>217.20999999999998</v>
      </c>
      <c r="L15" s="59"/>
      <c r="M15" s="62">
        <f t="shared" ref="M15:M34" si="0">K15-G15</f>
        <v>4.1500000000000057</v>
      </c>
      <c r="N15" s="63">
        <f t="shared" ref="N15:N33" si="1">M15/G15</f>
        <v>1.9478081291654962E-2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-3.2000000000000001E-2</v>
      </c>
      <c r="F17" s="74">
        <f>E8</f>
        <v>100</v>
      </c>
      <c r="G17" s="75">
        <f>E17*F17</f>
        <v>-3.2</v>
      </c>
      <c r="H17" s="76"/>
      <c r="I17" s="173">
        <f>-0.0191</f>
        <v>-1.9099999999999999E-2</v>
      </c>
      <c r="J17" s="77">
        <f>F17</f>
        <v>100</v>
      </c>
      <c r="K17" s="75">
        <f>I17*J17</f>
        <v>-1.91</v>
      </c>
      <c r="L17" s="76"/>
      <c r="M17" s="78">
        <f t="shared" si="0"/>
        <v>1.2900000000000003</v>
      </c>
      <c r="N17" s="79">
        <f>-M17/G17</f>
        <v>0.40312500000000007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434.18</v>
      </c>
      <c r="H18" s="86"/>
      <c r="I18" s="83"/>
      <c r="J18" s="87"/>
      <c r="K18" s="174">
        <f>SUM(K14:K17)</f>
        <v>443.98999999999995</v>
      </c>
      <c r="L18" s="88"/>
      <c r="M18" s="89">
        <f t="shared" si="0"/>
        <v>9.8099999999999454</v>
      </c>
      <c r="N18" s="90">
        <f t="shared" si="1"/>
        <v>2.2594315721589996E-2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2.93466E-2</v>
      </c>
      <c r="F19" s="175">
        <f>E5*(E3-1)</f>
        <v>2408.0000000000014</v>
      </c>
      <c r="G19" s="58">
        <f>E19*F19</f>
        <v>70.666612800000038</v>
      </c>
      <c r="H19" s="86"/>
      <c r="I19" s="64">
        <f>I32*0.64+I33*0.18+I34*0.18</f>
        <v>2.93466E-2</v>
      </c>
      <c r="J19" s="175">
        <f>F19</f>
        <v>2408.0000000000014</v>
      </c>
      <c r="K19" s="58">
        <f>I19*J19</f>
        <v>70.666612800000038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-3.0356999999999998</v>
      </c>
      <c r="F20" s="175">
        <f>E8</f>
        <v>100</v>
      </c>
      <c r="G20" s="58">
        <f>E20*F20</f>
        <v>-303.57</v>
      </c>
      <c r="H20" s="86"/>
      <c r="I20" s="64">
        <f>-0.8646+2.5358</f>
        <v>1.6712</v>
      </c>
      <c r="J20" s="175">
        <f>F20</f>
        <v>100</v>
      </c>
      <c r="K20" s="58">
        <f>I20*J20</f>
        <v>167.12</v>
      </c>
      <c r="L20" s="96"/>
      <c r="M20" s="62">
        <f t="shared" si="0"/>
        <v>470.69</v>
      </c>
      <c r="N20" s="63">
        <f>IFERROR(-M20/G20, "")</f>
        <v>1.550515531837797</v>
      </c>
    </row>
    <row r="21" spans="1:14" ht="14.25" x14ac:dyDescent="0.2">
      <c r="A21" s="98" t="s">
        <v>35</v>
      </c>
      <c r="B21" s="92"/>
      <c r="C21" s="93"/>
      <c r="D21" s="94"/>
      <c r="E21" s="64">
        <v>0.35060000000000002</v>
      </c>
      <c r="F21" s="175">
        <f>E8</f>
        <v>100</v>
      </c>
      <c r="G21" s="58">
        <f>E21*F21</f>
        <v>35.06</v>
      </c>
      <c r="H21" s="86"/>
      <c r="I21" s="64">
        <v>0.35060000000000002</v>
      </c>
      <c r="J21" s="175">
        <f>F21</f>
        <v>100</v>
      </c>
      <c r="K21" s="58">
        <f>I21*J21</f>
        <v>35.06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>
        <v>0</v>
      </c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236.33661280000007</v>
      </c>
      <c r="H23" s="86"/>
      <c r="I23" s="102"/>
      <c r="J23" s="104"/>
      <c r="K23" s="103">
        <f>SUM(K18:K22)</f>
        <v>716.83661280000001</v>
      </c>
      <c r="L23" s="88"/>
      <c r="M23" s="105">
        <f t="shared" si="0"/>
        <v>480.49999999999994</v>
      </c>
      <c r="N23" s="106">
        <f t="shared" si="1"/>
        <v>2.0331170625967427</v>
      </c>
    </row>
    <row r="24" spans="1:14" ht="14.25" x14ac:dyDescent="0.2">
      <c r="A24" s="107" t="s">
        <v>38</v>
      </c>
      <c r="B24" s="107"/>
      <c r="C24" s="108"/>
      <c r="D24" s="109"/>
      <c r="E24" s="64">
        <v>3.1213000000000002</v>
      </c>
      <c r="F24" s="176">
        <f>E8*E3</f>
        <v>106.02000000000001</v>
      </c>
      <c r="G24" s="58">
        <f>E24*F24</f>
        <v>330.92022600000007</v>
      </c>
      <c r="H24" s="86"/>
      <c r="I24" s="64">
        <f>+'GS 50-2999RPP'!I24</f>
        <v>2.2709999999999999</v>
      </c>
      <c r="J24" s="177">
        <f>F24</f>
        <v>106.02000000000001</v>
      </c>
      <c r="K24" s="58">
        <f>I24*J24</f>
        <v>240.77142000000001</v>
      </c>
      <c r="L24" s="96"/>
      <c r="M24" s="62">
        <f t="shared" si="0"/>
        <v>-90.148806000000064</v>
      </c>
      <c r="N24" s="63">
        <f t="shared" si="1"/>
        <v>-0.27241854355556994</v>
      </c>
    </row>
    <row r="25" spans="1:14" ht="33.75" customHeight="1" x14ac:dyDescent="0.2">
      <c r="A25" s="253" t="s">
        <v>39</v>
      </c>
      <c r="B25" s="253"/>
      <c r="C25" s="253"/>
      <c r="D25" s="109"/>
      <c r="E25" s="64">
        <v>1.4041999999999999</v>
      </c>
      <c r="F25" s="176">
        <f>E8*E3</f>
        <v>106.02000000000001</v>
      </c>
      <c r="G25" s="58">
        <f>E25*F25</f>
        <v>148.87328400000001</v>
      </c>
      <c r="H25" s="86"/>
      <c r="I25" s="64">
        <f>+'GS 50-2999RPP'!I25</f>
        <v>1.4154</v>
      </c>
      <c r="J25" s="177">
        <f>F25</f>
        <v>106.02000000000001</v>
      </c>
      <c r="K25" s="58">
        <f>I25*J25</f>
        <v>150.06070800000001</v>
      </c>
      <c r="L25" s="96"/>
      <c r="M25" s="62">
        <f t="shared" si="0"/>
        <v>1.1874239999999929</v>
      </c>
      <c r="N25" s="63">
        <f t="shared" si="1"/>
        <v>7.9760717846460143E-3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716.13012280000021</v>
      </c>
      <c r="H26" s="114"/>
      <c r="I26" s="115"/>
      <c r="J26" s="116"/>
      <c r="K26" s="103">
        <f>SUM(K23:K25)</f>
        <v>1107.6687408</v>
      </c>
      <c r="L26" s="117"/>
      <c r="M26" s="105">
        <f t="shared" si="0"/>
        <v>391.53861799999981</v>
      </c>
      <c r="N26" s="106">
        <f t="shared" si="1"/>
        <v>0.54674228263031488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42408</v>
      </c>
      <c r="G27" s="120">
        <f t="shared" ref="G27:G34" si="2">E27*F27</f>
        <v>152.6688</v>
      </c>
      <c r="H27" s="96"/>
      <c r="I27" s="119">
        <v>3.5999999999999999E-3</v>
      </c>
      <c r="J27" s="177">
        <f>E5*E3</f>
        <v>42408</v>
      </c>
      <c r="K27" s="120">
        <f t="shared" ref="K27:K33" si="3">I27*J27</f>
        <v>152.6688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42408</v>
      </c>
      <c r="G28" s="120">
        <f t="shared" si="2"/>
        <v>55.130399999999995</v>
      </c>
      <c r="H28" s="96"/>
      <c r="I28" s="119">
        <v>1.2999999999999999E-3</v>
      </c>
      <c r="J28" s="177">
        <f>E5*E3</f>
        <v>42408</v>
      </c>
      <c r="K28" s="120">
        <f t="shared" si="3"/>
        <v>55.130399999999995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40000</v>
      </c>
      <c r="G30" s="120">
        <f t="shared" si="2"/>
        <v>280</v>
      </c>
      <c r="H30" s="96"/>
      <c r="I30" s="119">
        <v>7.0000000000000001E-3</v>
      </c>
      <c r="J30" s="177">
        <f>E5</f>
        <v>40000</v>
      </c>
      <c r="K30" s="120">
        <f t="shared" si="3"/>
        <v>280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42408</v>
      </c>
      <c r="G31" s="120">
        <f>+F31*E31</f>
        <v>46.648800000000001</v>
      </c>
      <c r="H31" s="96"/>
      <c r="I31" s="119">
        <v>1.1000000000000001E-3</v>
      </c>
      <c r="J31" s="110">
        <f>+J28</f>
        <v>42408</v>
      </c>
      <c r="K31" s="120">
        <f>+J31*I31</f>
        <v>46.648800000000001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98" t="s">
        <v>55</v>
      </c>
      <c r="B32" s="92"/>
      <c r="C32" s="93"/>
      <c r="D32" s="94"/>
      <c r="E32" s="122">
        <v>0.03</v>
      </c>
      <c r="F32" s="176">
        <f>E5</f>
        <v>40000</v>
      </c>
      <c r="G32" s="120">
        <f t="shared" si="2"/>
        <v>1200</v>
      </c>
      <c r="H32" s="96"/>
      <c r="I32" s="119">
        <f>E32</f>
        <v>0.03</v>
      </c>
      <c r="J32" s="176">
        <f>F32</f>
        <v>40000</v>
      </c>
      <c r="K32" s="120">
        <f t="shared" si="3"/>
        <v>1200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56</v>
      </c>
      <c r="B33" s="92"/>
      <c r="C33" s="93"/>
      <c r="D33" s="94"/>
      <c r="E33" s="122">
        <v>5.6370000000000003E-2</v>
      </c>
      <c r="F33" s="176">
        <f>E5</f>
        <v>40000</v>
      </c>
      <c r="G33" s="120">
        <f t="shared" si="2"/>
        <v>2254.8000000000002</v>
      </c>
      <c r="H33" s="96"/>
      <c r="I33" s="119">
        <f>E33</f>
        <v>5.6370000000000003E-2</v>
      </c>
      <c r="J33" s="176">
        <f>F33</f>
        <v>40000</v>
      </c>
      <c r="K33" s="120">
        <f t="shared" si="3"/>
        <v>2254.8000000000002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/>
      <c r="B34" s="92"/>
      <c r="C34" s="93"/>
      <c r="D34" s="94"/>
      <c r="E34" s="122"/>
      <c r="F34" s="176"/>
      <c r="G34" s="120">
        <f t="shared" si="2"/>
        <v>0</v>
      </c>
      <c r="H34" s="96"/>
      <c r="I34" s="119"/>
      <c r="J34" s="176"/>
      <c r="K34" s="120">
        <f>I34*J34</f>
        <v>0</v>
      </c>
      <c r="L34" s="96"/>
      <c r="M34" s="62">
        <f t="shared" si="0"/>
        <v>0</v>
      </c>
      <c r="N34" s="121" t="str">
        <f>IFERROR(M34/G34, "")</f>
        <v/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4705.6281228000007</v>
      </c>
      <c r="H36" s="138"/>
      <c r="I36" s="139"/>
      <c r="J36" s="139"/>
      <c r="K36" s="140">
        <f>SUM(K26:K35)</f>
        <v>5097.1667408000003</v>
      </c>
      <c r="L36" s="141"/>
      <c r="M36" s="142">
        <f>K36-G36</f>
        <v>391.53861799999959</v>
      </c>
      <c r="N36" s="143">
        <f>M36/G36</f>
        <v>8.3206451462429096E-2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611.73165596400008</v>
      </c>
      <c r="H37" s="147"/>
      <c r="I37" s="135">
        <v>0.13</v>
      </c>
      <c r="J37" s="147"/>
      <c r="K37" s="148">
        <f>K36*I37</f>
        <v>662.63167630400005</v>
      </c>
      <c r="L37" s="149"/>
      <c r="M37" s="150">
        <f>K37-G37</f>
        <v>50.900020339999969</v>
      </c>
      <c r="N37" s="151">
        <f>M37/G37</f>
        <v>8.3206451462429137E-2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5317.359778764001</v>
      </c>
      <c r="H38" s="147"/>
      <c r="I38" s="147"/>
      <c r="J38" s="147"/>
      <c r="K38" s="148">
        <f>SUM(K36:K37)</f>
        <v>5759.7984171040007</v>
      </c>
      <c r="L38" s="149"/>
      <c r="M38" s="150">
        <f>K38-G38</f>
        <v>442.43863833999967</v>
      </c>
      <c r="N38" s="151">
        <f>M38/G38</f>
        <v>8.320645146242911E-2</v>
      </c>
    </row>
    <row r="39" spans="1:14" ht="14.25" customHeight="1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customHeight="1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5317.359778764001</v>
      </c>
      <c r="H40" s="161"/>
      <c r="I40" s="161"/>
      <c r="J40" s="161"/>
      <c r="K40" s="162">
        <f>SUM(K38:K39)</f>
        <v>5759.7984171040007</v>
      </c>
      <c r="L40" s="163"/>
      <c r="M40" s="89">
        <f>K40-G40</f>
        <v>442.43863833999967</v>
      </c>
      <c r="N40" s="90">
        <f>M40/G40</f>
        <v>8.320645146242911E-2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59" orientation="portrait" r:id="rId1"/>
  <headerFooter alignWithMargins="0"/>
  <ignoredErrors>
    <ignoredError sqref="F15:H15 F17:H17 F16:M16 O16:O17 E19:N19 F35:F39 E22:M22 E21:N21 I23:J23 F20:H20 J20:M20 J15:O15 I26:J26 J24:J25 J17:M17 I32:J33 J27 I28:J28 I29:J30" unlockedFormula="1"/>
    <ignoredError sqref="N16 G18 F23:G23 G32:G34 K34:M34 O30:O34 H39:J39 L39 O23:O28 G24:G28 G29:G30 N39" formula="1"/>
    <ignoredError sqref="F32:F34 N22 K32:N33 K23:N28 F24:F28 K29:N30 F29:F30" formula="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1"/>
  <sheetViews>
    <sheetView topLeftCell="A10" workbookViewId="0">
      <selection activeCell="M39" sqref="M39"/>
    </sheetView>
  </sheetViews>
  <sheetFormatPr defaultColWidth="9.140625" defaultRowHeight="12.75" x14ac:dyDescent="0.2"/>
  <cols>
    <col min="1" max="1" width="35.28515625" bestFit="1" customWidth="1"/>
    <col min="2" max="2" width="2.7109375" customWidth="1"/>
    <col min="3" max="3" width="5.5703125" bestFit="1" customWidth="1"/>
    <col min="4" max="4" width="3.28515625" customWidth="1"/>
    <col min="5" max="6" width="11.5703125" bestFit="1" customWidth="1"/>
    <col min="7" max="7" width="14" bestFit="1" customWidth="1"/>
    <col min="8" max="8" width="4.7109375" customWidth="1"/>
    <col min="9" max="9" width="12.42578125" bestFit="1" customWidth="1"/>
    <col min="10" max="10" width="12.28515625" bestFit="1" customWidth="1"/>
    <col min="11" max="11" width="14" bestFit="1" customWidth="1"/>
    <col min="12" max="12" width="4.7109375" customWidth="1"/>
    <col min="13" max="13" width="14" bestFit="1" customWidth="1"/>
    <col min="14" max="14" width="11" bestFit="1" customWidth="1"/>
  </cols>
  <sheetData>
    <row r="1" spans="1:14" ht="15" customHeight="1" x14ac:dyDescent="0.2">
      <c r="A1" s="24" t="s">
        <v>0</v>
      </c>
      <c r="B1" s="25"/>
      <c r="C1" s="240" t="s">
        <v>52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" customHeight="1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" customHeight="1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" customHeight="1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5" customHeight="1" x14ac:dyDescent="0.2">
      <c r="A5" s="24" t="s">
        <v>15</v>
      </c>
      <c r="B5" s="25"/>
      <c r="C5" s="33" t="s">
        <v>16</v>
      </c>
      <c r="D5" s="34"/>
      <c r="E5" s="179">
        <v>1282464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ht="9" customHeight="1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ht="15" customHeight="1" x14ac:dyDescent="0.2">
      <c r="A8" s="38" t="s">
        <v>18</v>
      </c>
      <c r="B8" s="39"/>
      <c r="C8" s="40" t="s">
        <v>2</v>
      </c>
      <c r="D8" s="41"/>
      <c r="E8" s="181">
        <v>2440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ht="18.75" customHeight="1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ht="18.75" customHeight="1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1473.7</v>
      </c>
      <c r="F14" s="147">
        <v>1</v>
      </c>
      <c r="G14" s="58">
        <f>E14*F14</f>
        <v>1473.7</v>
      </c>
      <c r="H14" s="59"/>
      <c r="I14" s="172">
        <v>1502.44</v>
      </c>
      <c r="J14" s="60">
        <v>1</v>
      </c>
      <c r="K14" s="61">
        <f>I14*J14</f>
        <v>1502.44</v>
      </c>
      <c r="L14" s="59"/>
      <c r="M14" s="62">
        <f>K14-G14</f>
        <v>28.740000000000009</v>
      </c>
      <c r="N14" s="63">
        <f>M14/G14</f>
        <v>1.9501933907850991E-2</v>
      </c>
    </row>
    <row r="15" spans="1:14" ht="12.75" customHeight="1" x14ac:dyDescent="0.2">
      <c r="A15" s="53" t="s">
        <v>29</v>
      </c>
      <c r="B15" s="53"/>
      <c r="C15" s="54"/>
      <c r="D15" s="55"/>
      <c r="E15" s="64">
        <v>1.3666</v>
      </c>
      <c r="F15" s="65">
        <v>2440</v>
      </c>
      <c r="G15" s="58">
        <f>E15*F15</f>
        <v>3334.5039999999999</v>
      </c>
      <c r="H15" s="59"/>
      <c r="I15" s="64">
        <v>1.3932</v>
      </c>
      <c r="J15" s="66">
        <f>F15</f>
        <v>2440</v>
      </c>
      <c r="K15" s="58">
        <f>I15*J15</f>
        <v>3399.4079999999999</v>
      </c>
      <c r="L15" s="59"/>
      <c r="M15" s="62">
        <f t="shared" ref="M15:M34" si="0">K15-G15</f>
        <v>64.903999999999996</v>
      </c>
      <c r="N15" s="63">
        <f t="shared" ref="N15:N33" si="1">M15/G15</f>
        <v>1.9464364115322697E-2</v>
      </c>
    </row>
    <row r="16" spans="1:14" ht="12.75" customHeight="1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2.75" customHeight="1" x14ac:dyDescent="0.2">
      <c r="A17" s="69" t="s">
        <v>31</v>
      </c>
      <c r="B17" s="70"/>
      <c r="C17" s="71"/>
      <c r="D17" s="72"/>
      <c r="E17" s="173">
        <v>0</v>
      </c>
      <c r="F17" s="74">
        <v>2440</v>
      </c>
      <c r="G17" s="75">
        <f>E17*F17</f>
        <v>0</v>
      </c>
      <c r="H17" s="76"/>
      <c r="I17" s="173">
        <v>0</v>
      </c>
      <c r="J17" s="77">
        <f>F17</f>
        <v>2440</v>
      </c>
      <c r="K17" s="75">
        <f>I17*J17</f>
        <v>0</v>
      </c>
      <c r="L17" s="76"/>
      <c r="M17" s="78">
        <f t="shared" si="0"/>
        <v>0</v>
      </c>
      <c r="N17" s="79" t="str">
        <f>IFERROR(M17/G17, "")</f>
        <v/>
      </c>
    </row>
    <row r="18" spans="1:14" ht="12.75" customHeight="1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4808.2039999999997</v>
      </c>
      <c r="H18" s="86"/>
      <c r="I18" s="83"/>
      <c r="J18" s="87"/>
      <c r="K18" s="174">
        <f>SUM(K14:K17)</f>
        <v>4901.848</v>
      </c>
      <c r="L18" s="88"/>
      <c r="M18" s="89">
        <f t="shared" si="0"/>
        <v>93.644000000000233</v>
      </c>
      <c r="N18" s="90">
        <f t="shared" si="1"/>
        <v>1.9475879143231078E-2</v>
      </c>
    </row>
    <row r="19" spans="1:14" ht="12.75" customHeight="1" x14ac:dyDescent="0.2">
      <c r="A19" s="91" t="s">
        <v>33</v>
      </c>
      <c r="B19" s="92"/>
      <c r="C19" s="93"/>
      <c r="D19" s="94"/>
      <c r="E19" s="64">
        <f>E32*0.64+E33*0.18+E34*0.18</f>
        <v>7.1202600000000005E-2</v>
      </c>
      <c r="F19" s="175">
        <f>E5*(E3-1)</f>
        <v>77204.332800000033</v>
      </c>
      <c r="G19" s="58">
        <f>E19*F19</f>
        <v>5497.1492266252826</v>
      </c>
      <c r="H19" s="86"/>
      <c r="I19" s="64">
        <f>I32*0.64+I33*0.18+I34*0.18</f>
        <v>7.1202600000000005E-2</v>
      </c>
      <c r="J19" s="175">
        <f>F19</f>
        <v>77204.332800000033</v>
      </c>
      <c r="K19" s="58">
        <f>I19*J19</f>
        <v>5497.1492266252826</v>
      </c>
      <c r="L19" s="96"/>
      <c r="M19" s="62">
        <f t="shared" si="0"/>
        <v>0</v>
      </c>
      <c r="N19" s="63">
        <f t="shared" si="1"/>
        <v>0</v>
      </c>
    </row>
    <row r="20" spans="1:14" ht="12.75" customHeight="1" x14ac:dyDescent="0.2">
      <c r="A20" s="91" t="s">
        <v>34</v>
      </c>
      <c r="B20" s="92"/>
      <c r="C20" s="93"/>
      <c r="D20" s="94"/>
      <c r="E20" s="64">
        <v>0</v>
      </c>
      <c r="F20" s="175">
        <v>2440</v>
      </c>
      <c r="G20" s="58">
        <f>E20*F20</f>
        <v>0</v>
      </c>
      <c r="H20" s="86"/>
      <c r="I20" s="64">
        <v>0</v>
      </c>
      <c r="J20" s="175">
        <f>F20</f>
        <v>2440</v>
      </c>
      <c r="K20" s="58">
        <f>I20*J20</f>
        <v>0</v>
      </c>
      <c r="L20" s="96"/>
      <c r="M20" s="62">
        <f t="shared" si="0"/>
        <v>0</v>
      </c>
      <c r="N20" s="63" t="str">
        <f>IFERROR(M20/G20, "")</f>
        <v/>
      </c>
    </row>
    <row r="21" spans="1:14" ht="12.75" customHeight="1" x14ac:dyDescent="0.2">
      <c r="A21" s="98" t="s">
        <v>35</v>
      </c>
      <c r="B21" s="92"/>
      <c r="C21" s="93"/>
      <c r="D21" s="94"/>
      <c r="E21" s="64">
        <v>0.40939999999999999</v>
      </c>
      <c r="F21" s="175">
        <v>2440</v>
      </c>
      <c r="G21" s="58">
        <f>E21*F21</f>
        <v>998.93599999999992</v>
      </c>
      <c r="H21" s="86"/>
      <c r="I21" s="64">
        <v>0.40939999999999999</v>
      </c>
      <c r="J21" s="175">
        <f>F21</f>
        <v>2440</v>
      </c>
      <c r="K21" s="58">
        <f>I21*J21</f>
        <v>998.93599999999992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11304.289226625282</v>
      </c>
      <c r="H23" s="86"/>
      <c r="I23" s="102"/>
      <c r="J23" s="104"/>
      <c r="K23" s="103">
        <f>SUM(K18:K22)</f>
        <v>11397.933226625282</v>
      </c>
      <c r="L23" s="88"/>
      <c r="M23" s="105">
        <f t="shared" si="0"/>
        <v>93.644000000000233</v>
      </c>
      <c r="N23" s="106">
        <f t="shared" si="1"/>
        <v>8.2839352499437229E-3</v>
      </c>
    </row>
    <row r="24" spans="1:14" ht="14.25" x14ac:dyDescent="0.2">
      <c r="A24" s="107" t="s">
        <v>38</v>
      </c>
      <c r="B24" s="107"/>
      <c r="C24" s="108"/>
      <c r="D24" s="109"/>
      <c r="E24" s="64">
        <v>0</v>
      </c>
      <c r="F24" s="176">
        <v>2586.8879999999999</v>
      </c>
      <c r="G24" s="58">
        <f>E24*F24</f>
        <v>0</v>
      </c>
      <c r="H24" s="86"/>
      <c r="I24" s="64">
        <v>0</v>
      </c>
      <c r="J24" s="177">
        <f>F24</f>
        <v>2586.8879999999999</v>
      </c>
      <c r="K24" s="58">
        <f>I24*J24</f>
        <v>0</v>
      </c>
      <c r="L24" s="96"/>
      <c r="M24" s="62">
        <f t="shared" si="0"/>
        <v>0</v>
      </c>
      <c r="N24" s="63" t="e">
        <f t="shared" si="1"/>
        <v>#DIV/0!</v>
      </c>
    </row>
    <row r="25" spans="1:14" ht="28.5" customHeight="1" x14ac:dyDescent="0.2">
      <c r="A25" s="253" t="s">
        <v>39</v>
      </c>
      <c r="B25" s="253"/>
      <c r="C25" s="253"/>
      <c r="D25" s="109"/>
      <c r="E25" s="64">
        <v>0</v>
      </c>
      <c r="F25" s="176">
        <v>2586.8879999999999</v>
      </c>
      <c r="G25" s="58">
        <f>E25*F25</f>
        <v>0</v>
      </c>
      <c r="H25" s="86"/>
      <c r="I25" s="64">
        <v>0</v>
      </c>
      <c r="J25" s="177">
        <f>F25</f>
        <v>2586.8879999999999</v>
      </c>
      <c r="K25" s="58">
        <f>I25*J25</f>
        <v>0</v>
      </c>
      <c r="L25" s="96"/>
      <c r="M25" s="62">
        <f t="shared" si="0"/>
        <v>0</v>
      </c>
      <c r="N25" s="63" t="e">
        <f t="shared" si="1"/>
        <v>#DIV/0!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11304.289226625282</v>
      </c>
      <c r="H26" s="114"/>
      <c r="I26" s="115"/>
      <c r="J26" s="116"/>
      <c r="K26" s="103">
        <f>SUM(K23:K25)</f>
        <v>11397.933226625282</v>
      </c>
      <c r="L26" s="117"/>
      <c r="M26" s="105">
        <f t="shared" si="0"/>
        <v>93.644000000000233</v>
      </c>
      <c r="N26" s="106">
        <f t="shared" si="1"/>
        <v>8.2839352499437229E-3</v>
      </c>
    </row>
    <row r="27" spans="1:14" ht="25.5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1359668.3328</v>
      </c>
      <c r="G27" s="120">
        <f t="shared" ref="G27:G34" si="2">E27*F27</f>
        <v>4894.8059980799999</v>
      </c>
      <c r="H27" s="96"/>
      <c r="I27" s="119">
        <v>3.5999999999999999E-3</v>
      </c>
      <c r="J27" s="177">
        <f>E5*E3</f>
        <v>1359668.3328</v>
      </c>
      <c r="K27" s="120">
        <f t="shared" ref="K27:K33" si="3">I27*J27</f>
        <v>4894.8059980799999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1359668.3328</v>
      </c>
      <c r="G28" s="120">
        <f t="shared" si="2"/>
        <v>1767.56883264</v>
      </c>
      <c r="H28" s="96"/>
      <c r="I28" s="119">
        <v>1.2999999999999999E-3</v>
      </c>
      <c r="J28" s="177">
        <f>E5*E3</f>
        <v>1359668.3328</v>
      </c>
      <c r="K28" s="120">
        <f t="shared" si="3"/>
        <v>1767.56883264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1282464</v>
      </c>
      <c r="G30" s="120">
        <f t="shared" si="2"/>
        <v>8977.2479999999996</v>
      </c>
      <c r="H30" s="96"/>
      <c r="I30" s="119">
        <v>7.0000000000000001E-3</v>
      </c>
      <c r="J30" s="177">
        <f>E5</f>
        <v>1282464</v>
      </c>
      <c r="K30" s="120">
        <f t="shared" si="3"/>
        <v>8977.2479999999996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1359668.3328</v>
      </c>
      <c r="G31" s="120">
        <f>+F31*E31</f>
        <v>1495.6351660800001</v>
      </c>
      <c r="H31" s="96"/>
      <c r="I31" s="119">
        <v>1.1000000000000001E-3</v>
      </c>
      <c r="J31" s="110">
        <f>+J28</f>
        <v>1359668.3328</v>
      </c>
      <c r="K31" s="120">
        <f>+J31*I31</f>
        <v>1495.6351660800001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205" t="s">
        <v>66</v>
      </c>
      <c r="B32" s="92"/>
      <c r="C32" s="93"/>
      <c r="D32" s="94"/>
      <c r="E32" s="122">
        <v>9.5399999999999999E-2</v>
      </c>
      <c r="F32" s="176">
        <f>E5</f>
        <v>1282464</v>
      </c>
      <c r="G32" s="120">
        <f t="shared" si="2"/>
        <v>122347.0656</v>
      </c>
      <c r="H32" s="96"/>
      <c r="I32" s="119">
        <f>E32</f>
        <v>9.5399999999999999E-2</v>
      </c>
      <c r="J32" s="176">
        <f>F32</f>
        <v>1282464</v>
      </c>
      <c r="K32" s="120">
        <f t="shared" si="3"/>
        <v>122347.0656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56</v>
      </c>
      <c r="B33" s="92"/>
      <c r="C33" s="93"/>
      <c r="D33" s="94"/>
      <c r="E33" s="122">
        <v>5.6370000000000003E-2</v>
      </c>
      <c r="F33" s="176">
        <f>E5</f>
        <v>1282464</v>
      </c>
      <c r="G33" s="120">
        <f t="shared" si="2"/>
        <v>72292.495680000007</v>
      </c>
      <c r="H33" s="96"/>
      <c r="I33" s="119">
        <f>E33</f>
        <v>5.6370000000000003E-2</v>
      </c>
      <c r="J33" s="176">
        <f>F33</f>
        <v>1282464</v>
      </c>
      <c r="K33" s="120">
        <f t="shared" si="3"/>
        <v>72292.495680000007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/>
      <c r="B34" s="92"/>
      <c r="C34" s="93"/>
      <c r="D34" s="94"/>
      <c r="E34" s="122"/>
      <c r="F34" s="176"/>
      <c r="G34" s="120">
        <f t="shared" si="2"/>
        <v>0</v>
      </c>
      <c r="H34" s="96"/>
      <c r="I34" s="119"/>
      <c r="J34" s="176">
        <f>F34</f>
        <v>0</v>
      </c>
      <c r="K34" s="120">
        <f>I34*J34</f>
        <v>0</v>
      </c>
      <c r="L34" s="96"/>
      <c r="M34" s="62">
        <f t="shared" si="0"/>
        <v>0</v>
      </c>
      <c r="N34" s="121" t="str">
        <f>IFERROR(M34/G34, "")</f>
        <v/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223079.35850342526</v>
      </c>
      <c r="H36" s="138"/>
      <c r="I36" s="139"/>
      <c r="J36" s="139"/>
      <c r="K36" s="140">
        <f>SUM(K26:K35)</f>
        <v>223173.00250342529</v>
      </c>
      <c r="L36" s="141"/>
      <c r="M36" s="142">
        <f>K36-G36</f>
        <v>93.644000000029337</v>
      </c>
      <c r="N36" s="143">
        <f>M36/G36</f>
        <v>4.1977886536997321E-4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29000.316605445285</v>
      </c>
      <c r="H37" s="147"/>
      <c r="I37" s="135">
        <v>0.13</v>
      </c>
      <c r="J37" s="147"/>
      <c r="K37" s="148">
        <f>K36*I37</f>
        <v>29012.490325445287</v>
      </c>
      <c r="L37" s="149"/>
      <c r="M37" s="150">
        <f>K37-G37</f>
        <v>12.173720000002504</v>
      </c>
      <c r="N37" s="151">
        <f>M37/G37</f>
        <v>4.19778865369928E-4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252079.67510887055</v>
      </c>
      <c r="H38" s="147"/>
      <c r="I38" s="147"/>
      <c r="J38" s="147"/>
      <c r="K38" s="148">
        <f>SUM(K36:K37)</f>
        <v>252185.49282887057</v>
      </c>
      <c r="L38" s="149"/>
      <c r="M38" s="150">
        <f>K38-G38</f>
        <v>105.81772000002093</v>
      </c>
      <c r="N38" s="151">
        <f>M38/G38</f>
        <v>4.1977886536992469E-4</v>
      </c>
    </row>
    <row r="39" spans="1:14" ht="28.5" customHeight="1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customHeight="1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252079.67510887055</v>
      </c>
      <c r="H40" s="161"/>
      <c r="I40" s="161"/>
      <c r="J40" s="161"/>
      <c r="K40" s="162">
        <f>SUM(K38:K39)</f>
        <v>252185.49282887057</v>
      </c>
      <c r="L40" s="163"/>
      <c r="M40" s="89">
        <f>K40-G40</f>
        <v>105.81772000002093</v>
      </c>
      <c r="N40" s="90">
        <f>M40/G40</f>
        <v>4.1977886536992469E-4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56" orientation="portrait" r:id="rId1"/>
  <headerFooter alignWithMargins="0"/>
  <ignoredErrors>
    <ignoredError sqref="F27:H27 E19:F23 J15:J17 E35:N37 E34:M34 E29:N30 E28:H28 J28:N28 E26:F26 F24 F25 E33:N33 F32:N32 J27:N27" unlockedFormula="1"/>
    <ignoredError sqref="G19:N19 G21:N21 G20:M20 G23:N23 G22:M22 G26:N26 G24:H24 J24:N24 G25:H25 J25:N25" formula="1" unlockedFormula="1"/>
    <ignoredError sqref="G18:N18 N20 N22 N39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1"/>
  <sheetViews>
    <sheetView topLeftCell="A10" workbookViewId="0">
      <selection activeCell="M39" sqref="M39"/>
    </sheetView>
  </sheetViews>
  <sheetFormatPr defaultRowHeight="12.75" x14ac:dyDescent="0.2"/>
  <cols>
    <col min="1" max="1" width="35.28515625" bestFit="1" customWidth="1"/>
    <col min="2" max="2" width="2.42578125" customWidth="1"/>
    <col min="3" max="3" width="5.5703125" bestFit="1" customWidth="1"/>
    <col min="4" max="4" width="2.28515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10.42578125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40" t="s">
        <v>61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9.19</v>
      </c>
      <c r="F14" s="147">
        <v>1</v>
      </c>
      <c r="G14" s="58">
        <f>E14*F14</f>
        <v>9.19</v>
      </c>
      <c r="H14" s="59"/>
      <c r="I14" s="172">
        <v>9.3699999999999992</v>
      </c>
      <c r="J14" s="60">
        <v>1</v>
      </c>
      <c r="K14" s="61">
        <f>I14*J14</f>
        <v>9.3699999999999992</v>
      </c>
      <c r="L14" s="59"/>
      <c r="M14" s="62">
        <f>K14-G14</f>
        <v>0.17999999999999972</v>
      </c>
      <c r="N14" s="63">
        <f>M14/G14</f>
        <v>1.9586507072905303E-2</v>
      </c>
    </row>
    <row r="15" spans="1:14" ht="14.25" x14ac:dyDescent="0.2">
      <c r="A15" s="53" t="s">
        <v>29</v>
      </c>
      <c r="B15" s="53"/>
      <c r="C15" s="54"/>
      <c r="D15" s="55"/>
      <c r="E15" s="64">
        <v>2.86E-2</v>
      </c>
      <c r="F15" s="65">
        <v>2000</v>
      </c>
      <c r="G15" s="58">
        <f>E15*F15</f>
        <v>57.2</v>
      </c>
      <c r="H15" s="59"/>
      <c r="I15" s="64">
        <v>2.92E-2</v>
      </c>
      <c r="J15" s="66">
        <f>F15</f>
        <v>2000</v>
      </c>
      <c r="K15" s="58">
        <f>I15*J15</f>
        <v>58.4</v>
      </c>
      <c r="L15" s="59"/>
      <c r="M15" s="62">
        <f t="shared" ref="M15:M34" si="0">K15-G15</f>
        <v>1.1999999999999957</v>
      </c>
      <c r="N15" s="63">
        <f t="shared" ref="N15:N33" si="1">M15/G15</f>
        <v>2.0979020979020904E-2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-2.9999999999999997E-4</v>
      </c>
      <c r="F17" s="74">
        <v>2000</v>
      </c>
      <c r="G17" s="75">
        <f>E17*F17</f>
        <v>-0.6</v>
      </c>
      <c r="H17" s="76"/>
      <c r="I17" s="173">
        <v>-2.0000000000000001E-4</v>
      </c>
      <c r="J17" s="77">
        <f>F17</f>
        <v>2000</v>
      </c>
      <c r="K17" s="75">
        <f>I17*J17</f>
        <v>-0.4</v>
      </c>
      <c r="L17" s="76"/>
      <c r="M17" s="78">
        <f t="shared" si="0"/>
        <v>0.19999999999999996</v>
      </c>
      <c r="N17" s="79">
        <f t="shared" si="1"/>
        <v>-0.33333333333333326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65.790000000000006</v>
      </c>
      <c r="H18" s="86"/>
      <c r="I18" s="83"/>
      <c r="J18" s="87"/>
      <c r="K18" s="174">
        <f>SUM(K14:K17)</f>
        <v>67.36999999999999</v>
      </c>
      <c r="L18" s="88"/>
      <c r="M18" s="89">
        <f t="shared" si="0"/>
        <v>1.5799999999999841</v>
      </c>
      <c r="N18" s="90">
        <f t="shared" si="1"/>
        <v>2.4015807873536767E-2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7.1202600000000005E-2</v>
      </c>
      <c r="F19" s="175">
        <f>E5*(E3-1)</f>
        <v>120.40000000000006</v>
      </c>
      <c r="G19" s="58">
        <f>E19*F19</f>
        <v>8.5727930400000059</v>
      </c>
      <c r="H19" s="86"/>
      <c r="I19" s="64">
        <f>I32*0.64+I33*0.18+I34*0.18</f>
        <v>7.1202600000000005E-2</v>
      </c>
      <c r="J19" s="175">
        <f>F19</f>
        <v>120.40000000000006</v>
      </c>
      <c r="K19" s="58">
        <f>I19*J19</f>
        <v>8.5727930400000059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-7.6E-3</v>
      </c>
      <c r="F20" s="175">
        <v>2000</v>
      </c>
      <c r="G20" s="58">
        <f>E20*F20</f>
        <v>-15.2</v>
      </c>
      <c r="H20" s="86"/>
      <c r="I20" s="64">
        <f>-0.0023+0.0066</f>
        <v>4.3E-3</v>
      </c>
      <c r="J20" s="175">
        <f>F20</f>
        <v>2000</v>
      </c>
      <c r="K20" s="58">
        <f>I20*J20</f>
        <v>8.6</v>
      </c>
      <c r="L20" s="96"/>
      <c r="M20" s="62">
        <f t="shared" si="0"/>
        <v>23.799999999999997</v>
      </c>
      <c r="N20" s="63">
        <f>IFERROR(-M20/G20, "")</f>
        <v>1.5657894736842104</v>
      </c>
    </row>
    <row r="21" spans="1:14" ht="14.25" x14ac:dyDescent="0.2">
      <c r="A21" s="98" t="s">
        <v>35</v>
      </c>
      <c r="B21" s="92"/>
      <c r="C21" s="93"/>
      <c r="D21" s="94"/>
      <c r="E21" s="64">
        <v>1E-3</v>
      </c>
      <c r="F21" s="175">
        <v>2000</v>
      </c>
      <c r="G21" s="58">
        <f>E21*F21</f>
        <v>2</v>
      </c>
      <c r="H21" s="86"/>
      <c r="I21" s="64">
        <v>1E-3</v>
      </c>
      <c r="J21" s="175">
        <f>F21</f>
        <v>2000</v>
      </c>
      <c r="K21" s="58">
        <f>I21*J21</f>
        <v>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61.162793040000011</v>
      </c>
      <c r="H23" s="86"/>
      <c r="I23" s="102"/>
      <c r="J23" s="104"/>
      <c r="K23" s="103">
        <f>SUM(K18:K22)</f>
        <v>86.542793039999992</v>
      </c>
      <c r="L23" s="88"/>
      <c r="M23" s="105">
        <f t="shared" si="0"/>
        <v>25.379999999999981</v>
      </c>
      <c r="N23" s="106">
        <f t="shared" si="1"/>
        <v>0.41495815901346511</v>
      </c>
    </row>
    <row r="24" spans="1:14" ht="14.25" x14ac:dyDescent="0.2">
      <c r="A24" s="107" t="s">
        <v>38</v>
      </c>
      <c r="B24" s="107"/>
      <c r="C24" s="108"/>
      <c r="D24" s="109"/>
      <c r="E24" s="64">
        <v>6.1999999999999998E-3</v>
      </c>
      <c r="F24" s="176">
        <v>2120.4</v>
      </c>
      <c r="G24" s="58">
        <f>E24*F24</f>
        <v>13.14648</v>
      </c>
      <c r="H24" s="86"/>
      <c r="I24" s="64">
        <f>+UMSLRPP!I24</f>
        <v>4.4999999999999997E-3</v>
      </c>
      <c r="J24" s="177">
        <f>F24</f>
        <v>2120.4</v>
      </c>
      <c r="K24" s="58">
        <f>I24*J24</f>
        <v>9.5418000000000003</v>
      </c>
      <c r="L24" s="96"/>
      <c r="M24" s="62">
        <f t="shared" si="0"/>
        <v>-3.6046800000000001</v>
      </c>
      <c r="N24" s="63">
        <f t="shared" si="1"/>
        <v>-0.27419354838709675</v>
      </c>
    </row>
    <row r="25" spans="1:14" ht="33.75" customHeight="1" x14ac:dyDescent="0.2">
      <c r="A25" s="253" t="s">
        <v>39</v>
      </c>
      <c r="B25" s="253"/>
      <c r="C25" s="253"/>
      <c r="D25" s="109"/>
      <c r="E25" s="64">
        <v>3.2000000000000002E-3</v>
      </c>
      <c r="F25" s="176">
        <v>2120.4</v>
      </c>
      <c r="G25" s="58">
        <f>E25*F25</f>
        <v>6.7852800000000002</v>
      </c>
      <c r="H25" s="86"/>
      <c r="I25" s="64">
        <f>+UMSLRPP!I25</f>
        <v>3.2000000000000002E-3</v>
      </c>
      <c r="J25" s="177">
        <f>F25</f>
        <v>2120.4</v>
      </c>
      <c r="K25" s="58">
        <f>I25*J25</f>
        <v>6.7852800000000002</v>
      </c>
      <c r="L25" s="96"/>
      <c r="M25" s="62">
        <f t="shared" si="0"/>
        <v>0</v>
      </c>
      <c r="N25" s="63">
        <f t="shared" si="1"/>
        <v>0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81.094553040000008</v>
      </c>
      <c r="H26" s="114"/>
      <c r="I26" s="115"/>
      <c r="J26" s="116"/>
      <c r="K26" s="103">
        <f>SUM(K23:K25)</f>
        <v>102.86987303999999</v>
      </c>
      <c r="L26" s="117"/>
      <c r="M26" s="105">
        <f t="shared" si="0"/>
        <v>21.775319999999979</v>
      </c>
      <c r="N26" s="106">
        <f t="shared" si="1"/>
        <v>0.26851766467298083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2120.4</v>
      </c>
      <c r="G27" s="120">
        <f t="shared" ref="G27:G34" si="2">E27*F27</f>
        <v>7.6334400000000002</v>
      </c>
      <c r="H27" s="96"/>
      <c r="I27" s="119">
        <v>3.5999999999999999E-3</v>
      </c>
      <c r="J27" s="177">
        <f>E5*E3</f>
        <v>2120.4</v>
      </c>
      <c r="K27" s="120">
        <f t="shared" ref="K27:K33" si="3">I27*J27</f>
        <v>7.6334400000000002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2120.4</v>
      </c>
      <c r="G28" s="120">
        <f t="shared" si="2"/>
        <v>2.7565200000000001</v>
      </c>
      <c r="H28" s="96"/>
      <c r="I28" s="119">
        <v>1.2999999999999999E-3</v>
      </c>
      <c r="J28" s="177">
        <f>E5*E3</f>
        <v>2120.4</v>
      </c>
      <c r="K28" s="120">
        <f t="shared" si="3"/>
        <v>2.7565200000000001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2000</v>
      </c>
      <c r="G30" s="120">
        <f t="shared" si="2"/>
        <v>14</v>
      </c>
      <c r="H30" s="96"/>
      <c r="I30" s="119">
        <v>7.0000000000000001E-3</v>
      </c>
      <c r="J30" s="177">
        <f>E5</f>
        <v>2000</v>
      </c>
      <c r="K30" s="120">
        <f t="shared" si="3"/>
        <v>14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2120.4</v>
      </c>
      <c r="G31" s="120">
        <f>+F31*E31</f>
        <v>2.3324400000000001</v>
      </c>
      <c r="H31" s="96"/>
      <c r="I31" s="119">
        <v>1.1000000000000001E-3</v>
      </c>
      <c r="J31" s="110">
        <f>+J28</f>
        <v>2120.4</v>
      </c>
      <c r="K31" s="120">
        <f>+J31*I31</f>
        <v>2.3324400000000001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205" t="s">
        <v>66</v>
      </c>
      <c r="B32" s="92"/>
      <c r="C32" s="93"/>
      <c r="D32" s="94"/>
      <c r="E32" s="122">
        <v>9.5399999999999999E-2</v>
      </c>
      <c r="F32" s="176">
        <f>E5</f>
        <v>2000</v>
      </c>
      <c r="G32" s="120">
        <f t="shared" si="2"/>
        <v>190.8</v>
      </c>
      <c r="H32" s="96"/>
      <c r="I32" s="119">
        <f>E32</f>
        <v>9.5399999999999999E-2</v>
      </c>
      <c r="J32" s="176">
        <f>F32</f>
        <v>2000</v>
      </c>
      <c r="K32" s="120">
        <f t="shared" si="3"/>
        <v>190.8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56</v>
      </c>
      <c r="B33" s="92"/>
      <c r="C33" s="93"/>
      <c r="D33" s="94"/>
      <c r="E33" s="122">
        <v>5.6370000000000003E-2</v>
      </c>
      <c r="F33" s="176">
        <f>E5</f>
        <v>2000</v>
      </c>
      <c r="G33" s="120">
        <f t="shared" si="2"/>
        <v>112.74000000000001</v>
      </c>
      <c r="H33" s="96"/>
      <c r="I33" s="119">
        <f>E33</f>
        <v>5.6370000000000003E-2</v>
      </c>
      <c r="J33" s="176">
        <f>F33</f>
        <v>2000</v>
      </c>
      <c r="K33" s="120">
        <f t="shared" si="3"/>
        <v>112.74000000000001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/>
      <c r="B34" s="92"/>
      <c r="C34" s="93"/>
      <c r="D34" s="94"/>
      <c r="E34" s="122"/>
      <c r="F34" s="176"/>
      <c r="G34" s="120">
        <f t="shared" si="2"/>
        <v>0</v>
      </c>
      <c r="H34" s="96"/>
      <c r="I34" s="119"/>
      <c r="J34" s="176"/>
      <c r="K34" s="120">
        <f>I34*J34</f>
        <v>0</v>
      </c>
      <c r="L34" s="96"/>
      <c r="M34" s="62">
        <f t="shared" si="0"/>
        <v>0</v>
      </c>
      <c r="N34" s="121" t="str">
        <f>IFERROR(M34/G34, "")</f>
        <v/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411.60695304000001</v>
      </c>
      <c r="H36" s="138"/>
      <c r="I36" s="139"/>
      <c r="J36" s="139"/>
      <c r="K36" s="140">
        <f>SUM(K26:K35)</f>
        <v>433.38227303999997</v>
      </c>
      <c r="L36" s="141"/>
      <c r="M36" s="142">
        <f>K36-G36</f>
        <v>21.775319999999965</v>
      </c>
      <c r="N36" s="143">
        <f>M36/G36</f>
        <v>5.2903187954368297E-2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53.5089038952</v>
      </c>
      <c r="H37" s="147"/>
      <c r="I37" s="135">
        <v>0.13</v>
      </c>
      <c r="J37" s="147"/>
      <c r="K37" s="148">
        <f>K36*I37</f>
        <v>56.339695495199997</v>
      </c>
      <c r="L37" s="149"/>
      <c r="M37" s="150">
        <f>K37-G37</f>
        <v>2.8307915999999977</v>
      </c>
      <c r="N37" s="151">
        <f>M37/G37</f>
        <v>5.2903187954368339E-2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465.11585693519999</v>
      </c>
      <c r="H38" s="147"/>
      <c r="I38" s="147"/>
      <c r="J38" s="147"/>
      <c r="K38" s="148">
        <f>SUM(K36:K37)</f>
        <v>489.72196853519995</v>
      </c>
      <c r="L38" s="149"/>
      <c r="M38" s="150">
        <f>K38-G38</f>
        <v>24.606111599999963</v>
      </c>
      <c r="N38" s="151">
        <f>M38/G38</f>
        <v>5.2903187954368304E-2</v>
      </c>
    </row>
    <row r="39" spans="1:14" ht="14.25" customHeight="1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customHeight="1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465.11585693519999</v>
      </c>
      <c r="H40" s="161"/>
      <c r="I40" s="161"/>
      <c r="J40" s="161"/>
      <c r="K40" s="162">
        <f>SUM(K38:K39)</f>
        <v>489.72196853519995</v>
      </c>
      <c r="L40" s="163"/>
      <c r="M40" s="89">
        <f>K40-G40</f>
        <v>24.606111599999963</v>
      </c>
      <c r="N40" s="90">
        <f>M40/G40</f>
        <v>5.2903187954368304E-2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67" orientation="portrait" r:id="rId1"/>
  <headerFooter alignWithMargins="0"/>
  <ignoredErrors>
    <ignoredError sqref="G18:N18 N16 N22:N23 G26:N26 G23:M23 G25:H25 K24:N25 N39 N20 G24:H24" formula="1"/>
    <ignoredError sqref="E19:O19 E21:M22 O20:O22 J15:J17 F34:M34 F32:F33 F20:H20 J20:M20 F27:F28 F29:F30" unlockedFormula="1"/>
    <ignoredError sqref="N21 G32:N33 J24:J25 G27:H27 J27:N27 G28:N28 G29:N30" formula="1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2"/>
  <sheetViews>
    <sheetView topLeftCell="A16" workbookViewId="0">
      <selection activeCell="M39" sqref="M39"/>
    </sheetView>
  </sheetViews>
  <sheetFormatPr defaultColWidth="26.42578125" defaultRowHeight="12.75" x14ac:dyDescent="0.2"/>
  <cols>
    <col min="1" max="1" width="35.28515625" bestFit="1" customWidth="1"/>
    <col min="2" max="2" width="1.7109375" customWidth="1"/>
    <col min="3" max="3" width="5.5703125" bestFit="1" customWidth="1"/>
    <col min="4" max="4" width="1.7109375" customWidth="1"/>
    <col min="5" max="5" width="11" bestFit="1" customWidth="1"/>
    <col min="6" max="6" width="8" bestFit="1" customWidth="1"/>
    <col min="7" max="7" width="10.28515625" customWidth="1"/>
    <col min="8" max="8" width="4.7109375" customWidth="1"/>
    <col min="9" max="9" width="16.28515625" bestFit="1" customWidth="1"/>
    <col min="10" max="10" width="8" bestFit="1" customWidth="1"/>
    <col min="11" max="11" width="10.7109375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40" t="s">
        <v>62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3.29</v>
      </c>
      <c r="F14" s="147">
        <v>1</v>
      </c>
      <c r="G14" s="58">
        <f>E14*F14</f>
        <v>3.29</v>
      </c>
      <c r="H14" s="59"/>
      <c r="I14" s="172">
        <v>3.35</v>
      </c>
      <c r="J14" s="60">
        <v>1</v>
      </c>
      <c r="K14" s="61">
        <f>I14*J14</f>
        <v>3.35</v>
      </c>
      <c r="L14" s="59"/>
      <c r="M14" s="62">
        <f>K14-G14</f>
        <v>6.0000000000000053E-2</v>
      </c>
      <c r="N14" s="63">
        <f>M14/G14</f>
        <v>1.8237082066869317E-2</v>
      </c>
    </row>
    <row r="15" spans="1:14" ht="14.25" x14ac:dyDescent="0.2">
      <c r="A15" s="53" t="s">
        <v>29</v>
      </c>
      <c r="B15" s="53"/>
      <c r="C15" s="54"/>
      <c r="D15" s="55"/>
      <c r="E15" s="64">
        <v>9.4397000000000002</v>
      </c>
      <c r="F15" s="65">
        <v>0.1</v>
      </c>
      <c r="G15" s="58">
        <f>E15*F15</f>
        <v>0.94397000000000009</v>
      </c>
      <c r="H15" s="59"/>
      <c r="I15" s="64">
        <v>9.6237999999999992</v>
      </c>
      <c r="J15" s="66">
        <f>F15</f>
        <v>0.1</v>
      </c>
      <c r="K15" s="58">
        <f>I15*J15</f>
        <v>0.96238000000000001</v>
      </c>
      <c r="L15" s="59"/>
      <c r="M15" s="62">
        <f t="shared" ref="M15:M34" si="0">K15-G15</f>
        <v>1.8409999999999926E-2</v>
      </c>
      <c r="N15" s="63">
        <f t="shared" ref="N15:N33" si="1">M15/G15</f>
        <v>1.9502738434484065E-2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-6.8199999999999997E-2</v>
      </c>
      <c r="F17" s="74">
        <v>0.1</v>
      </c>
      <c r="G17" s="75">
        <f>E17*F17</f>
        <v>-6.8199999999999997E-3</v>
      </c>
      <c r="H17" s="76"/>
      <c r="I17" s="173">
        <f>-0.0481</f>
        <v>-4.8099999999999997E-2</v>
      </c>
      <c r="J17" s="77">
        <f>F17</f>
        <v>0.1</v>
      </c>
      <c r="K17" s="75">
        <f>I17*J17</f>
        <v>-4.81E-3</v>
      </c>
      <c r="L17" s="76"/>
      <c r="M17" s="78">
        <f t="shared" si="0"/>
        <v>2.0099999999999996E-3</v>
      </c>
      <c r="N17" s="79">
        <f>-M17/G17</f>
        <v>0.29472140762463339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4.22715</v>
      </c>
      <c r="H18" s="86"/>
      <c r="I18" s="83"/>
      <c r="J18" s="87"/>
      <c r="K18" s="174">
        <f>SUM(K14:K17)</f>
        <v>4.3075700000000001</v>
      </c>
      <c r="L18" s="88"/>
      <c r="M18" s="89">
        <f t="shared" si="0"/>
        <v>8.0420000000000158E-2</v>
      </c>
      <c r="N18" s="90">
        <f t="shared" si="1"/>
        <v>1.9024638349715565E-2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7.1202600000000005E-2</v>
      </c>
      <c r="F19" s="175">
        <f>E5*(E3-1)</f>
        <v>2.1672000000000011</v>
      </c>
      <c r="G19" s="58">
        <f>E19*F19</f>
        <v>0.15431027472000008</v>
      </c>
      <c r="H19" s="86"/>
      <c r="I19" s="64">
        <f>I32*0.64+I33*0.18+I34*0.18</f>
        <v>7.1202600000000005E-2</v>
      </c>
      <c r="J19" s="175">
        <f>F19</f>
        <v>2.1672000000000011</v>
      </c>
      <c r="K19" s="58">
        <f>I19*J19</f>
        <v>0.15431027472000008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-2.9727000000000001</v>
      </c>
      <c r="F20" s="175">
        <v>0.1</v>
      </c>
      <c r="G20" s="58">
        <f>E20*F20</f>
        <v>-0.29727000000000003</v>
      </c>
      <c r="H20" s="86"/>
      <c r="I20" s="64">
        <f>-0.8109+2.3785</f>
        <v>1.5675999999999999</v>
      </c>
      <c r="J20" s="175">
        <f>F20</f>
        <v>0.1</v>
      </c>
      <c r="K20" s="58">
        <f>I20*J20</f>
        <v>0.15676000000000001</v>
      </c>
      <c r="L20" s="96"/>
      <c r="M20" s="62">
        <f t="shared" si="0"/>
        <v>0.45403000000000004</v>
      </c>
      <c r="N20" s="63">
        <f>IFERROR(-M20/G20, "")</f>
        <v>1.527332055034144</v>
      </c>
    </row>
    <row r="21" spans="1:14" ht="14.25" x14ac:dyDescent="0.2">
      <c r="A21" s="98" t="s">
        <v>35</v>
      </c>
      <c r="B21" s="92"/>
      <c r="C21" s="93"/>
      <c r="D21" s="94"/>
      <c r="E21" s="64">
        <v>0.28160000000000002</v>
      </c>
      <c r="F21" s="175">
        <v>0.1</v>
      </c>
      <c r="G21" s="58">
        <f>E21*F21</f>
        <v>2.8160000000000004E-2</v>
      </c>
      <c r="H21" s="86"/>
      <c r="I21" s="64">
        <v>0.28160000000000002</v>
      </c>
      <c r="J21" s="175">
        <f>F21</f>
        <v>0.1</v>
      </c>
      <c r="K21" s="58">
        <f>I21*J21</f>
        <v>2.8160000000000004E-2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4.1123502747199998</v>
      </c>
      <c r="H23" s="86"/>
      <c r="I23" s="102"/>
      <c r="J23" s="104"/>
      <c r="K23" s="103">
        <f>SUM(K18:K22)</f>
        <v>4.6468002747200003</v>
      </c>
      <c r="L23" s="88"/>
      <c r="M23" s="105">
        <f t="shared" si="0"/>
        <v>0.53445000000000054</v>
      </c>
      <c r="N23" s="106">
        <f t="shared" si="1"/>
        <v>0.12996217838870497</v>
      </c>
    </row>
    <row r="24" spans="1:14" ht="14.25" x14ac:dyDescent="0.2">
      <c r="A24" s="107" t="s">
        <v>38</v>
      </c>
      <c r="B24" s="107"/>
      <c r="C24" s="108"/>
      <c r="D24" s="109"/>
      <c r="E24" s="64">
        <v>1.9507000000000001</v>
      </c>
      <c r="F24" s="176">
        <v>0.10602</v>
      </c>
      <c r="G24" s="58">
        <f>E24*F24</f>
        <v>0.20681321400000002</v>
      </c>
      <c r="H24" s="86"/>
      <c r="I24" s="64">
        <f>+'Sentinel LightsRPP'!I24</f>
        <v>1.4193</v>
      </c>
      <c r="J24" s="177">
        <f>F24</f>
        <v>0.10602</v>
      </c>
      <c r="K24" s="58">
        <f>I24*J24</f>
        <v>0.15047418600000001</v>
      </c>
      <c r="L24" s="96"/>
      <c r="M24" s="62">
        <f t="shared" si="0"/>
        <v>-5.6339028000000013E-2</v>
      </c>
      <c r="N24" s="63">
        <f t="shared" si="1"/>
        <v>-0.27241503050187116</v>
      </c>
    </row>
    <row r="25" spans="1:14" ht="33.75" customHeight="1" x14ac:dyDescent="0.2">
      <c r="A25" s="253" t="s">
        <v>39</v>
      </c>
      <c r="B25" s="253"/>
      <c r="C25" s="253"/>
      <c r="D25" s="109"/>
      <c r="E25" s="64">
        <v>0.96540000000000004</v>
      </c>
      <c r="F25" s="176">
        <v>0.10602</v>
      </c>
      <c r="G25" s="58">
        <f>E25*F25</f>
        <v>0.10235170800000001</v>
      </c>
      <c r="H25" s="86"/>
      <c r="I25" s="64">
        <f>+'Sentinel LightsRPP'!I25</f>
        <v>0.97309999999999997</v>
      </c>
      <c r="J25" s="177">
        <f>F25</f>
        <v>0.10602</v>
      </c>
      <c r="K25" s="58">
        <f>I25*J25</f>
        <v>0.103168062</v>
      </c>
      <c r="L25" s="96"/>
      <c r="M25" s="62">
        <f t="shared" si="0"/>
        <v>8.1635399999999136E-4</v>
      </c>
      <c r="N25" s="63">
        <f t="shared" si="1"/>
        <v>7.9759685104618984E-3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4.4215151967199997</v>
      </c>
      <c r="H26" s="114"/>
      <c r="I26" s="115"/>
      <c r="J26" s="116"/>
      <c r="K26" s="103">
        <f>SUM(K23:K25)</f>
        <v>4.9004425227200006</v>
      </c>
      <c r="L26" s="117"/>
      <c r="M26" s="105">
        <f t="shared" si="0"/>
        <v>0.47892732600000087</v>
      </c>
      <c r="N26" s="106">
        <f t="shared" si="1"/>
        <v>0.10831746690710962</v>
      </c>
    </row>
    <row r="27" spans="1:14" ht="31.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38.167200000000001</v>
      </c>
      <c r="G27" s="120">
        <f t="shared" ref="G27:G34" si="2">E27*F27</f>
        <v>0.13740192000000001</v>
      </c>
      <c r="H27" s="96"/>
      <c r="I27" s="119">
        <v>3.5999999999999999E-3</v>
      </c>
      <c r="J27" s="177">
        <f>E5*E3</f>
        <v>38.167200000000001</v>
      </c>
      <c r="K27" s="120">
        <f t="shared" ref="K27:K33" si="3">I27*J27</f>
        <v>0.13740192000000001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38.167200000000001</v>
      </c>
      <c r="G31" s="120">
        <f>+F31*E31</f>
        <v>4.1983920000000001E-2</v>
      </c>
      <c r="H31" s="96"/>
      <c r="I31" s="119">
        <v>1.1000000000000001E-3</v>
      </c>
      <c r="J31" s="110">
        <f>+J28</f>
        <v>38.167200000000001</v>
      </c>
      <c r="K31" s="120">
        <f>+J31*I31</f>
        <v>4.1983920000000001E-2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205" t="s">
        <v>66</v>
      </c>
      <c r="B32" s="92"/>
      <c r="C32" s="93"/>
      <c r="D32" s="94"/>
      <c r="E32" s="122">
        <v>9.5399999999999999E-2</v>
      </c>
      <c r="F32" s="176">
        <f>E5</f>
        <v>36</v>
      </c>
      <c r="G32" s="120">
        <f t="shared" si="2"/>
        <v>3.4344000000000001</v>
      </c>
      <c r="H32" s="96"/>
      <c r="I32" s="119">
        <f>E32</f>
        <v>9.5399999999999999E-2</v>
      </c>
      <c r="J32" s="176">
        <f>F32</f>
        <v>36</v>
      </c>
      <c r="K32" s="120">
        <f t="shared" si="3"/>
        <v>3.4344000000000001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56</v>
      </c>
      <c r="B33" s="92"/>
      <c r="C33" s="93"/>
      <c r="D33" s="94"/>
      <c r="E33" s="122">
        <v>5.6370000000000003E-2</v>
      </c>
      <c r="F33" s="176">
        <f>E5</f>
        <v>36</v>
      </c>
      <c r="G33" s="120">
        <f t="shared" si="2"/>
        <v>2.0293200000000002</v>
      </c>
      <c r="H33" s="96"/>
      <c r="I33" s="119">
        <f>E33</f>
        <v>5.6370000000000003E-2</v>
      </c>
      <c r="J33" s="176">
        <f>F33</f>
        <v>36</v>
      </c>
      <c r="K33" s="120">
        <f t="shared" si="3"/>
        <v>2.0293200000000002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/>
      <c r="B34" s="92"/>
      <c r="C34" s="93"/>
      <c r="D34" s="94"/>
      <c r="E34" s="122"/>
      <c r="F34" s="176"/>
      <c r="G34" s="120">
        <f t="shared" si="2"/>
        <v>0</v>
      </c>
      <c r="H34" s="96"/>
      <c r="I34" s="119"/>
      <c r="J34" s="176">
        <f>F34</f>
        <v>0</v>
      </c>
      <c r="K34" s="120">
        <f>I34*J34</f>
        <v>0</v>
      </c>
      <c r="L34" s="96"/>
      <c r="M34" s="62">
        <f t="shared" si="0"/>
        <v>0</v>
      </c>
      <c r="N34" s="121" t="str">
        <f>IFERROR(M34/G34, "")</f>
        <v/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10.61623839672</v>
      </c>
      <c r="H36" s="138"/>
      <c r="I36" s="139"/>
      <c r="J36" s="139"/>
      <c r="K36" s="140">
        <f>SUM(K26:K35)</f>
        <v>11.095165722720001</v>
      </c>
      <c r="L36" s="141"/>
      <c r="M36" s="142">
        <f>K36-G36</f>
        <v>0.47892732600000087</v>
      </c>
      <c r="N36" s="143">
        <f>M36/G36</f>
        <v>4.5112713948470731E-2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1.3801109915736001</v>
      </c>
      <c r="H37" s="147"/>
      <c r="I37" s="135">
        <v>0.13</v>
      </c>
      <c r="J37" s="147"/>
      <c r="K37" s="148">
        <f>K36*I37</f>
        <v>1.4423715439536002</v>
      </c>
      <c r="L37" s="149"/>
      <c r="M37" s="150">
        <f>K37-G37</f>
        <v>6.2260552380000167E-2</v>
      </c>
      <c r="N37" s="151">
        <f>M37/G37</f>
        <v>4.5112713948470766E-2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11.9963493882936</v>
      </c>
      <c r="H38" s="147"/>
      <c r="I38" s="147"/>
      <c r="J38" s="147"/>
      <c r="K38" s="148">
        <f>SUM(K36:K37)</f>
        <v>12.537537266673601</v>
      </c>
      <c r="L38" s="149"/>
      <c r="M38" s="150">
        <f>K38-G38</f>
        <v>0.5411878783800006</v>
      </c>
      <c r="N38" s="151">
        <f>M38/G38</f>
        <v>4.5112713948470697E-2</v>
      </c>
    </row>
    <row r="39" spans="1:14" ht="14.25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11.9963493882936</v>
      </c>
      <c r="H40" s="161"/>
      <c r="I40" s="161"/>
      <c r="J40" s="161"/>
      <c r="K40" s="162">
        <f>SUM(K38:K39)</f>
        <v>12.537537266673601</v>
      </c>
      <c r="L40" s="163"/>
      <c r="M40" s="89">
        <f>K40-G40</f>
        <v>0.5411878783800006</v>
      </c>
      <c r="N40" s="90">
        <f>M40/G40</f>
        <v>4.5112713948470697E-2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  <row r="42" spans="1:14" x14ac:dyDescent="0.2">
      <c r="A42" s="178"/>
      <c r="B42" s="178"/>
      <c r="C42" s="178"/>
      <c r="D42" s="178"/>
      <c r="E42" s="178"/>
      <c r="F42" s="178"/>
      <c r="G42" s="178"/>
      <c r="H42" s="178"/>
      <c r="I42" s="178"/>
      <c r="J42" s="178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65" orientation="portrait" r:id="rId1"/>
  <headerFooter alignWithMargins="0"/>
  <ignoredErrors>
    <ignoredError sqref="G18:O18 O30:O33 N39 O19:O28" formula="1"/>
    <ignoredError sqref="G19:N19 N16 G21:N23 G20:H20 J20:M20 G26:N26 G24:H25 J24:N25 G32:N33 G27:H27 J27:N27 G28:N28 G29:N30" formula="1" unlockedFormula="1"/>
    <ignoredError sqref="E19:F19 J15:N15 J16:M17 E21:F23 F20 E26:F26 F24:F25 E33:F33 F32 E29:F30 F27 E28:F28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1"/>
  <sheetViews>
    <sheetView topLeftCell="A19" workbookViewId="0">
      <selection activeCell="I24" sqref="I24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4.7109375" customWidth="1"/>
    <col min="5" max="5" width="11" bestFit="1" customWidth="1"/>
    <col min="6" max="6" width="8" bestFit="1" customWidth="1"/>
    <col min="7" max="7" width="9" customWidth="1"/>
    <col min="8" max="8" width="4.7109375" customWidth="1"/>
    <col min="9" max="9" width="9.85546875" bestFit="1" customWidth="1"/>
    <col min="10" max="10" width="8" bestFit="1" customWidth="1"/>
    <col min="11" max="11" width="8.71093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 t="s">
        <v>53</v>
      </c>
      <c r="B1" s="25"/>
      <c r="C1" s="240" t="s">
        <v>63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3.18</v>
      </c>
      <c r="F14" s="147">
        <v>1</v>
      </c>
      <c r="G14" s="58">
        <f>E14*F14</f>
        <v>3.18</v>
      </c>
      <c r="H14" s="59"/>
      <c r="I14" s="172">
        <v>3.24</v>
      </c>
      <c r="J14" s="60">
        <v>1</v>
      </c>
      <c r="K14" s="61">
        <f>I14*J14</f>
        <v>3.24</v>
      </c>
      <c r="L14" s="59"/>
      <c r="M14" s="62">
        <f>K14-G14</f>
        <v>6.0000000000000053E-2</v>
      </c>
      <c r="N14" s="63">
        <f>M14/G14</f>
        <v>1.8867924528301903E-2</v>
      </c>
    </row>
    <row r="15" spans="1:14" ht="14.25" x14ac:dyDescent="0.2">
      <c r="A15" s="53" t="s">
        <v>29</v>
      </c>
      <c r="B15" s="53"/>
      <c r="C15" s="54"/>
      <c r="D15" s="55"/>
      <c r="E15" s="64">
        <v>8.6188000000000002</v>
      </c>
      <c r="F15" s="65">
        <v>0.1</v>
      </c>
      <c r="G15" s="58">
        <f>E15*F15</f>
        <v>0.86188000000000009</v>
      </c>
      <c r="H15" s="59"/>
      <c r="I15" s="64">
        <v>8.7868999999999993</v>
      </c>
      <c r="J15" s="66">
        <f>F15</f>
        <v>0.1</v>
      </c>
      <c r="K15" s="58">
        <f>I15*J15</f>
        <v>0.87868999999999997</v>
      </c>
      <c r="L15" s="59"/>
      <c r="M15" s="62">
        <f t="shared" ref="M15:M34" si="0">K15-G15</f>
        <v>1.6809999999999881E-2</v>
      </c>
      <c r="N15" s="63">
        <f t="shared" ref="N15:N33" si="1">M15/G15</f>
        <v>1.9503875249454541E-2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/>
    </row>
    <row r="17" spans="1:14" ht="14.25" x14ac:dyDescent="0.2">
      <c r="A17" s="69" t="s">
        <v>31</v>
      </c>
      <c r="B17" s="70"/>
      <c r="C17" s="71"/>
      <c r="D17" s="72"/>
      <c r="E17" s="173">
        <v>-5.5E-2</v>
      </c>
      <c r="F17" s="74">
        <v>0.1</v>
      </c>
      <c r="G17" s="75">
        <f>E17*F17</f>
        <v>-5.5000000000000005E-3</v>
      </c>
      <c r="H17" s="76"/>
      <c r="I17" s="173">
        <v>-1E-4</v>
      </c>
      <c r="J17" s="77">
        <f>F17</f>
        <v>0.1</v>
      </c>
      <c r="K17" s="75">
        <f>I17*J17</f>
        <v>-1.0000000000000001E-5</v>
      </c>
      <c r="L17" s="76"/>
      <c r="M17" s="78">
        <f t="shared" si="0"/>
        <v>5.490000000000001E-3</v>
      </c>
      <c r="N17" s="79">
        <f>-M17/G17</f>
        <v>0.99818181818181828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4.0363800000000003</v>
      </c>
      <c r="H18" s="86"/>
      <c r="I18" s="83"/>
      <c r="J18" s="87"/>
      <c r="K18" s="174">
        <f>SUM(K14:K17)</f>
        <v>4.1186800000000003</v>
      </c>
      <c r="L18" s="88"/>
      <c r="M18" s="89">
        <f t="shared" si="0"/>
        <v>8.230000000000004E-2</v>
      </c>
      <c r="N18" s="90">
        <f t="shared" si="1"/>
        <v>2.0389556979273516E-2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7.1202600000000005E-2</v>
      </c>
      <c r="F19" s="175">
        <f>E5*(E3-1)</f>
        <v>2.1672000000000011</v>
      </c>
      <c r="G19" s="58">
        <f>E19*F19</f>
        <v>0.15431027472000008</v>
      </c>
      <c r="H19" s="86"/>
      <c r="I19" s="64">
        <f>I32*0.64+I33*0.18+I34*0.18</f>
        <v>7.1202600000000005E-2</v>
      </c>
      <c r="J19" s="175">
        <f>F19</f>
        <v>2.1672000000000011</v>
      </c>
      <c r="K19" s="58">
        <f>I19*J19</f>
        <v>0.15431027472000008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-2.3988</v>
      </c>
      <c r="F20" s="175">
        <v>0.1</v>
      </c>
      <c r="G20" s="58">
        <f>E20*F20</f>
        <v>-0.23988000000000001</v>
      </c>
      <c r="H20" s="86"/>
      <c r="I20" s="64">
        <f>-0.7462+2.1886</f>
        <v>1.4424000000000001</v>
      </c>
      <c r="J20" s="175">
        <f>F20</f>
        <v>0.1</v>
      </c>
      <c r="K20" s="58">
        <f>I20*J20</f>
        <v>0.14424000000000001</v>
      </c>
      <c r="L20" s="96"/>
      <c r="M20" s="62">
        <f t="shared" si="0"/>
        <v>0.38412000000000002</v>
      </c>
      <c r="N20" s="63">
        <f>IFERROR(-M20/G20, "")</f>
        <v>1.6013006503251626</v>
      </c>
    </row>
    <row r="21" spans="1:14" ht="14.25" x14ac:dyDescent="0.2">
      <c r="A21" s="98" t="s">
        <v>35</v>
      </c>
      <c r="B21" s="92"/>
      <c r="C21" s="93"/>
      <c r="D21" s="94"/>
      <c r="E21" s="64">
        <v>0.27979999999999999</v>
      </c>
      <c r="F21" s="175">
        <v>0.1</v>
      </c>
      <c r="G21" s="58">
        <f>E21*F21</f>
        <v>2.7980000000000001E-2</v>
      </c>
      <c r="H21" s="86"/>
      <c r="I21" s="64">
        <v>0.27979999999999999</v>
      </c>
      <c r="J21" s="175">
        <f>F21</f>
        <v>0.1</v>
      </c>
      <c r="K21" s="58">
        <f>I21*J21</f>
        <v>2.7980000000000001E-2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3.9787902747200006</v>
      </c>
      <c r="H23" s="86"/>
      <c r="I23" s="102"/>
      <c r="J23" s="104"/>
      <c r="K23" s="103">
        <f>SUM(K18:K22)</f>
        <v>4.4452102747200009</v>
      </c>
      <c r="L23" s="88"/>
      <c r="M23" s="105">
        <f t="shared" si="0"/>
        <v>0.46642000000000028</v>
      </c>
      <c r="N23" s="106">
        <f t="shared" si="1"/>
        <v>0.11722658592072277</v>
      </c>
    </row>
    <row r="24" spans="1:14" ht="14.25" x14ac:dyDescent="0.2">
      <c r="A24" s="107" t="s">
        <v>38</v>
      </c>
      <c r="B24" s="107"/>
      <c r="C24" s="108"/>
      <c r="D24" s="109"/>
      <c r="E24" s="64">
        <v>1.9235</v>
      </c>
      <c r="F24" s="176">
        <v>0.10602</v>
      </c>
      <c r="G24" s="58">
        <f>E24*F24</f>
        <v>0.20392947</v>
      </c>
      <c r="H24" s="86"/>
      <c r="I24" s="64">
        <f>+'Street LightingRPP'!I24</f>
        <v>1.3995</v>
      </c>
      <c r="J24" s="177">
        <f>F24</f>
        <v>0.10602</v>
      </c>
      <c r="K24" s="58">
        <f>I24*J24</f>
        <v>0.14837499000000001</v>
      </c>
      <c r="L24" s="96"/>
      <c r="M24" s="62">
        <f t="shared" si="0"/>
        <v>-5.5554479999999989E-2</v>
      </c>
      <c r="N24" s="63">
        <f t="shared" si="1"/>
        <v>-0.27242006758513121</v>
      </c>
    </row>
    <row r="25" spans="1:14" ht="33.75" customHeight="1" x14ac:dyDescent="0.2">
      <c r="A25" s="253" t="s">
        <v>39</v>
      </c>
      <c r="B25" s="253"/>
      <c r="C25" s="253"/>
      <c r="D25" s="109"/>
      <c r="E25" s="64">
        <v>0.95920000000000005</v>
      </c>
      <c r="F25" s="176">
        <v>0.10602</v>
      </c>
      <c r="G25" s="58">
        <f>E25*F25</f>
        <v>0.10169438400000001</v>
      </c>
      <c r="H25" s="86"/>
      <c r="I25" s="64">
        <f>+'Street LightingRPP'!I25</f>
        <v>0.96679999999999999</v>
      </c>
      <c r="J25" s="177">
        <f>F25</f>
        <v>0.10602</v>
      </c>
      <c r="K25" s="58">
        <f>I25*J25</f>
        <v>0.10250013600000001</v>
      </c>
      <c r="L25" s="96"/>
      <c r="M25" s="62">
        <f t="shared" si="0"/>
        <v>8.0575199999999292E-4</v>
      </c>
      <c r="N25" s="63">
        <f t="shared" si="1"/>
        <v>7.9232693911592284E-3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4.2844141287200008</v>
      </c>
      <c r="H26" s="114"/>
      <c r="I26" s="115"/>
      <c r="J26" s="116"/>
      <c r="K26" s="103">
        <f>SUM(K23:K25)</f>
        <v>4.6960854007200004</v>
      </c>
      <c r="L26" s="117"/>
      <c r="M26" s="105">
        <f t="shared" si="0"/>
        <v>0.41167127199999953</v>
      </c>
      <c r="N26" s="106">
        <f t="shared" si="1"/>
        <v>9.6085779672981625E-2</v>
      </c>
    </row>
    <row r="27" spans="1:14" ht="29.2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38.167200000000001</v>
      </c>
      <c r="G27" s="120">
        <f t="shared" ref="G27:G34" si="2">E27*F27</f>
        <v>0.13740192000000001</v>
      </c>
      <c r="H27" s="96"/>
      <c r="I27" s="119">
        <v>3.5999999999999999E-3</v>
      </c>
      <c r="J27" s="177">
        <f>E5*E3</f>
        <v>38.167200000000001</v>
      </c>
      <c r="K27" s="120">
        <f t="shared" ref="K27:K33" si="3">I27*J27</f>
        <v>0.13740192000000001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38.167200000000001</v>
      </c>
      <c r="G31" s="120">
        <f>+F31*E31</f>
        <v>4.1983920000000001E-2</v>
      </c>
      <c r="H31" s="96"/>
      <c r="I31" s="119">
        <v>1.1000000000000001E-3</v>
      </c>
      <c r="J31" s="110">
        <f>+J28</f>
        <v>38.167200000000001</v>
      </c>
      <c r="K31" s="120">
        <f>+J31*I31</f>
        <v>4.1983920000000001E-2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205" t="s">
        <v>66</v>
      </c>
      <c r="B32" s="92"/>
      <c r="C32" s="93"/>
      <c r="D32" s="94"/>
      <c r="E32" s="122">
        <v>9.5399999999999999E-2</v>
      </c>
      <c r="F32" s="176">
        <f>E5</f>
        <v>36</v>
      </c>
      <c r="G32" s="120">
        <f t="shared" si="2"/>
        <v>3.4344000000000001</v>
      </c>
      <c r="H32" s="96"/>
      <c r="I32" s="119">
        <f>E32</f>
        <v>9.5399999999999999E-2</v>
      </c>
      <c r="J32" s="176">
        <f>F32</f>
        <v>36</v>
      </c>
      <c r="K32" s="120">
        <f t="shared" si="3"/>
        <v>3.4344000000000001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56</v>
      </c>
      <c r="B33" s="92"/>
      <c r="C33" s="93"/>
      <c r="D33" s="94"/>
      <c r="E33" s="122">
        <v>5.6370000000000003E-2</v>
      </c>
      <c r="F33" s="176">
        <f>E5</f>
        <v>36</v>
      </c>
      <c r="G33" s="120">
        <f t="shared" si="2"/>
        <v>2.0293200000000002</v>
      </c>
      <c r="H33" s="96"/>
      <c r="I33" s="119">
        <f>E33</f>
        <v>5.6370000000000003E-2</v>
      </c>
      <c r="J33" s="176">
        <f>F33</f>
        <v>36</v>
      </c>
      <c r="K33" s="120">
        <f t="shared" si="3"/>
        <v>2.0293200000000002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/>
      <c r="B34" s="92"/>
      <c r="C34" s="93"/>
      <c r="D34" s="94"/>
      <c r="E34" s="122"/>
      <c r="F34" s="176"/>
      <c r="G34" s="120">
        <f t="shared" si="2"/>
        <v>0</v>
      </c>
      <c r="H34" s="96"/>
      <c r="I34" s="119"/>
      <c r="J34" s="176"/>
      <c r="K34" s="120">
        <f>I34*J34</f>
        <v>0</v>
      </c>
      <c r="L34" s="96"/>
      <c r="M34" s="62">
        <f t="shared" si="0"/>
        <v>0</v>
      </c>
      <c r="N34" s="121" t="str">
        <f>IFERROR(M34/G34, "")</f>
        <v/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10.479137328720002</v>
      </c>
      <c r="H36" s="138"/>
      <c r="I36" s="139"/>
      <c r="J36" s="139"/>
      <c r="K36" s="140">
        <f>SUM(K26:K35)</f>
        <v>10.890808600720002</v>
      </c>
      <c r="L36" s="141"/>
      <c r="M36" s="142">
        <f>K36-G36</f>
        <v>0.41167127199999953</v>
      </c>
      <c r="N36" s="143">
        <f>M36/G36</f>
        <v>3.9284843693358114E-2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1.3622878527336002</v>
      </c>
      <c r="H37" s="147"/>
      <c r="I37" s="135">
        <v>0.13</v>
      </c>
      <c r="J37" s="147"/>
      <c r="K37" s="148">
        <f>K36*I37</f>
        <v>1.4158051180936002</v>
      </c>
      <c r="L37" s="149"/>
      <c r="M37" s="150">
        <f>K37-G37</f>
        <v>5.351726536000001E-2</v>
      </c>
      <c r="N37" s="151">
        <f>M37/G37</f>
        <v>3.9284843693358162E-2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11.841425181453602</v>
      </c>
      <c r="H38" s="147"/>
      <c r="I38" s="147"/>
      <c r="J38" s="147"/>
      <c r="K38" s="148">
        <f>SUM(K36:K37)</f>
        <v>12.306613718813601</v>
      </c>
      <c r="L38" s="149"/>
      <c r="M38" s="150">
        <f>K38-G38</f>
        <v>0.46518853735999954</v>
      </c>
      <c r="N38" s="151">
        <f>M38/G38</f>
        <v>3.9284843693358121E-2</v>
      </c>
    </row>
    <row r="39" spans="1:14" ht="14.25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11.841425181453602</v>
      </c>
      <c r="H40" s="161"/>
      <c r="I40" s="161"/>
      <c r="J40" s="161"/>
      <c r="K40" s="162">
        <f>SUM(K38:K39)</f>
        <v>12.306613718813601</v>
      </c>
      <c r="L40" s="163"/>
      <c r="M40" s="89">
        <f>K40-G40</f>
        <v>0.46518853735999954</v>
      </c>
      <c r="N40" s="90">
        <f>M40/G40</f>
        <v>3.9284843693358121E-2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66" orientation="portrait" r:id="rId1"/>
  <headerFooter alignWithMargins="0"/>
  <ignoredErrors>
    <ignoredError sqref="J15:N16 E19:F19 E21:F22 F20 F32:K33 F24:F26 F27:H27 J27:K27 F28:K28 F29:K30" unlockedFormula="1"/>
    <ignoredError sqref="G18:N18 G17:H17 G23:N23 N22 L24:N26 N39 N20" formula="1"/>
    <ignoredError sqref="G26:K26 G20:H20 G21:N21 G22:M22 G19:N19 J17:N17 J20:M20 G24:H24 J24:K24 G25:H25 J25:K25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N46"/>
  <sheetViews>
    <sheetView tabSelected="1" workbookViewId="0">
      <selection activeCell="I7" sqref="I7"/>
    </sheetView>
  </sheetViews>
  <sheetFormatPr defaultRowHeight="12.75" x14ac:dyDescent="0.2"/>
  <cols>
    <col min="1" max="1" width="37.28515625" customWidth="1"/>
    <col min="2" max="2" width="1.28515625" customWidth="1"/>
    <col min="3" max="3" width="5.5703125" bestFit="1" customWidth="1"/>
    <col min="4" max="4" width="3.140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11.28515625" bestFit="1" customWidth="1"/>
    <col min="10" max="10" width="8" bestFit="1" customWidth="1"/>
    <col min="11" max="11" width="9.85546875" bestFit="1" customWidth="1"/>
    <col min="12" max="12" width="4.7109375" customWidth="1"/>
    <col min="14" max="14" width="11" bestFit="1" customWidth="1"/>
  </cols>
  <sheetData>
    <row r="1" spans="1:14" ht="15.75" x14ac:dyDescent="0.2">
      <c r="A1" s="24"/>
      <c r="B1" s="25"/>
      <c r="C1" s="240" t="s">
        <v>78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800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56">
        <v>12.94</v>
      </c>
      <c r="F14" s="57">
        <v>1</v>
      </c>
      <c r="G14" s="58">
        <f>E14*F14</f>
        <v>12.94</v>
      </c>
      <c r="H14" s="59"/>
      <c r="I14" s="56">
        <v>16.579999999999998</v>
      </c>
      <c r="J14" s="60">
        <v>1</v>
      </c>
      <c r="K14" s="61">
        <f>I14*J14</f>
        <v>16.579999999999998</v>
      </c>
      <c r="L14" s="59"/>
      <c r="M14" s="62">
        <f>K14-G14</f>
        <v>3.6399999999999988</v>
      </c>
      <c r="N14" s="63">
        <f>M14/G14</f>
        <v>0.28129829984544041</v>
      </c>
    </row>
    <row r="15" spans="1:14" ht="14.25" x14ac:dyDescent="0.2">
      <c r="A15" s="53" t="s">
        <v>29</v>
      </c>
      <c r="B15" s="53"/>
      <c r="C15" s="54"/>
      <c r="D15" s="55"/>
      <c r="E15" s="64">
        <v>1.52E-2</v>
      </c>
      <c r="F15" s="65">
        <v>800</v>
      </c>
      <c r="G15" s="58">
        <f>E15*F15</f>
        <v>12.16</v>
      </c>
      <c r="H15" s="59"/>
      <c r="I15" s="64">
        <v>1.1599999999999999E-2</v>
      </c>
      <c r="J15" s="66">
        <v>800</v>
      </c>
      <c r="K15" s="58">
        <f>I15*J15</f>
        <v>9.2799999999999994</v>
      </c>
      <c r="L15" s="59"/>
      <c r="M15" s="62">
        <f t="shared" ref="M15:M36" si="0">K15-G15</f>
        <v>-2.8800000000000008</v>
      </c>
      <c r="N15" s="63">
        <f t="shared" ref="N15:N36" si="1">M15/G15</f>
        <v>-0.23684210526315796</v>
      </c>
    </row>
    <row r="16" spans="1:14" ht="14.25" x14ac:dyDescent="0.2">
      <c r="A16" s="204" t="s">
        <v>64</v>
      </c>
      <c r="B16" s="53"/>
      <c r="C16" s="54"/>
      <c r="D16" s="55"/>
      <c r="E16" s="64">
        <v>0</v>
      </c>
      <c r="F16" s="65">
        <v>0</v>
      </c>
      <c r="G16" s="58">
        <v>0</v>
      </c>
      <c r="H16" s="59"/>
      <c r="I16" s="64">
        <v>-0.11</v>
      </c>
      <c r="J16" s="66">
        <v>1</v>
      </c>
      <c r="K16" s="58">
        <f>+I16*J16</f>
        <v>-0.11</v>
      </c>
      <c r="L16" s="59"/>
      <c r="M16" s="62">
        <f t="shared" ref="M16" si="2">K16-G16</f>
        <v>-0.11</v>
      </c>
      <c r="N16" s="63" t="e">
        <f t="shared" ref="N16" si="3">M16/G16</f>
        <v>#DIV/0!</v>
      </c>
    </row>
    <row r="17" spans="1:14" ht="14.25" x14ac:dyDescent="0.2">
      <c r="A17" s="91" t="s">
        <v>57</v>
      </c>
      <c r="B17" s="92"/>
      <c r="C17" s="93"/>
      <c r="D17" s="94"/>
      <c r="E17" s="97">
        <v>-0.04</v>
      </c>
      <c r="F17" s="95">
        <v>1</v>
      </c>
      <c r="G17" s="58">
        <f>E17*F17</f>
        <v>-0.04</v>
      </c>
      <c r="H17" s="86"/>
      <c r="I17" s="97">
        <v>0</v>
      </c>
      <c r="J17" s="95">
        <v>1</v>
      </c>
      <c r="K17" s="58">
        <f>I17*J17</f>
        <v>0</v>
      </c>
      <c r="L17" s="96"/>
      <c r="M17" s="62">
        <f t="shared" ref="M17:M18" si="4">K17-G17</f>
        <v>0.04</v>
      </c>
      <c r="N17" s="63">
        <f>IFERROR(M17/G17,"")</f>
        <v>-1</v>
      </c>
    </row>
    <row r="18" spans="1:14" ht="14.25" x14ac:dyDescent="0.2">
      <c r="A18" s="91" t="s">
        <v>58</v>
      </c>
      <c r="B18" s="92"/>
      <c r="C18" s="93"/>
      <c r="D18" s="94"/>
      <c r="E18" s="97">
        <v>1.17</v>
      </c>
      <c r="F18" s="95">
        <v>1</v>
      </c>
      <c r="G18" s="58">
        <f>+E18*F18</f>
        <v>1.17</v>
      </c>
      <c r="H18" s="86"/>
      <c r="I18" s="97">
        <v>0</v>
      </c>
      <c r="J18" s="95">
        <v>1</v>
      </c>
      <c r="K18" s="58">
        <f>I18*J18</f>
        <v>0</v>
      </c>
      <c r="L18" s="96"/>
      <c r="M18" s="62">
        <f t="shared" si="4"/>
        <v>-1.17</v>
      </c>
      <c r="N18" s="63">
        <f>IFERROR(M18/G18, "")</f>
        <v>-1</v>
      </c>
    </row>
    <row r="19" spans="1:14" ht="14.25" x14ac:dyDescent="0.2">
      <c r="A19" s="69" t="s">
        <v>31</v>
      </c>
      <c r="B19" s="70"/>
      <c r="C19" s="71"/>
      <c r="D19" s="72"/>
      <c r="E19" s="73">
        <v>-2.0000000000000001E-4</v>
      </c>
      <c r="F19" s="74">
        <v>800</v>
      </c>
      <c r="G19" s="75">
        <f>E19*F19</f>
        <v>-0.16</v>
      </c>
      <c r="H19" s="76"/>
      <c r="I19" s="73"/>
      <c r="J19" s="77">
        <v>800</v>
      </c>
      <c r="K19" s="75">
        <f>I19*J19</f>
        <v>0</v>
      </c>
      <c r="L19" s="76"/>
      <c r="M19" s="78">
        <f t="shared" si="0"/>
        <v>0.16</v>
      </c>
      <c r="N19" s="79">
        <f>-M19/G19</f>
        <v>1</v>
      </c>
    </row>
    <row r="20" spans="1:14" ht="15" x14ac:dyDescent="0.2">
      <c r="A20" s="80" t="s">
        <v>32</v>
      </c>
      <c r="B20" s="81"/>
      <c r="C20" s="81"/>
      <c r="D20" s="82"/>
      <c r="E20" s="83"/>
      <c r="F20" s="84"/>
      <c r="G20" s="85">
        <f>SUM(G14:G19)</f>
        <v>26.070000000000004</v>
      </c>
      <c r="H20" s="86"/>
      <c r="I20" s="83"/>
      <c r="J20" s="87"/>
      <c r="K20" s="85">
        <f>SUM(K14:K19)</f>
        <v>25.75</v>
      </c>
      <c r="L20" s="88"/>
      <c r="M20" s="89">
        <f t="shared" si="0"/>
        <v>-0.32000000000000384</v>
      </c>
      <c r="N20" s="90">
        <f t="shared" si="1"/>
        <v>-1.2274645186037736E-2</v>
      </c>
    </row>
    <row r="21" spans="1:14" ht="14.25" x14ac:dyDescent="0.2">
      <c r="A21" s="91" t="s">
        <v>33</v>
      </c>
      <c r="B21" s="92"/>
      <c r="C21" s="93"/>
      <c r="D21" s="94"/>
      <c r="E21" s="64">
        <v>8.3919999999999995E-2</v>
      </c>
      <c r="F21" s="95">
        <v>48.160000000000025</v>
      </c>
      <c r="G21" s="58">
        <f>E21*F21</f>
        <v>4.0415872000000022</v>
      </c>
      <c r="H21" s="86"/>
      <c r="I21" s="64">
        <v>8.3919999999999995E-2</v>
      </c>
      <c r="J21" s="95">
        <v>48.160000000000025</v>
      </c>
      <c r="K21" s="58">
        <f t="shared" ref="K21:K24" si="5">I21*J21</f>
        <v>4.0415872000000022</v>
      </c>
      <c r="L21" s="96"/>
      <c r="M21" s="62">
        <f t="shared" si="0"/>
        <v>0</v>
      </c>
      <c r="N21" s="63">
        <f t="shared" si="1"/>
        <v>0</v>
      </c>
    </row>
    <row r="22" spans="1:14" ht="25.5" x14ac:dyDescent="0.2">
      <c r="A22" s="91" t="s">
        <v>34</v>
      </c>
      <c r="B22" s="92"/>
      <c r="C22" s="93"/>
      <c r="D22" s="94"/>
      <c r="E22" s="97">
        <v>-8.8999999999999999E-3</v>
      </c>
      <c r="F22" s="95">
        <v>800</v>
      </c>
      <c r="G22" s="58">
        <f>E22*F22</f>
        <v>-7.12</v>
      </c>
      <c r="H22" s="86"/>
      <c r="I22" s="202">
        <f>-0.0023</f>
        <v>-2.3E-3</v>
      </c>
      <c r="J22" s="95">
        <v>800</v>
      </c>
      <c r="K22" s="58">
        <f t="shared" si="5"/>
        <v>-1.8399999999999999</v>
      </c>
      <c r="L22" s="96"/>
      <c r="M22" s="62">
        <f t="shared" si="0"/>
        <v>5.28</v>
      </c>
      <c r="N22" s="63">
        <f>IFERROR(M22/G22, "")</f>
        <v>-0.7415730337078652</v>
      </c>
    </row>
    <row r="23" spans="1:14" ht="14.25" x14ac:dyDescent="0.2">
      <c r="A23" s="98" t="s">
        <v>35</v>
      </c>
      <c r="B23" s="92"/>
      <c r="C23" s="93"/>
      <c r="D23" s="94"/>
      <c r="E23" s="64">
        <v>1E-3</v>
      </c>
      <c r="F23" s="95">
        <v>800</v>
      </c>
      <c r="G23" s="58">
        <f>E23*F23</f>
        <v>0.8</v>
      </c>
      <c r="H23" s="86"/>
      <c r="I23" s="64">
        <v>1E-3</v>
      </c>
      <c r="J23" s="95">
        <v>800</v>
      </c>
      <c r="K23" s="58">
        <f t="shared" si="5"/>
        <v>0.8</v>
      </c>
      <c r="L23" s="96"/>
      <c r="M23" s="62">
        <f t="shared" si="0"/>
        <v>0</v>
      </c>
      <c r="N23" s="63">
        <f t="shared" si="1"/>
        <v>0</v>
      </c>
    </row>
    <row r="24" spans="1:14" ht="14.25" x14ac:dyDescent="0.2">
      <c r="A24" s="98" t="s">
        <v>36</v>
      </c>
      <c r="B24" s="92"/>
      <c r="C24" s="93"/>
      <c r="D24" s="94"/>
      <c r="E24" s="64">
        <v>0.79</v>
      </c>
      <c r="F24" s="95">
        <v>1</v>
      </c>
      <c r="G24" s="58">
        <f>E24*F24</f>
        <v>0.79</v>
      </c>
      <c r="H24" s="86"/>
      <c r="I24" s="64">
        <v>0.79</v>
      </c>
      <c r="J24" s="95">
        <v>1</v>
      </c>
      <c r="K24" s="58">
        <f t="shared" si="5"/>
        <v>0.79</v>
      </c>
      <c r="L24" s="96"/>
      <c r="M24" s="62">
        <f t="shared" si="0"/>
        <v>0</v>
      </c>
      <c r="N24" s="63">
        <f t="shared" si="1"/>
        <v>0</v>
      </c>
    </row>
    <row r="25" spans="1:14" ht="33.75" customHeight="1" x14ac:dyDescent="0.2">
      <c r="A25" s="99" t="s">
        <v>37</v>
      </c>
      <c r="B25" s="100"/>
      <c r="C25" s="100"/>
      <c r="D25" s="101"/>
      <c r="E25" s="102"/>
      <c r="F25" s="102"/>
      <c r="G25" s="103">
        <f>SUM(G20:G24)</f>
        <v>24.581587200000005</v>
      </c>
      <c r="H25" s="86"/>
      <c r="I25" s="102"/>
      <c r="J25" s="104"/>
      <c r="K25" s="103">
        <f>SUM(K20:K24)</f>
        <v>29.541587200000002</v>
      </c>
      <c r="L25" s="88"/>
      <c r="M25" s="105">
        <f t="shared" si="0"/>
        <v>4.9599999999999973</v>
      </c>
      <c r="N25" s="106">
        <f t="shared" si="1"/>
        <v>0.20177704391683854</v>
      </c>
    </row>
    <row r="26" spans="1:14" ht="14.25" x14ac:dyDescent="0.2">
      <c r="A26" s="107" t="s">
        <v>38</v>
      </c>
      <c r="B26" s="107"/>
      <c r="C26" s="108"/>
      <c r="D26" s="109"/>
      <c r="E26" s="64">
        <v>7.1000000000000004E-3</v>
      </c>
      <c r="F26" s="110">
        <v>848.16000000000008</v>
      </c>
      <c r="G26" s="58">
        <f>E26*F26</f>
        <v>6.0219360000000011</v>
      </c>
      <c r="H26" s="86"/>
      <c r="I26" s="64">
        <v>5.1999999999999998E-3</v>
      </c>
      <c r="J26" s="111">
        <v>848.16000000000008</v>
      </c>
      <c r="K26" s="58">
        <f>I26*J26</f>
        <v>4.4104320000000001</v>
      </c>
      <c r="L26" s="96"/>
      <c r="M26" s="62">
        <f t="shared" si="0"/>
        <v>-1.6115040000000009</v>
      </c>
      <c r="N26" s="63">
        <f t="shared" si="1"/>
        <v>-0.26760563380281699</v>
      </c>
    </row>
    <row r="27" spans="1:14" ht="21.75" customHeight="1" x14ac:dyDescent="0.2">
      <c r="A27" s="253" t="s">
        <v>39</v>
      </c>
      <c r="B27" s="253"/>
      <c r="C27" s="253"/>
      <c r="D27" s="109"/>
      <c r="E27" s="64">
        <v>3.3999999999999998E-3</v>
      </c>
      <c r="F27" s="110">
        <v>848.16000000000008</v>
      </c>
      <c r="G27" s="58">
        <f>E27*F27</f>
        <v>2.8837440000000001</v>
      </c>
      <c r="H27" s="86"/>
      <c r="I27" s="64">
        <v>3.3999999999999998E-3</v>
      </c>
      <c r="J27" s="111">
        <v>848.16000000000008</v>
      </c>
      <c r="K27" s="58">
        <f>I27*J27</f>
        <v>2.8837440000000001</v>
      </c>
      <c r="L27" s="96"/>
      <c r="M27" s="62">
        <f t="shared" si="0"/>
        <v>0</v>
      </c>
      <c r="N27" s="63">
        <f t="shared" si="1"/>
        <v>0</v>
      </c>
    </row>
    <row r="28" spans="1:14" ht="25.5" x14ac:dyDescent="0.2">
      <c r="A28" s="99" t="s">
        <v>40</v>
      </c>
      <c r="B28" s="112"/>
      <c r="C28" s="112"/>
      <c r="D28" s="113"/>
      <c r="E28" s="102"/>
      <c r="F28" s="102"/>
      <c r="G28" s="103">
        <f>SUM(G25:G27)</f>
        <v>33.487267200000005</v>
      </c>
      <c r="H28" s="114"/>
      <c r="I28" s="115"/>
      <c r="J28" s="116"/>
      <c r="K28" s="103">
        <f>SUM(K25:K27)</f>
        <v>36.835763200000002</v>
      </c>
      <c r="L28" s="117"/>
      <c r="M28" s="105">
        <f t="shared" si="0"/>
        <v>3.3484959999999973</v>
      </c>
      <c r="N28" s="106">
        <f t="shared" si="1"/>
        <v>9.9993110217127451E-2</v>
      </c>
    </row>
    <row r="29" spans="1:14" ht="25.5" x14ac:dyDescent="0.2">
      <c r="A29" s="118" t="s">
        <v>41</v>
      </c>
      <c r="B29" s="92"/>
      <c r="C29" s="93"/>
      <c r="D29" s="94"/>
      <c r="E29" s="119">
        <v>3.5999999999999999E-3</v>
      </c>
      <c r="F29" s="110">
        <v>848.16000000000008</v>
      </c>
      <c r="G29" s="120">
        <f t="shared" ref="G29:G36" si="6">E29*F29</f>
        <v>3.0533760000000001</v>
      </c>
      <c r="H29" s="96"/>
      <c r="I29" s="119">
        <v>3.5999999999999999E-3</v>
      </c>
      <c r="J29" s="111">
        <v>848.16000000000008</v>
      </c>
      <c r="K29" s="120">
        <f t="shared" ref="K29:K35" si="7">I29*J29</f>
        <v>3.0533760000000001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118" t="s">
        <v>42</v>
      </c>
      <c r="B30" s="92"/>
      <c r="C30" s="93"/>
      <c r="D30" s="94"/>
      <c r="E30" s="119">
        <v>1.2999999999999999E-3</v>
      </c>
      <c r="F30" s="110">
        <v>848.16000000000008</v>
      </c>
      <c r="G30" s="120">
        <f t="shared" si="6"/>
        <v>1.102608</v>
      </c>
      <c r="H30" s="96"/>
      <c r="I30" s="119">
        <v>1.2999999999999999E-3</v>
      </c>
      <c r="J30" s="111">
        <v>848.16000000000008</v>
      </c>
      <c r="K30" s="120">
        <f t="shared" si="7"/>
        <v>1.102608</v>
      </c>
      <c r="L30" s="96"/>
      <c r="M30" s="62">
        <f t="shared" si="0"/>
        <v>0</v>
      </c>
      <c r="N30" s="121">
        <f t="shared" si="1"/>
        <v>0</v>
      </c>
    </row>
    <row r="31" spans="1:14" ht="19.5" customHeight="1" x14ac:dyDescent="0.2">
      <c r="A31" s="92" t="s">
        <v>43</v>
      </c>
      <c r="B31" s="92"/>
      <c r="C31" s="93"/>
      <c r="D31" s="94"/>
      <c r="E31" s="119">
        <v>0.25</v>
      </c>
      <c r="F31" s="110">
        <v>1</v>
      </c>
      <c r="G31" s="120">
        <f t="shared" si="6"/>
        <v>0.25</v>
      </c>
      <c r="H31" s="96"/>
      <c r="I31" s="119">
        <v>0.25</v>
      </c>
      <c r="J31" s="111">
        <v>1</v>
      </c>
      <c r="K31" s="120">
        <f t="shared" si="7"/>
        <v>0.25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2"/>
      <c r="B32" s="92"/>
      <c r="C32" s="93"/>
      <c r="D32" s="94"/>
      <c r="E32" s="119"/>
      <c r="F32" s="110"/>
      <c r="G32" s="120"/>
      <c r="H32" s="96"/>
      <c r="I32" s="119"/>
      <c r="J32" s="111"/>
      <c r="K32" s="120"/>
      <c r="L32" s="96"/>
      <c r="M32" s="62"/>
      <c r="N32" s="121"/>
    </row>
    <row r="33" spans="1:14" ht="25.5" x14ac:dyDescent="0.2">
      <c r="A33" s="233" t="s">
        <v>86</v>
      </c>
      <c r="B33" s="92"/>
      <c r="C33" s="93"/>
      <c r="D33" s="94"/>
      <c r="E33" s="119">
        <v>1.1000000000000001E-3</v>
      </c>
      <c r="F33" s="110">
        <f>+F30</f>
        <v>848.16000000000008</v>
      </c>
      <c r="G33" s="120">
        <f>+F33*E33</f>
        <v>0.93297600000000014</v>
      </c>
      <c r="H33" s="96"/>
      <c r="I33" s="119">
        <v>1.1000000000000001E-3</v>
      </c>
      <c r="J33" s="110">
        <f>+J30</f>
        <v>848.16000000000008</v>
      </c>
      <c r="K33" s="120">
        <f>+J33*I33</f>
        <v>0.93297600000000014</v>
      </c>
      <c r="L33" s="96"/>
      <c r="M33" s="62">
        <f>K33-G33</f>
        <v>0</v>
      </c>
      <c r="N33" s="121">
        <f>M33/G33</f>
        <v>0</v>
      </c>
    </row>
    <row r="34" spans="1:14" ht="14.25" x14ac:dyDescent="0.2">
      <c r="A34" s="98" t="s">
        <v>45</v>
      </c>
      <c r="B34" s="92"/>
      <c r="C34" s="93"/>
      <c r="D34" s="94"/>
      <c r="E34" s="122">
        <v>0.08</v>
      </c>
      <c r="F34" s="110">
        <v>512</v>
      </c>
      <c r="G34" s="120">
        <f t="shared" si="6"/>
        <v>40.96</v>
      </c>
      <c r="H34" s="96"/>
      <c r="I34" s="119">
        <v>0.08</v>
      </c>
      <c r="J34" s="110">
        <v>512</v>
      </c>
      <c r="K34" s="120">
        <f t="shared" si="7"/>
        <v>40.96</v>
      </c>
      <c r="L34" s="96"/>
      <c r="M34" s="62">
        <f t="shared" si="0"/>
        <v>0</v>
      </c>
      <c r="N34" s="121">
        <f t="shared" si="1"/>
        <v>0</v>
      </c>
    </row>
    <row r="35" spans="1:14" ht="14.25" x14ac:dyDescent="0.2">
      <c r="A35" s="98" t="s">
        <v>46</v>
      </c>
      <c r="B35" s="92"/>
      <c r="C35" s="93"/>
      <c r="D35" s="94"/>
      <c r="E35" s="122">
        <v>0.122</v>
      </c>
      <c r="F35" s="110">
        <v>144</v>
      </c>
      <c r="G35" s="120">
        <f t="shared" si="6"/>
        <v>17.567999999999998</v>
      </c>
      <c r="H35" s="96"/>
      <c r="I35" s="119">
        <v>0.122</v>
      </c>
      <c r="J35" s="110">
        <v>144</v>
      </c>
      <c r="K35" s="120">
        <f t="shared" si="7"/>
        <v>17.567999999999998</v>
      </c>
      <c r="L35" s="96"/>
      <c r="M35" s="62">
        <f t="shared" si="0"/>
        <v>0</v>
      </c>
      <c r="N35" s="121">
        <f t="shared" si="1"/>
        <v>0</v>
      </c>
    </row>
    <row r="36" spans="1:14" ht="15" thickBot="1" x14ac:dyDescent="0.25">
      <c r="A36" s="45" t="s">
        <v>47</v>
      </c>
      <c r="B36" s="92"/>
      <c r="C36" s="93"/>
      <c r="D36" s="94"/>
      <c r="E36" s="122">
        <v>0.161</v>
      </c>
      <c r="F36" s="110">
        <v>144</v>
      </c>
      <c r="G36" s="120">
        <f t="shared" si="6"/>
        <v>23.184000000000001</v>
      </c>
      <c r="H36" s="96"/>
      <c r="I36" s="119">
        <v>0.161</v>
      </c>
      <c r="J36" s="110">
        <v>144</v>
      </c>
      <c r="K36" s="120">
        <f>I36*J36</f>
        <v>23.184000000000001</v>
      </c>
      <c r="L36" s="96"/>
      <c r="M36" s="62">
        <f t="shared" si="0"/>
        <v>0</v>
      </c>
      <c r="N36" s="121">
        <f t="shared" si="1"/>
        <v>0</v>
      </c>
    </row>
    <row r="37" spans="1:14" ht="15" thickBot="1" x14ac:dyDescent="0.25">
      <c r="A37" s="123"/>
      <c r="B37" s="124"/>
      <c r="C37" s="124"/>
      <c r="D37" s="125"/>
      <c r="E37" s="126"/>
      <c r="F37" s="127"/>
      <c r="G37" s="128"/>
      <c r="H37" s="129"/>
      <c r="I37" s="126"/>
      <c r="J37" s="130"/>
      <c r="K37" s="128"/>
      <c r="L37" s="129"/>
      <c r="M37" s="131"/>
      <c r="N37" s="132"/>
    </row>
    <row r="38" spans="1:14" ht="15" x14ac:dyDescent="0.2">
      <c r="A38" s="133" t="s">
        <v>48</v>
      </c>
      <c r="B38" s="92"/>
      <c r="C38" s="92"/>
      <c r="D38" s="134"/>
      <c r="E38" s="135"/>
      <c r="F38" s="136"/>
      <c r="G38" s="137">
        <f>SUM(G28:G37)</f>
        <v>120.53822720000001</v>
      </c>
      <c r="H38" s="138"/>
      <c r="I38" s="139"/>
      <c r="J38" s="139"/>
      <c r="K38" s="140">
        <f>SUM(K28:K37)</f>
        <v>123.88672320000001</v>
      </c>
      <c r="L38" s="141"/>
      <c r="M38" s="142">
        <f>K38-G38</f>
        <v>3.3484959999999973</v>
      </c>
      <c r="N38" s="143">
        <f>M38/G38</f>
        <v>2.7779535818492584E-2</v>
      </c>
    </row>
    <row r="39" spans="1:14" ht="14.25" x14ac:dyDescent="0.2">
      <c r="A39" s="144" t="s">
        <v>49</v>
      </c>
      <c r="B39" s="92"/>
      <c r="C39" s="92"/>
      <c r="D39" s="134"/>
      <c r="E39" s="135">
        <v>0.13</v>
      </c>
      <c r="F39" s="145"/>
      <c r="G39" s="146">
        <f>G38*E39</f>
        <v>15.669969536000002</v>
      </c>
      <c r="H39" s="147"/>
      <c r="I39" s="135">
        <v>0.13</v>
      </c>
      <c r="J39" s="147"/>
      <c r="K39" s="148">
        <f>K38*I39</f>
        <v>16.105274016000003</v>
      </c>
      <c r="L39" s="149"/>
      <c r="M39" s="150">
        <f>K39-G39</f>
        <v>0.43530448000000099</v>
      </c>
      <c r="N39" s="151">
        <f>M39/G39</f>
        <v>2.7779535818492667E-2</v>
      </c>
    </row>
    <row r="40" spans="1:14" ht="14.25" x14ac:dyDescent="0.2">
      <c r="A40" s="152" t="s">
        <v>50</v>
      </c>
      <c r="B40" s="92"/>
      <c r="C40" s="92"/>
      <c r="D40" s="134"/>
      <c r="E40" s="147"/>
      <c r="F40" s="145"/>
      <c r="G40" s="146">
        <f>SUM(G38:G39)</f>
        <v>136.20819673600002</v>
      </c>
      <c r="H40" s="147"/>
      <c r="I40" s="147"/>
      <c r="J40" s="147"/>
      <c r="K40" s="148">
        <f>SUM(K38:K39)</f>
        <v>139.99199721600002</v>
      </c>
      <c r="L40" s="149"/>
      <c r="M40" s="150">
        <f>K40-G40</f>
        <v>3.7838004799999965</v>
      </c>
      <c r="N40" s="151">
        <f>M40/G40</f>
        <v>2.777953581849258E-2</v>
      </c>
    </row>
    <row r="41" spans="1:14" ht="14.25" customHeight="1" x14ac:dyDescent="0.2">
      <c r="A41" s="252"/>
      <c r="B41" s="252"/>
      <c r="C41" s="252"/>
      <c r="D41" s="134"/>
      <c r="E41" s="147"/>
      <c r="F41" s="145"/>
      <c r="G41" s="153"/>
      <c r="H41" s="147"/>
      <c r="I41" s="147"/>
      <c r="J41" s="147"/>
      <c r="K41" s="154"/>
      <c r="L41" s="149"/>
      <c r="M41" s="155"/>
      <c r="N41" s="156"/>
    </row>
    <row r="42" spans="1:14" ht="15.75" customHeight="1" thickBot="1" x14ac:dyDescent="0.25">
      <c r="A42" s="245" t="s">
        <v>51</v>
      </c>
      <c r="B42" s="245"/>
      <c r="C42" s="245"/>
      <c r="D42" s="157"/>
      <c r="E42" s="158"/>
      <c r="F42" s="159"/>
      <c r="G42" s="160">
        <f>SUM(G40:G41)</f>
        <v>136.20819673600002</v>
      </c>
      <c r="H42" s="161"/>
      <c r="I42" s="161"/>
      <c r="J42" s="161"/>
      <c r="K42" s="162">
        <f>SUM(K40:K41)</f>
        <v>139.99199721600002</v>
      </c>
      <c r="L42" s="163"/>
      <c r="M42" s="89">
        <f>K42-G42</f>
        <v>3.7838004799999965</v>
      </c>
      <c r="N42" s="90">
        <f>M42/G42</f>
        <v>2.777953581849258E-2</v>
      </c>
    </row>
    <row r="43" spans="1:14" ht="13.5" thickBot="1" x14ac:dyDescent="0.25">
      <c r="A43" s="123"/>
      <c r="B43" s="124"/>
      <c r="C43" s="124"/>
      <c r="D43" s="125"/>
      <c r="E43" s="164"/>
      <c r="F43" s="165"/>
      <c r="G43" s="166"/>
      <c r="H43" s="167"/>
      <c r="I43" s="164"/>
      <c r="J43" s="167"/>
      <c r="K43" s="168"/>
      <c r="L43" s="165"/>
      <c r="M43" s="169"/>
      <c r="N43" s="170"/>
    </row>
    <row r="44" spans="1:14" x14ac:dyDescent="0.2">
      <c r="A44" s="28"/>
      <c r="B44" s="28"/>
      <c r="C44" s="28"/>
      <c r="D44" s="25"/>
      <c r="E44" s="25"/>
      <c r="F44" s="25"/>
      <c r="G44" s="25"/>
      <c r="H44" s="25"/>
      <c r="I44" s="25"/>
      <c r="J44" s="25"/>
      <c r="K44" s="171"/>
      <c r="L44" s="25"/>
      <c r="M44" s="25"/>
      <c r="N44" s="25"/>
    </row>
    <row r="45" spans="1:14" x14ac:dyDescent="0.2">
      <c r="A45" s="28"/>
      <c r="B45" s="28"/>
      <c r="C45" s="28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x14ac:dyDescent="0.2">
      <c r="A46" s="28"/>
      <c r="B46" s="28"/>
      <c r="C46" s="28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</sheetData>
  <mergeCells count="11">
    <mergeCell ref="M11:N11"/>
    <mergeCell ref="C12:C13"/>
    <mergeCell ref="M12:M13"/>
    <mergeCell ref="N12:N13"/>
    <mergeCell ref="A41:C41"/>
    <mergeCell ref="A27:C27"/>
    <mergeCell ref="C1:K1"/>
    <mergeCell ref="E9:J9"/>
    <mergeCell ref="E11:G11"/>
    <mergeCell ref="I11:K11"/>
    <mergeCell ref="A42:C42"/>
  </mergeCells>
  <phoneticPr fontId="0" type="noConversion"/>
  <dataValidations disablePrompts="1" count="3">
    <dataValidation type="list" allowBlank="1" showInputMessage="1" showErrorMessage="1" sqref="D26:D27 D43 D14:D19 D22:D24 D29:D30 D31:D37">
      <formula1>#REF!</formula1>
    </dataValidation>
    <dataValidation type="list" allowBlank="1" showInputMessage="1" showErrorMessage="1" prompt="Select Charge Unit - monthly, per kWh, per kW" sqref="C37 C43">
      <formula1>"Monthly, per kWh, per kW"</formula1>
    </dataValidation>
    <dataValidation showDropDown="1" showInputMessage="1" showErrorMessage="1" prompt="Select Charge Unit - monthly, per kWh, per kW" sqref="C26 C14:C19 C22:C24 C29:C30 C31:C36"/>
  </dataValidations>
  <pageMargins left="0.75" right="0.75" top="1" bottom="1" header="0.5" footer="0.5"/>
  <pageSetup scale="6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workbookViewId="0">
      <selection activeCell="I19" sqref="I19"/>
    </sheetView>
  </sheetViews>
  <sheetFormatPr defaultRowHeight="12.75" x14ac:dyDescent="0.2"/>
  <cols>
    <col min="1" max="1" width="22.28515625" customWidth="1"/>
    <col min="5" max="5" width="9.85546875" bestFit="1" customWidth="1"/>
    <col min="7" max="7" width="10.7109375" customWidth="1"/>
    <col min="9" max="9" width="9.85546875" bestFit="1" customWidth="1"/>
    <col min="11" max="11" width="13.42578125" customWidth="1"/>
    <col min="14" max="14" width="10" bestFit="1" customWidth="1"/>
  </cols>
  <sheetData>
    <row r="1" spans="1:18" ht="15.75" x14ac:dyDescent="0.2">
      <c r="A1" s="24"/>
      <c r="B1" s="25"/>
      <c r="C1" s="240" t="s">
        <v>79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8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8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8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8" x14ac:dyDescent="0.2">
      <c r="A5" s="24" t="s">
        <v>15</v>
      </c>
      <c r="B5" s="25"/>
      <c r="C5" s="33" t="s">
        <v>16</v>
      </c>
      <c r="D5" s="34"/>
      <c r="E5" s="35">
        <v>364</v>
      </c>
      <c r="F5" s="25"/>
      <c r="G5" s="25"/>
      <c r="H5" s="25"/>
      <c r="I5" s="25"/>
      <c r="J5" s="25"/>
      <c r="K5" s="25"/>
      <c r="L5" s="25"/>
      <c r="M5" s="25"/>
      <c r="N5" s="25"/>
    </row>
    <row r="6" spans="1:18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8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8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8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8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8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8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8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8" ht="14.25" x14ac:dyDescent="0.2">
      <c r="A14" s="53" t="s">
        <v>28</v>
      </c>
      <c r="B14" s="53"/>
      <c r="C14" s="54"/>
      <c r="D14" s="55"/>
      <c r="E14" s="56">
        <v>12.94</v>
      </c>
      <c r="F14" s="57">
        <v>1</v>
      </c>
      <c r="G14" s="58">
        <f>E14*F14</f>
        <v>12.94</v>
      </c>
      <c r="H14" s="59"/>
      <c r="I14" s="56">
        <v>16.579999999999998</v>
      </c>
      <c r="J14" s="60">
        <v>1</v>
      </c>
      <c r="K14" s="61">
        <f>I14*J14</f>
        <v>16.579999999999998</v>
      </c>
      <c r="L14" s="59"/>
      <c r="M14" s="62">
        <f>K14-G14</f>
        <v>3.6399999999999988</v>
      </c>
      <c r="N14" s="63">
        <f>M14/G14</f>
        <v>0.28129829984544041</v>
      </c>
    </row>
    <row r="15" spans="1:18" ht="14.25" x14ac:dyDescent="0.2">
      <c r="A15" s="53" t="s">
        <v>29</v>
      </c>
      <c r="B15" s="53"/>
      <c r="C15" s="54"/>
      <c r="D15" s="55"/>
      <c r="E15" s="64">
        <v>1.52E-2</v>
      </c>
      <c r="F15" s="65">
        <f>+E5</f>
        <v>364</v>
      </c>
      <c r="G15" s="58">
        <f>E15*F15</f>
        <v>5.5327999999999999</v>
      </c>
      <c r="H15" s="59"/>
      <c r="I15" s="64">
        <v>1.1599999999999999E-2</v>
      </c>
      <c r="J15" s="66">
        <f>+F15</f>
        <v>364</v>
      </c>
      <c r="K15" s="58">
        <f>I15*J15</f>
        <v>4.2223999999999995</v>
      </c>
      <c r="L15" s="59"/>
      <c r="M15" s="62">
        <f t="shared" ref="M15:M36" si="0">K15-G15</f>
        <v>-1.3104000000000005</v>
      </c>
      <c r="N15" s="63">
        <f t="shared" ref="N15:N36" si="1">M15/G15</f>
        <v>-0.23684210526315799</v>
      </c>
      <c r="P15" s="230"/>
      <c r="Q15" s="230"/>
      <c r="R15" s="231"/>
    </row>
    <row r="16" spans="1:18" ht="14.25" x14ac:dyDescent="0.2">
      <c r="A16" s="204" t="s">
        <v>64</v>
      </c>
      <c r="B16" s="53"/>
      <c r="C16" s="54"/>
      <c r="D16" s="55"/>
      <c r="E16" s="64">
        <v>0</v>
      </c>
      <c r="F16" s="65">
        <v>0</v>
      </c>
      <c r="G16" s="58">
        <v>0</v>
      </c>
      <c r="H16" s="59"/>
      <c r="I16" s="64">
        <f>+ResidentialRPP!I16</f>
        <v>-0.11</v>
      </c>
      <c r="J16" s="66">
        <v>1</v>
      </c>
      <c r="K16" s="58">
        <f>+I16*J16</f>
        <v>-0.11</v>
      </c>
      <c r="L16" s="59"/>
      <c r="M16" s="62">
        <f t="shared" si="0"/>
        <v>-0.11</v>
      </c>
      <c r="N16" s="63" t="e">
        <f t="shared" si="1"/>
        <v>#DIV/0!</v>
      </c>
      <c r="R16" s="232"/>
    </row>
    <row r="17" spans="1:16" ht="14.25" x14ac:dyDescent="0.2">
      <c r="A17" s="91" t="s">
        <v>57</v>
      </c>
      <c r="B17" s="92"/>
      <c r="C17" s="93"/>
      <c r="D17" s="94"/>
      <c r="E17" s="97">
        <v>-0.04</v>
      </c>
      <c r="F17" s="95">
        <v>1</v>
      </c>
      <c r="G17" s="58">
        <f>E17*F17</f>
        <v>-0.04</v>
      </c>
      <c r="H17" s="86"/>
      <c r="I17" s="97">
        <v>0</v>
      </c>
      <c r="J17" s="95">
        <v>1</v>
      </c>
      <c r="K17" s="58">
        <f>I17*J17</f>
        <v>0</v>
      </c>
      <c r="L17" s="96"/>
      <c r="M17" s="62">
        <f t="shared" si="0"/>
        <v>0.04</v>
      </c>
      <c r="N17" s="63">
        <f>IFERROR(M17/G17,"")</f>
        <v>-1</v>
      </c>
    </row>
    <row r="18" spans="1:16" ht="14.25" x14ac:dyDescent="0.2">
      <c r="A18" s="91" t="s">
        <v>58</v>
      </c>
      <c r="B18" s="92"/>
      <c r="C18" s="93"/>
      <c r="D18" s="94"/>
      <c r="E18" s="97">
        <v>1.17</v>
      </c>
      <c r="F18" s="95">
        <v>1</v>
      </c>
      <c r="G18" s="58">
        <f>+E18*F18</f>
        <v>1.17</v>
      </c>
      <c r="H18" s="86"/>
      <c r="I18" s="97">
        <v>0</v>
      </c>
      <c r="J18" s="95">
        <v>1</v>
      </c>
      <c r="K18" s="58">
        <f>I18*J18</f>
        <v>0</v>
      </c>
      <c r="L18" s="96"/>
      <c r="M18" s="62">
        <f t="shared" si="0"/>
        <v>-1.17</v>
      </c>
      <c r="N18" s="63">
        <f>IFERROR(M18/G18, "")</f>
        <v>-1</v>
      </c>
    </row>
    <row r="19" spans="1:16" ht="14.25" x14ac:dyDescent="0.2">
      <c r="A19" s="69" t="s">
        <v>31</v>
      </c>
      <c r="B19" s="70"/>
      <c r="C19" s="71"/>
      <c r="D19" s="72"/>
      <c r="E19" s="73">
        <v>-2.0000000000000001E-4</v>
      </c>
      <c r="F19" s="74">
        <f>+E5</f>
        <v>364</v>
      </c>
      <c r="G19" s="75">
        <f>E19*F19</f>
        <v>-7.2800000000000004E-2</v>
      </c>
      <c r="H19" s="76"/>
      <c r="I19" s="73">
        <f>+ResidentialRPP!I19</f>
        <v>0</v>
      </c>
      <c r="J19" s="66">
        <f>+F19</f>
        <v>364</v>
      </c>
      <c r="K19" s="75">
        <f>I19*J19</f>
        <v>0</v>
      </c>
      <c r="L19" s="76"/>
      <c r="M19" s="78">
        <f t="shared" si="0"/>
        <v>7.2800000000000004E-2</v>
      </c>
      <c r="N19" s="79">
        <f>-M19/G19</f>
        <v>1</v>
      </c>
    </row>
    <row r="20" spans="1:16" ht="15" x14ac:dyDescent="0.2">
      <c r="A20" s="80" t="s">
        <v>32</v>
      </c>
      <c r="B20" s="81"/>
      <c r="C20" s="81"/>
      <c r="D20" s="82"/>
      <c r="E20" s="83"/>
      <c r="F20" s="84"/>
      <c r="G20" s="85">
        <f>SUM(G14:G19)</f>
        <v>19.53</v>
      </c>
      <c r="H20" s="86"/>
      <c r="I20" s="83"/>
      <c r="J20" s="87"/>
      <c r="K20" s="85">
        <f>SUM(K14:K19)</f>
        <v>20.692399999999999</v>
      </c>
      <c r="L20" s="88"/>
      <c r="M20" s="89">
        <f t="shared" si="0"/>
        <v>1.1623999999999981</v>
      </c>
      <c r="N20" s="90">
        <f t="shared" si="1"/>
        <v>5.9518689196108449E-2</v>
      </c>
    </row>
    <row r="21" spans="1:16" ht="14.25" x14ac:dyDescent="0.2">
      <c r="A21" s="208" t="s">
        <v>33</v>
      </c>
      <c r="B21" s="92"/>
      <c r="C21" s="93"/>
      <c r="D21" s="94"/>
      <c r="E21" s="64">
        <v>8.3919999999999995E-2</v>
      </c>
      <c r="F21" s="95">
        <f>+E5*0.0602</f>
        <v>21.912799999999997</v>
      </c>
      <c r="G21" s="58">
        <f>E21*F21</f>
        <v>1.8389221759999996</v>
      </c>
      <c r="H21" s="86"/>
      <c r="I21" s="64">
        <v>8.3919999999999995E-2</v>
      </c>
      <c r="J21" s="66">
        <f t="shared" ref="J21:J23" si="2">+F21</f>
        <v>21.912799999999997</v>
      </c>
      <c r="K21" s="58">
        <f t="shared" ref="K21:K24" si="3">I21*J21</f>
        <v>1.8389221759999996</v>
      </c>
      <c r="L21" s="96"/>
      <c r="M21" s="62">
        <f t="shared" si="0"/>
        <v>0</v>
      </c>
      <c r="N21" s="63">
        <f t="shared" si="1"/>
        <v>0</v>
      </c>
    </row>
    <row r="22" spans="1:16" ht="14.25" x14ac:dyDescent="0.2">
      <c r="A22" s="208" t="s">
        <v>34</v>
      </c>
      <c r="B22" s="92"/>
      <c r="C22" s="93"/>
      <c r="D22" s="94"/>
      <c r="E22" s="97">
        <v>-8.8999999999999999E-3</v>
      </c>
      <c r="F22" s="95">
        <f>+E5</f>
        <v>364</v>
      </c>
      <c r="G22" s="58">
        <f>E22*F22</f>
        <v>-3.2395999999999998</v>
      </c>
      <c r="H22" s="86"/>
      <c r="I22" s="202">
        <f>-0.0023</f>
        <v>-2.3E-3</v>
      </c>
      <c r="J22" s="66">
        <f t="shared" si="2"/>
        <v>364</v>
      </c>
      <c r="K22" s="58">
        <f t="shared" si="3"/>
        <v>-0.83719999999999994</v>
      </c>
      <c r="L22" s="96"/>
      <c r="M22" s="62">
        <f t="shared" si="0"/>
        <v>2.4024000000000001</v>
      </c>
      <c r="N22" s="63">
        <f>IFERROR(M22/G22, "")</f>
        <v>-0.7415730337078652</v>
      </c>
    </row>
    <row r="23" spans="1:16" ht="14.25" x14ac:dyDescent="0.2">
      <c r="A23" s="98" t="s">
        <v>35</v>
      </c>
      <c r="B23" s="92"/>
      <c r="C23" s="93"/>
      <c r="D23" s="94"/>
      <c r="E23" s="64">
        <v>1E-3</v>
      </c>
      <c r="F23" s="95">
        <f>+E5</f>
        <v>364</v>
      </c>
      <c r="G23" s="58">
        <f>E23*F23</f>
        <v>0.36399999999999999</v>
      </c>
      <c r="H23" s="86"/>
      <c r="I23" s="64">
        <v>1E-3</v>
      </c>
      <c r="J23" s="66">
        <f t="shared" si="2"/>
        <v>364</v>
      </c>
      <c r="K23" s="58">
        <f t="shared" si="3"/>
        <v>0.36399999999999999</v>
      </c>
      <c r="L23" s="96"/>
      <c r="M23" s="62">
        <f t="shared" si="0"/>
        <v>0</v>
      </c>
      <c r="N23" s="63">
        <f t="shared" si="1"/>
        <v>0</v>
      </c>
    </row>
    <row r="24" spans="1:16" ht="14.25" x14ac:dyDescent="0.2">
      <c r="A24" s="98" t="s">
        <v>36</v>
      </c>
      <c r="B24" s="92"/>
      <c r="C24" s="93"/>
      <c r="D24" s="94"/>
      <c r="E24" s="64">
        <v>0.79</v>
      </c>
      <c r="F24" s="95">
        <v>1</v>
      </c>
      <c r="G24" s="58">
        <f>E24*F24</f>
        <v>0.79</v>
      </c>
      <c r="H24" s="86"/>
      <c r="I24" s="64">
        <v>0.79</v>
      </c>
      <c r="J24" s="95">
        <v>1</v>
      </c>
      <c r="K24" s="58">
        <f t="shared" si="3"/>
        <v>0.79</v>
      </c>
      <c r="L24" s="96"/>
      <c r="M24" s="62">
        <f t="shared" si="0"/>
        <v>0</v>
      </c>
      <c r="N24" s="63">
        <f t="shared" si="1"/>
        <v>0</v>
      </c>
    </row>
    <row r="25" spans="1:16" ht="33.75" customHeight="1" x14ac:dyDescent="0.2">
      <c r="A25" s="206" t="s">
        <v>37</v>
      </c>
      <c r="B25" s="100"/>
      <c r="C25" s="100"/>
      <c r="D25" s="101"/>
      <c r="E25" s="102"/>
      <c r="F25" s="102"/>
      <c r="G25" s="103">
        <f>SUM(G20:G24)</f>
        <v>19.283322176000002</v>
      </c>
      <c r="H25" s="86"/>
      <c r="I25" s="102"/>
      <c r="J25" s="104"/>
      <c r="K25" s="103">
        <f>SUM(K20:K24)</f>
        <v>22.848122176</v>
      </c>
      <c r="L25" s="88"/>
      <c r="M25" s="105">
        <f t="shared" si="0"/>
        <v>3.5647999999999982</v>
      </c>
      <c r="N25" s="106">
        <f t="shared" si="1"/>
        <v>0.18486441119760699</v>
      </c>
    </row>
    <row r="26" spans="1:16" ht="14.25" x14ac:dyDescent="0.2">
      <c r="A26" s="107" t="s">
        <v>38</v>
      </c>
      <c r="B26" s="107"/>
      <c r="C26" s="108"/>
      <c r="D26" s="109"/>
      <c r="E26" s="64">
        <v>7.1000000000000004E-3</v>
      </c>
      <c r="F26" s="110">
        <f>+F15+F21</f>
        <v>385.9128</v>
      </c>
      <c r="G26" s="58">
        <f>E26*F26</f>
        <v>2.7399808800000001</v>
      </c>
      <c r="H26" s="86"/>
      <c r="I26" s="64">
        <f>+ResidentialRPP!I26</f>
        <v>5.1999999999999998E-3</v>
      </c>
      <c r="J26" s="111">
        <f>+F26</f>
        <v>385.9128</v>
      </c>
      <c r="K26" s="58">
        <f>I26*J26</f>
        <v>2.0067465599999998</v>
      </c>
      <c r="L26" s="96"/>
      <c r="M26" s="62">
        <f t="shared" si="0"/>
        <v>-0.73323432000000022</v>
      </c>
      <c r="N26" s="63">
        <f t="shared" si="1"/>
        <v>-0.26760563380281699</v>
      </c>
    </row>
    <row r="27" spans="1:16" ht="21.75" customHeight="1" x14ac:dyDescent="0.2">
      <c r="A27" s="253" t="s">
        <v>39</v>
      </c>
      <c r="B27" s="253"/>
      <c r="C27" s="253"/>
      <c r="D27" s="109"/>
      <c r="E27" s="64">
        <v>3.3999999999999998E-3</v>
      </c>
      <c r="F27" s="110">
        <f>+F26</f>
        <v>385.9128</v>
      </c>
      <c r="G27" s="58">
        <f>E27*F27</f>
        <v>1.31210352</v>
      </c>
      <c r="H27" s="86"/>
      <c r="I27" s="64">
        <f>+ResidentialRPP!I27</f>
        <v>3.3999999999999998E-3</v>
      </c>
      <c r="J27" s="111">
        <f>+F27</f>
        <v>385.9128</v>
      </c>
      <c r="K27" s="58">
        <f>I27*J27</f>
        <v>1.31210352</v>
      </c>
      <c r="L27" s="96"/>
      <c r="M27" s="62">
        <f t="shared" si="0"/>
        <v>0</v>
      </c>
      <c r="N27" s="63">
        <f t="shared" si="1"/>
        <v>0</v>
      </c>
    </row>
    <row r="28" spans="1:16" ht="15" x14ac:dyDescent="0.2">
      <c r="A28" s="206" t="s">
        <v>40</v>
      </c>
      <c r="B28" s="112"/>
      <c r="C28" s="112"/>
      <c r="D28" s="113"/>
      <c r="E28" s="102"/>
      <c r="F28" s="102"/>
      <c r="G28" s="103">
        <f>SUM(G25:G27)</f>
        <v>23.335406576000004</v>
      </c>
      <c r="H28" s="114"/>
      <c r="I28" s="115"/>
      <c r="J28" s="116"/>
      <c r="K28" s="103">
        <f>SUM(K25:K27)</f>
        <v>26.166972256000001</v>
      </c>
      <c r="L28" s="117"/>
      <c r="M28" s="105">
        <f t="shared" si="0"/>
        <v>2.8315656799999971</v>
      </c>
      <c r="N28" s="106">
        <f t="shared" si="1"/>
        <v>0.12134203322226257</v>
      </c>
      <c r="P28" s="232"/>
    </row>
    <row r="29" spans="1:16" ht="14.25" x14ac:dyDescent="0.2">
      <c r="A29" s="92" t="s">
        <v>41</v>
      </c>
      <c r="B29" s="92"/>
      <c r="C29" s="93"/>
      <c r="D29" s="94"/>
      <c r="E29" s="119">
        <v>3.5999999999999999E-3</v>
      </c>
      <c r="F29" s="110">
        <f>+F27</f>
        <v>385.9128</v>
      </c>
      <c r="G29" s="120">
        <f t="shared" ref="G29:G36" si="4">E29*F29</f>
        <v>1.38928608</v>
      </c>
      <c r="H29" s="96"/>
      <c r="I29" s="119">
        <v>3.5999999999999999E-3</v>
      </c>
      <c r="J29" s="111">
        <f>+F29</f>
        <v>385.9128</v>
      </c>
      <c r="K29" s="120">
        <f t="shared" ref="K29:K35" si="5">I29*J29</f>
        <v>1.38928608</v>
      </c>
      <c r="L29" s="96"/>
      <c r="M29" s="62">
        <f t="shared" si="0"/>
        <v>0</v>
      </c>
      <c r="N29" s="121">
        <f t="shared" si="1"/>
        <v>0</v>
      </c>
      <c r="P29" s="234">
        <f>+M28/K42</f>
        <v>3.8017854149562838E-2</v>
      </c>
    </row>
    <row r="30" spans="1:16" ht="14.25" x14ac:dyDescent="0.2">
      <c r="A30" s="92" t="s">
        <v>42</v>
      </c>
      <c r="B30" s="92"/>
      <c r="C30" s="93"/>
      <c r="D30" s="94"/>
      <c r="E30" s="119">
        <v>1.2999999999999999E-3</v>
      </c>
      <c r="F30" s="110">
        <f>+F27</f>
        <v>385.9128</v>
      </c>
      <c r="G30" s="120">
        <f t="shared" si="4"/>
        <v>0.50168663999999996</v>
      </c>
      <c r="H30" s="96"/>
      <c r="I30" s="119">
        <v>1.2999999999999999E-3</v>
      </c>
      <c r="J30" s="111">
        <f>+F30</f>
        <v>385.9128</v>
      </c>
      <c r="K30" s="120">
        <f t="shared" si="5"/>
        <v>0.50168663999999996</v>
      </c>
      <c r="L30" s="96"/>
      <c r="M30" s="62">
        <f t="shared" si="0"/>
        <v>0</v>
      </c>
      <c r="N30" s="121">
        <f t="shared" si="1"/>
        <v>0</v>
      </c>
    </row>
    <row r="31" spans="1:16" ht="14.25" x14ac:dyDescent="0.2">
      <c r="A31" s="92" t="s">
        <v>43</v>
      </c>
      <c r="B31" s="92"/>
      <c r="C31" s="93"/>
      <c r="D31" s="94"/>
      <c r="E31" s="119">
        <v>0.25</v>
      </c>
      <c r="F31" s="110">
        <v>1</v>
      </c>
      <c r="G31" s="120">
        <f t="shared" si="4"/>
        <v>0.25</v>
      </c>
      <c r="H31" s="96"/>
      <c r="I31" s="119">
        <v>0.25</v>
      </c>
      <c r="J31" s="111">
        <v>1</v>
      </c>
      <c r="K31" s="120">
        <f t="shared" si="5"/>
        <v>0.25</v>
      </c>
      <c r="L31" s="96"/>
      <c r="M31" s="62">
        <f t="shared" si="0"/>
        <v>0</v>
      </c>
      <c r="N31" s="121">
        <f t="shared" si="1"/>
        <v>0</v>
      </c>
    </row>
    <row r="32" spans="1:16" ht="14.25" x14ac:dyDescent="0.2">
      <c r="A32" s="92"/>
      <c r="B32" s="92"/>
      <c r="C32" s="93"/>
      <c r="D32" s="94"/>
      <c r="E32" s="119"/>
      <c r="F32" s="110"/>
      <c r="G32" s="120"/>
      <c r="H32" s="96"/>
      <c r="I32" s="119"/>
      <c r="J32" s="111"/>
      <c r="K32" s="120"/>
      <c r="L32" s="96"/>
      <c r="M32" s="62"/>
      <c r="N32" s="121"/>
    </row>
    <row r="33" spans="1:14" ht="23.25" customHeight="1" x14ac:dyDescent="0.2">
      <c r="A33" s="254" t="s">
        <v>86</v>
      </c>
      <c r="B33" s="255"/>
      <c r="C33" s="255"/>
      <c r="D33" s="256"/>
      <c r="E33" s="119">
        <v>1.1000000000000001E-3</v>
      </c>
      <c r="F33" s="110">
        <f>+F30</f>
        <v>385.9128</v>
      </c>
      <c r="G33" s="120">
        <f>+F33*E33</f>
        <v>0.42450408000000001</v>
      </c>
      <c r="H33" s="96"/>
      <c r="I33" s="119">
        <v>1.1000000000000001E-3</v>
      </c>
      <c r="J33" s="110">
        <f>+J30</f>
        <v>385.9128</v>
      </c>
      <c r="K33" s="120">
        <f>+J33*I33</f>
        <v>0.42450408000000001</v>
      </c>
      <c r="L33" s="96"/>
      <c r="M33" s="62">
        <f>K33-G33</f>
        <v>0</v>
      </c>
      <c r="N33" s="121">
        <f>M33/G33</f>
        <v>0</v>
      </c>
    </row>
    <row r="34" spans="1:14" ht="14.25" x14ac:dyDescent="0.2">
      <c r="A34" s="98" t="s">
        <v>45</v>
      </c>
      <c r="B34" s="92"/>
      <c r="C34" s="93"/>
      <c r="D34" s="94"/>
      <c r="E34" s="122">
        <v>0.08</v>
      </c>
      <c r="F34" s="110">
        <f>+E5*0.64</f>
        <v>232.96</v>
      </c>
      <c r="G34" s="120">
        <f t="shared" si="4"/>
        <v>18.636800000000001</v>
      </c>
      <c r="H34" s="96"/>
      <c r="I34" s="119">
        <v>0.08</v>
      </c>
      <c r="J34" s="111">
        <f>+F34</f>
        <v>232.96</v>
      </c>
      <c r="K34" s="120">
        <f t="shared" si="5"/>
        <v>18.636800000000001</v>
      </c>
      <c r="L34" s="96"/>
      <c r="M34" s="62">
        <f t="shared" si="0"/>
        <v>0</v>
      </c>
      <c r="N34" s="121">
        <f t="shared" si="1"/>
        <v>0</v>
      </c>
    </row>
    <row r="35" spans="1:14" ht="14.25" x14ac:dyDescent="0.2">
      <c r="A35" s="98" t="s">
        <v>46</v>
      </c>
      <c r="B35" s="92"/>
      <c r="C35" s="93"/>
      <c r="D35" s="94"/>
      <c r="E35" s="122">
        <v>0.122</v>
      </c>
      <c r="F35" s="110">
        <f>+E5*0.18</f>
        <v>65.52</v>
      </c>
      <c r="G35" s="120">
        <f t="shared" si="4"/>
        <v>7.9934399999999997</v>
      </c>
      <c r="H35" s="96"/>
      <c r="I35" s="119">
        <v>0.122</v>
      </c>
      <c r="J35" s="111">
        <f>+F35</f>
        <v>65.52</v>
      </c>
      <c r="K35" s="120">
        <f t="shared" si="5"/>
        <v>7.9934399999999997</v>
      </c>
      <c r="L35" s="96"/>
      <c r="M35" s="62">
        <f t="shared" si="0"/>
        <v>0</v>
      </c>
      <c r="N35" s="121">
        <f t="shared" si="1"/>
        <v>0</v>
      </c>
    </row>
    <row r="36" spans="1:14" ht="15" thickBot="1" x14ac:dyDescent="0.25">
      <c r="A36" s="45" t="s">
        <v>47</v>
      </c>
      <c r="B36" s="92"/>
      <c r="C36" s="93"/>
      <c r="D36" s="94"/>
      <c r="E36" s="122">
        <v>0.161</v>
      </c>
      <c r="F36" s="110">
        <f>+E5-F34-F35</f>
        <v>65.52</v>
      </c>
      <c r="G36" s="120">
        <f t="shared" si="4"/>
        <v>10.548719999999999</v>
      </c>
      <c r="H36" s="96"/>
      <c r="I36" s="119">
        <v>0.161</v>
      </c>
      <c r="J36" s="111">
        <f>+F36</f>
        <v>65.52</v>
      </c>
      <c r="K36" s="120">
        <f>I36*J36</f>
        <v>10.548719999999999</v>
      </c>
      <c r="L36" s="96"/>
      <c r="M36" s="62">
        <f t="shared" si="0"/>
        <v>0</v>
      </c>
      <c r="N36" s="121">
        <f t="shared" si="1"/>
        <v>0</v>
      </c>
    </row>
    <row r="37" spans="1:14" ht="15" thickBot="1" x14ac:dyDescent="0.25">
      <c r="A37" s="123"/>
      <c r="B37" s="124"/>
      <c r="C37" s="124"/>
      <c r="D37" s="125"/>
      <c r="E37" s="126"/>
      <c r="F37" s="127"/>
      <c r="G37" s="128"/>
      <c r="H37" s="129"/>
      <c r="I37" s="126"/>
      <c r="J37" s="130"/>
      <c r="K37" s="128"/>
      <c r="L37" s="129"/>
      <c r="M37" s="131"/>
      <c r="N37" s="132"/>
    </row>
    <row r="38" spans="1:14" ht="15" x14ac:dyDescent="0.2">
      <c r="A38" s="133" t="s">
        <v>48</v>
      </c>
      <c r="B38" s="92"/>
      <c r="C38" s="92"/>
      <c r="D38" s="134"/>
      <c r="E38" s="135"/>
      <c r="F38" s="136"/>
      <c r="G38" s="137">
        <f>SUM(G28:G37)</f>
        <v>63.079843375999999</v>
      </c>
      <c r="H38" s="138"/>
      <c r="I38" s="139"/>
      <c r="J38" s="139"/>
      <c r="K38" s="140">
        <f>SUM(K28:K37)</f>
        <v>65.911409055999997</v>
      </c>
      <c r="L38" s="141"/>
      <c r="M38" s="142">
        <f>K38-G38</f>
        <v>2.8315656799999971</v>
      </c>
      <c r="N38" s="143">
        <f>M38/G38</f>
        <v>4.4888597188199798E-2</v>
      </c>
    </row>
    <row r="39" spans="1:14" ht="14.25" x14ac:dyDescent="0.2">
      <c r="A39" s="144" t="s">
        <v>49</v>
      </c>
      <c r="B39" s="92"/>
      <c r="C39" s="92"/>
      <c r="D39" s="134"/>
      <c r="E39" s="135">
        <v>0.13</v>
      </c>
      <c r="F39" s="145"/>
      <c r="G39" s="146">
        <f>G38*E39</f>
        <v>8.2003796388799994</v>
      </c>
      <c r="H39" s="147"/>
      <c r="I39" s="135">
        <v>0.13</v>
      </c>
      <c r="J39" s="147"/>
      <c r="K39" s="148">
        <f>K38*I39</f>
        <v>8.5684831772799992</v>
      </c>
      <c r="L39" s="149"/>
      <c r="M39" s="150">
        <f>K39-G39</f>
        <v>0.36810353839999976</v>
      </c>
      <c r="N39" s="151">
        <f>M39/G39</f>
        <v>4.4888597188199819E-2</v>
      </c>
    </row>
    <row r="40" spans="1:14" ht="14.25" x14ac:dyDescent="0.2">
      <c r="A40" s="207" t="s">
        <v>50</v>
      </c>
      <c r="B40" s="92"/>
      <c r="C40" s="92"/>
      <c r="D40" s="134"/>
      <c r="E40" s="147"/>
      <c r="F40" s="145"/>
      <c r="G40" s="146">
        <f>SUM(G38:G39)</f>
        <v>71.280223014879994</v>
      </c>
      <c r="H40" s="147"/>
      <c r="I40" s="147"/>
      <c r="J40" s="147"/>
      <c r="K40" s="148">
        <f>SUM(K38:K39)</f>
        <v>74.479892233279998</v>
      </c>
      <c r="L40" s="149"/>
      <c r="M40" s="150">
        <f>K40-G40</f>
        <v>3.199669218400004</v>
      </c>
      <c r="N40" s="151">
        <f>M40/G40</f>
        <v>4.4888597188199902E-2</v>
      </c>
    </row>
    <row r="41" spans="1:14" ht="14.25" x14ac:dyDescent="0.2">
      <c r="A41" s="252"/>
      <c r="B41" s="252"/>
      <c r="C41" s="252"/>
      <c r="D41" s="134"/>
      <c r="E41" s="147"/>
      <c r="F41" s="145"/>
      <c r="G41" s="153"/>
      <c r="H41" s="147"/>
      <c r="I41" s="147"/>
      <c r="J41" s="147"/>
      <c r="K41" s="154"/>
      <c r="L41" s="149"/>
      <c r="M41" s="155"/>
      <c r="N41" s="156"/>
    </row>
    <row r="42" spans="1:14" ht="15.75" thickBot="1" x14ac:dyDescent="0.25">
      <c r="A42" s="245" t="s">
        <v>51</v>
      </c>
      <c r="B42" s="245"/>
      <c r="C42" s="245"/>
      <c r="D42" s="157"/>
      <c r="E42" s="158"/>
      <c r="F42" s="159"/>
      <c r="G42" s="160">
        <f>SUM(G40:G41)</f>
        <v>71.280223014879994</v>
      </c>
      <c r="H42" s="161"/>
      <c r="I42" s="161"/>
      <c r="J42" s="161"/>
      <c r="K42" s="162">
        <f>SUM(K40:K41)</f>
        <v>74.479892233279998</v>
      </c>
      <c r="L42" s="163"/>
      <c r="M42" s="89">
        <f>K42-G42</f>
        <v>3.199669218400004</v>
      </c>
      <c r="N42" s="90">
        <f>M42/G42</f>
        <v>4.4888597188199902E-2</v>
      </c>
    </row>
    <row r="43" spans="1:14" ht="13.5" thickBot="1" x14ac:dyDescent="0.25">
      <c r="A43" s="123"/>
      <c r="B43" s="124"/>
      <c r="C43" s="124"/>
      <c r="D43" s="125"/>
      <c r="E43" s="164"/>
      <c r="F43" s="165"/>
      <c r="G43" s="166"/>
      <c r="H43" s="167"/>
      <c r="I43" s="164"/>
      <c r="J43" s="167"/>
      <c r="K43" s="168"/>
      <c r="L43" s="165"/>
      <c r="M43" s="169"/>
      <c r="N43" s="170"/>
    </row>
  </sheetData>
  <mergeCells count="12">
    <mergeCell ref="A41:C41"/>
    <mergeCell ref="A42:C42"/>
    <mergeCell ref="C1:K1"/>
    <mergeCell ref="E9:J9"/>
    <mergeCell ref="E11:G11"/>
    <mergeCell ref="I11:K11"/>
    <mergeCell ref="A33:D33"/>
    <mergeCell ref="M11:N11"/>
    <mergeCell ref="C12:C13"/>
    <mergeCell ref="M12:M13"/>
    <mergeCell ref="N12:N13"/>
    <mergeCell ref="A27:C27"/>
  </mergeCells>
  <dataValidations count="3">
    <dataValidation showDropDown="1" showInputMessage="1" showErrorMessage="1" prompt="Select Charge Unit - monthly, per kWh, per kW" sqref="C26 C22:C24 C14:C19 C29:C30 C31:C32 C34:C36"/>
    <dataValidation type="list" allowBlank="1" showInputMessage="1" showErrorMessage="1" prompt="Select Charge Unit - monthly, per kWh, per kW" sqref="C37 C43">
      <formula1>"Monthly, per kWh, per kW"</formula1>
    </dataValidation>
    <dataValidation type="list" allowBlank="1" showInputMessage="1" showErrorMessage="1" sqref="D26:D27 D43 D22:D24 D14:D19 D29:D30 D31:D32 D34:D37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N46"/>
  <sheetViews>
    <sheetView topLeftCell="A4" workbookViewId="0">
      <selection activeCell="I26" sqref="I26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5.57031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8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40" t="s">
        <v>80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33.869999999999997</v>
      </c>
      <c r="F14" s="147">
        <v>1</v>
      </c>
      <c r="G14" s="58">
        <f>E14*F14</f>
        <v>33.869999999999997</v>
      </c>
      <c r="H14" s="59"/>
      <c r="I14" s="172">
        <v>34.53</v>
      </c>
      <c r="J14" s="60">
        <v>1</v>
      </c>
      <c r="K14" s="61">
        <f>I14*J14</f>
        <v>34.53</v>
      </c>
      <c r="L14" s="59"/>
      <c r="M14" s="62">
        <f>K14-G14</f>
        <v>0.66000000000000369</v>
      </c>
      <c r="N14" s="63">
        <f>M14/G14</f>
        <v>1.9486271036315433E-2</v>
      </c>
    </row>
    <row r="15" spans="1:14" ht="14.25" x14ac:dyDescent="0.2">
      <c r="A15" s="53" t="s">
        <v>29</v>
      </c>
      <c r="B15" s="53"/>
      <c r="C15" s="54"/>
      <c r="D15" s="55"/>
      <c r="E15" s="64">
        <v>1.1599999999999999E-2</v>
      </c>
      <c r="F15" s="65">
        <v>2000</v>
      </c>
      <c r="G15" s="58">
        <f>E15*F15</f>
        <v>23.2</v>
      </c>
      <c r="H15" s="59"/>
      <c r="I15" s="64">
        <v>1.18E-2</v>
      </c>
      <c r="J15" s="66">
        <f>F15</f>
        <v>2000</v>
      </c>
      <c r="K15" s="58">
        <f>I15*J15</f>
        <v>23.599999999999998</v>
      </c>
      <c r="L15" s="59"/>
      <c r="M15" s="62">
        <f t="shared" ref="M15:M35" si="0">K15-G15</f>
        <v>0.39999999999999858</v>
      </c>
      <c r="N15" s="63">
        <f t="shared" ref="N15:N35" si="1">M15/G15</f>
        <v>1.7241379310344768E-2</v>
      </c>
    </row>
    <row r="16" spans="1:14" ht="14.25" x14ac:dyDescent="0.2">
      <c r="A16" s="67" t="s">
        <v>57</v>
      </c>
      <c r="B16" s="67"/>
      <c r="C16" s="54"/>
      <c r="D16" s="55"/>
      <c r="E16" s="68">
        <v>14.91</v>
      </c>
      <c r="F16" s="147">
        <v>1</v>
      </c>
      <c r="G16" s="58">
        <f>E16*F16</f>
        <v>14.91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>K16-G16</f>
        <v>-14.91</v>
      </c>
      <c r="N16" s="63">
        <f>IFERROR(M16/G16, "")</f>
        <v>-1</v>
      </c>
    </row>
    <row r="17" spans="1:14" ht="14.25" x14ac:dyDescent="0.2">
      <c r="A17" s="67" t="s">
        <v>58</v>
      </c>
      <c r="B17" s="67"/>
      <c r="C17" s="54"/>
      <c r="D17" s="55"/>
      <c r="E17" s="68">
        <v>3.78</v>
      </c>
      <c r="F17" s="147">
        <v>1</v>
      </c>
      <c r="G17" s="58">
        <f>E17*F17</f>
        <v>3.78</v>
      </c>
      <c r="H17" s="59"/>
      <c r="I17" s="68">
        <v>0</v>
      </c>
      <c r="J17" s="60">
        <v>1</v>
      </c>
      <c r="K17" s="61">
        <f>I17*J17</f>
        <v>0</v>
      </c>
      <c r="L17" s="59"/>
      <c r="M17" s="62">
        <f t="shared" ref="M17" si="2">K17-G17</f>
        <v>-3.78</v>
      </c>
      <c r="N17" s="63">
        <f>IFERROR(M17/G17, "")</f>
        <v>-1</v>
      </c>
    </row>
    <row r="18" spans="1:14" ht="14.25" x14ac:dyDescent="0.2">
      <c r="A18" s="69" t="s">
        <v>31</v>
      </c>
      <c r="B18" s="70"/>
      <c r="C18" s="71"/>
      <c r="D18" s="72"/>
      <c r="E18" s="173">
        <v>-1E-4</v>
      </c>
      <c r="F18" s="74">
        <v>2000</v>
      </c>
      <c r="G18" s="75">
        <f>E18*F18</f>
        <v>-0.2</v>
      </c>
      <c r="H18" s="76"/>
      <c r="I18" s="173">
        <v>-1E-4</v>
      </c>
      <c r="J18" s="77">
        <f>F18</f>
        <v>2000</v>
      </c>
      <c r="K18" s="75">
        <f>I18*J18</f>
        <v>-0.2</v>
      </c>
      <c r="L18" s="76"/>
      <c r="M18" s="78">
        <f t="shared" si="0"/>
        <v>0</v>
      </c>
      <c r="N18" s="79">
        <f t="shared" si="1"/>
        <v>0</v>
      </c>
    </row>
    <row r="19" spans="1:14" ht="15" x14ac:dyDescent="0.2">
      <c r="A19" s="80" t="s">
        <v>32</v>
      </c>
      <c r="B19" s="81"/>
      <c r="C19" s="81"/>
      <c r="D19" s="82"/>
      <c r="E19" s="83"/>
      <c r="F19" s="84"/>
      <c r="G19" s="174">
        <f>SUM(G14:G18)</f>
        <v>75.559999999999988</v>
      </c>
      <c r="H19" s="86"/>
      <c r="I19" s="83"/>
      <c r="J19" s="87"/>
      <c r="K19" s="174">
        <f>SUM(K14:K18)</f>
        <v>57.929999999999993</v>
      </c>
      <c r="L19" s="88"/>
      <c r="M19" s="89">
        <f t="shared" si="0"/>
        <v>-17.629999999999995</v>
      </c>
      <c r="N19" s="90">
        <f t="shared" si="1"/>
        <v>-0.23332451032292215</v>
      </c>
    </row>
    <row r="20" spans="1:14" ht="14.25" x14ac:dyDescent="0.2">
      <c r="A20" s="91" t="s">
        <v>33</v>
      </c>
      <c r="B20" s="92"/>
      <c r="C20" s="93"/>
      <c r="D20" s="94"/>
      <c r="E20" s="64">
        <f>E33*0.64+E34*0.18+E35*0.18</f>
        <v>0.10214000000000001</v>
      </c>
      <c r="F20" s="175">
        <f>E5*(E3-1)</f>
        <v>120.40000000000006</v>
      </c>
      <c r="G20" s="58">
        <f>E20*F20</f>
        <v>12.297656000000007</v>
      </c>
      <c r="H20" s="86"/>
      <c r="I20" s="64">
        <f>I33*0.64+I34*0.18+I35*0.18</f>
        <v>0.10214000000000001</v>
      </c>
      <c r="J20" s="175">
        <f>F20</f>
        <v>120.40000000000006</v>
      </c>
      <c r="K20" s="58">
        <f t="shared" ref="K20:K23" si="3">I20*J20</f>
        <v>12.297656000000007</v>
      </c>
      <c r="L20" s="96"/>
      <c r="M20" s="62">
        <f t="shared" si="0"/>
        <v>0</v>
      </c>
      <c r="N20" s="63">
        <f t="shared" si="1"/>
        <v>0</v>
      </c>
    </row>
    <row r="21" spans="1:14" ht="25.5" x14ac:dyDescent="0.2">
      <c r="A21" s="91" t="s">
        <v>34</v>
      </c>
      <c r="B21" s="92"/>
      <c r="C21" s="93"/>
      <c r="D21" s="94"/>
      <c r="E21" s="64">
        <v>-9.1000000000000004E-3</v>
      </c>
      <c r="F21" s="175">
        <v>2000</v>
      </c>
      <c r="G21" s="58">
        <f>E21*F21</f>
        <v>-18.2</v>
      </c>
      <c r="H21" s="86"/>
      <c r="I21" s="64">
        <f>-0.0023</f>
        <v>-2.3E-3</v>
      </c>
      <c r="J21" s="175">
        <f>F21</f>
        <v>2000</v>
      </c>
      <c r="K21" s="58">
        <f t="shared" si="3"/>
        <v>-4.5999999999999996</v>
      </c>
      <c r="L21" s="96"/>
      <c r="M21" s="62">
        <f t="shared" si="0"/>
        <v>13.6</v>
      </c>
      <c r="N21" s="63">
        <f>IFERROR(M21/G21, "")</f>
        <v>-0.74725274725274726</v>
      </c>
    </row>
    <row r="22" spans="1:14" ht="14.25" x14ac:dyDescent="0.2">
      <c r="A22" s="98" t="s">
        <v>35</v>
      </c>
      <c r="B22" s="92"/>
      <c r="C22" s="93"/>
      <c r="D22" s="94"/>
      <c r="E22" s="64">
        <v>1E-3</v>
      </c>
      <c r="F22" s="175">
        <v>2000</v>
      </c>
      <c r="G22" s="58">
        <f>E22*F22</f>
        <v>2</v>
      </c>
      <c r="H22" s="86"/>
      <c r="I22" s="64">
        <v>1E-3</v>
      </c>
      <c r="J22" s="175">
        <f>F22</f>
        <v>2000</v>
      </c>
      <c r="K22" s="58">
        <f t="shared" si="3"/>
        <v>2</v>
      </c>
      <c r="L22" s="96"/>
      <c r="M22" s="62">
        <f t="shared" si="0"/>
        <v>0</v>
      </c>
      <c r="N22" s="63">
        <f t="shared" si="1"/>
        <v>0</v>
      </c>
    </row>
    <row r="23" spans="1:14" ht="14.25" x14ac:dyDescent="0.2">
      <c r="A23" s="98" t="s">
        <v>36</v>
      </c>
      <c r="B23" s="92"/>
      <c r="C23" s="93"/>
      <c r="D23" s="94"/>
      <c r="E23" s="64">
        <v>0.79</v>
      </c>
      <c r="F23" s="175">
        <v>1</v>
      </c>
      <c r="G23" s="58">
        <f>E23*F23</f>
        <v>0.79</v>
      </c>
      <c r="H23" s="86"/>
      <c r="I23" s="64">
        <v>0.79</v>
      </c>
      <c r="J23" s="175">
        <f>F23</f>
        <v>1</v>
      </c>
      <c r="K23" s="58">
        <f t="shared" si="3"/>
        <v>0.79</v>
      </c>
      <c r="L23" s="96"/>
      <c r="M23" s="62">
        <f t="shared" si="0"/>
        <v>0</v>
      </c>
      <c r="N23" s="63">
        <f t="shared" si="1"/>
        <v>0</v>
      </c>
    </row>
    <row r="24" spans="1:14" ht="25.5" x14ac:dyDescent="0.2">
      <c r="A24" s="99" t="s">
        <v>37</v>
      </c>
      <c r="B24" s="100"/>
      <c r="C24" s="100"/>
      <c r="D24" s="101"/>
      <c r="E24" s="102"/>
      <c r="F24" s="102"/>
      <c r="G24" s="103">
        <f>SUM(G19:G23)</f>
        <v>72.447655999999995</v>
      </c>
      <c r="H24" s="86"/>
      <c r="I24" s="102"/>
      <c r="J24" s="104"/>
      <c r="K24" s="103">
        <f>SUM(K19:K23)</f>
        <v>68.417656000000008</v>
      </c>
      <c r="L24" s="88"/>
      <c r="M24" s="105">
        <f t="shared" si="0"/>
        <v>-4.0299999999999869</v>
      </c>
      <c r="N24" s="106">
        <f t="shared" si="1"/>
        <v>-5.5626368367252453E-2</v>
      </c>
    </row>
    <row r="25" spans="1:14" ht="33.75" customHeight="1" x14ac:dyDescent="0.2">
      <c r="A25" s="107" t="s">
        <v>38</v>
      </c>
      <c r="B25" s="107"/>
      <c r="C25" s="108"/>
      <c r="D25" s="109"/>
      <c r="E25" s="64">
        <v>6.1999999999999998E-3</v>
      </c>
      <c r="F25" s="176">
        <v>2120.4</v>
      </c>
      <c r="G25" s="58">
        <f>E25*F25</f>
        <v>13.14648</v>
      </c>
      <c r="H25" s="86"/>
      <c r="I25" s="64">
        <v>4.4999999999999997E-3</v>
      </c>
      <c r="J25" s="177">
        <f>F25</f>
        <v>2120.4</v>
      </c>
      <c r="K25" s="58">
        <f>I25*J25</f>
        <v>9.5418000000000003</v>
      </c>
      <c r="L25" s="96"/>
      <c r="M25" s="62">
        <f t="shared" si="0"/>
        <v>-3.6046800000000001</v>
      </c>
      <c r="N25" s="63">
        <f t="shared" si="1"/>
        <v>-0.27419354838709675</v>
      </c>
    </row>
    <row r="26" spans="1:14" ht="25.5" customHeight="1" x14ac:dyDescent="0.2">
      <c r="A26" s="253" t="s">
        <v>39</v>
      </c>
      <c r="B26" s="253"/>
      <c r="C26" s="253"/>
      <c r="D26" s="109"/>
      <c r="E26" s="64">
        <v>3.2000000000000002E-3</v>
      </c>
      <c r="F26" s="176">
        <v>2120.4</v>
      </c>
      <c r="G26" s="58">
        <f>E26*F26</f>
        <v>6.7852800000000002</v>
      </c>
      <c r="H26" s="86"/>
      <c r="I26" s="64">
        <v>3.2000000000000002E-3</v>
      </c>
      <c r="J26" s="177">
        <f>F26</f>
        <v>2120.4</v>
      </c>
      <c r="K26" s="58">
        <f>I26*J26</f>
        <v>6.7852800000000002</v>
      </c>
      <c r="L26" s="96"/>
      <c r="M26" s="62">
        <f t="shared" si="0"/>
        <v>0</v>
      </c>
      <c r="N26" s="63">
        <f t="shared" si="1"/>
        <v>0</v>
      </c>
    </row>
    <row r="27" spans="1:14" ht="21.75" customHeight="1" x14ac:dyDescent="0.2">
      <c r="A27" s="99" t="s">
        <v>40</v>
      </c>
      <c r="B27" s="112"/>
      <c r="C27" s="112"/>
      <c r="D27" s="113"/>
      <c r="E27" s="102"/>
      <c r="F27" s="102"/>
      <c r="G27" s="103">
        <f>SUM(G24:G26)</f>
        <v>92.379415999999992</v>
      </c>
      <c r="H27" s="114"/>
      <c r="I27" s="115"/>
      <c r="J27" s="116"/>
      <c r="K27" s="103">
        <f>SUM(K24:K26)</f>
        <v>84.744736000000003</v>
      </c>
      <c r="L27" s="117"/>
      <c r="M27" s="105">
        <f t="shared" si="0"/>
        <v>-7.6346799999999888</v>
      </c>
      <c r="N27" s="106">
        <f t="shared" si="1"/>
        <v>-8.264481775896905E-2</v>
      </c>
    </row>
    <row r="28" spans="1:14" ht="25.5" x14ac:dyDescent="0.2">
      <c r="A28" s="118" t="s">
        <v>41</v>
      </c>
      <c r="B28" s="92"/>
      <c r="C28" s="93"/>
      <c r="D28" s="94"/>
      <c r="E28" s="119">
        <v>3.5999999999999999E-3</v>
      </c>
      <c r="F28" s="176">
        <f>E5*E3</f>
        <v>2120.4</v>
      </c>
      <c r="G28" s="120">
        <f t="shared" ref="G28:G35" si="4">E28*F28</f>
        <v>7.6334400000000002</v>
      </c>
      <c r="H28" s="96"/>
      <c r="I28" s="119">
        <v>3.5999999999999999E-3</v>
      </c>
      <c r="J28" s="177">
        <f>E5*E3</f>
        <v>2120.4</v>
      </c>
      <c r="K28" s="120">
        <f t="shared" ref="K28:K34" si="5">I28*J28</f>
        <v>7.6334400000000002</v>
      </c>
      <c r="L28" s="96"/>
      <c r="M28" s="62">
        <f t="shared" si="0"/>
        <v>0</v>
      </c>
      <c r="N28" s="121">
        <f t="shared" si="1"/>
        <v>0</v>
      </c>
    </row>
    <row r="29" spans="1:14" ht="25.5" x14ac:dyDescent="0.2">
      <c r="A29" s="118" t="s">
        <v>42</v>
      </c>
      <c r="B29" s="92"/>
      <c r="C29" s="93"/>
      <c r="D29" s="94"/>
      <c r="E29" s="119">
        <v>1.2999999999999999E-3</v>
      </c>
      <c r="F29" s="176">
        <f>E5*E3</f>
        <v>2120.4</v>
      </c>
      <c r="G29" s="120">
        <f t="shared" si="4"/>
        <v>2.7565200000000001</v>
      </c>
      <c r="H29" s="96"/>
      <c r="I29" s="119">
        <v>1.2999999999999999E-3</v>
      </c>
      <c r="J29" s="177">
        <f>E5*E3</f>
        <v>2120.4</v>
      </c>
      <c r="K29" s="120">
        <f t="shared" si="5"/>
        <v>2.7565200000000001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43</v>
      </c>
      <c r="B30" s="92"/>
      <c r="C30" s="93"/>
      <c r="D30" s="94"/>
      <c r="E30" s="119">
        <v>0.25</v>
      </c>
      <c r="F30" s="176">
        <v>1</v>
      </c>
      <c r="G30" s="120">
        <f t="shared" si="4"/>
        <v>0.25</v>
      </c>
      <c r="H30" s="96"/>
      <c r="I30" s="119">
        <v>0.25</v>
      </c>
      <c r="J30" s="177">
        <v>1</v>
      </c>
      <c r="K30" s="120">
        <f t="shared" si="5"/>
        <v>0.25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2" t="s">
        <v>44</v>
      </c>
      <c r="B31" s="92"/>
      <c r="C31" s="93"/>
      <c r="D31" s="94"/>
      <c r="E31" s="119">
        <v>7.0000000000000001E-3</v>
      </c>
      <c r="F31" s="176">
        <f>E5</f>
        <v>2000</v>
      </c>
      <c r="G31" s="120">
        <f t="shared" si="4"/>
        <v>14</v>
      </c>
      <c r="H31" s="96"/>
      <c r="I31" s="119">
        <v>7.0000000000000001E-3</v>
      </c>
      <c r="J31" s="177">
        <f>E5</f>
        <v>2000</v>
      </c>
      <c r="K31" s="120">
        <f t="shared" si="5"/>
        <v>14</v>
      </c>
      <c r="L31" s="96"/>
      <c r="M31" s="62">
        <f t="shared" si="0"/>
        <v>0</v>
      </c>
      <c r="N31" s="121">
        <f t="shared" si="1"/>
        <v>0</v>
      </c>
    </row>
    <row r="32" spans="1:14" ht="25.5" x14ac:dyDescent="0.2">
      <c r="A32" s="233" t="s">
        <v>86</v>
      </c>
      <c r="B32" s="92"/>
      <c r="C32" s="93"/>
      <c r="D32" s="94"/>
      <c r="E32" s="119">
        <v>1.1000000000000001E-3</v>
      </c>
      <c r="F32" s="110">
        <f>+F29</f>
        <v>2120.4</v>
      </c>
      <c r="G32" s="120">
        <f>+F32*E32</f>
        <v>2.3324400000000001</v>
      </c>
      <c r="H32" s="96"/>
      <c r="I32" s="119">
        <v>1.1000000000000001E-3</v>
      </c>
      <c r="J32" s="110">
        <f>+J29</f>
        <v>2120.4</v>
      </c>
      <c r="K32" s="120">
        <f>+J32*I32</f>
        <v>2.3324400000000001</v>
      </c>
      <c r="L32" s="96"/>
      <c r="M32" s="62">
        <f>K32-G32</f>
        <v>0</v>
      </c>
      <c r="N32" s="121">
        <f>M32/G32</f>
        <v>0</v>
      </c>
    </row>
    <row r="33" spans="1:14" ht="14.25" x14ac:dyDescent="0.2">
      <c r="A33" s="98" t="s">
        <v>45</v>
      </c>
      <c r="B33" s="92"/>
      <c r="C33" s="93"/>
      <c r="D33" s="94"/>
      <c r="E33" s="122">
        <v>0.08</v>
      </c>
      <c r="F33" s="176">
        <v>1280</v>
      </c>
      <c r="G33" s="120">
        <f t="shared" si="4"/>
        <v>102.4</v>
      </c>
      <c r="H33" s="96"/>
      <c r="I33" s="119">
        <v>0.08</v>
      </c>
      <c r="J33" s="176">
        <f>F33</f>
        <v>1280</v>
      </c>
      <c r="K33" s="120">
        <f t="shared" si="5"/>
        <v>102.4</v>
      </c>
      <c r="L33" s="96"/>
      <c r="M33" s="62">
        <f t="shared" si="0"/>
        <v>0</v>
      </c>
      <c r="N33" s="121">
        <f t="shared" si="1"/>
        <v>0</v>
      </c>
    </row>
    <row r="34" spans="1:14" ht="14.25" x14ac:dyDescent="0.2">
      <c r="A34" s="98" t="s">
        <v>46</v>
      </c>
      <c r="B34" s="92"/>
      <c r="C34" s="93"/>
      <c r="D34" s="94"/>
      <c r="E34" s="122">
        <v>0.122</v>
      </c>
      <c r="F34" s="176">
        <v>360</v>
      </c>
      <c r="G34" s="120">
        <f t="shared" si="4"/>
        <v>43.92</v>
      </c>
      <c r="H34" s="96"/>
      <c r="I34" s="119">
        <v>0.122</v>
      </c>
      <c r="J34" s="176">
        <f>F34</f>
        <v>360</v>
      </c>
      <c r="K34" s="120">
        <f t="shared" si="5"/>
        <v>43.92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45" t="s">
        <v>47</v>
      </c>
      <c r="B35" s="92"/>
      <c r="C35" s="93"/>
      <c r="D35" s="94"/>
      <c r="E35" s="122">
        <v>0.161</v>
      </c>
      <c r="F35" s="176">
        <v>360</v>
      </c>
      <c r="G35" s="120">
        <f t="shared" si="4"/>
        <v>57.96</v>
      </c>
      <c r="H35" s="96"/>
      <c r="I35" s="119">
        <v>0.161</v>
      </c>
      <c r="J35" s="176">
        <f>F35</f>
        <v>360</v>
      </c>
      <c r="K35" s="120">
        <f>I35*J35</f>
        <v>57.96</v>
      </c>
      <c r="L35" s="96"/>
      <c r="M35" s="62">
        <f t="shared" si="0"/>
        <v>0</v>
      </c>
      <c r="N35" s="121">
        <f t="shared" si="1"/>
        <v>0</v>
      </c>
    </row>
    <row r="36" spans="1:14" ht="15" thickBot="1" x14ac:dyDescent="0.25">
      <c r="A36" s="123"/>
      <c r="B36" s="124"/>
      <c r="C36" s="124"/>
      <c r="D36" s="125"/>
      <c r="E36" s="126"/>
      <c r="F36" s="127"/>
      <c r="G36" s="128"/>
      <c r="H36" s="129"/>
      <c r="I36" s="126"/>
      <c r="J36" s="130"/>
      <c r="K36" s="128"/>
      <c r="L36" s="129"/>
      <c r="M36" s="131"/>
      <c r="N36" s="132"/>
    </row>
    <row r="37" spans="1:14" ht="15" x14ac:dyDescent="0.2">
      <c r="A37" s="133" t="s">
        <v>48</v>
      </c>
      <c r="B37" s="92"/>
      <c r="C37" s="92"/>
      <c r="D37" s="134"/>
      <c r="E37" s="135"/>
      <c r="F37" s="136"/>
      <c r="G37" s="137">
        <f>SUM(G27:G36)</f>
        <v>323.63181600000001</v>
      </c>
      <c r="H37" s="138"/>
      <c r="I37" s="139"/>
      <c r="J37" s="139"/>
      <c r="K37" s="140">
        <f>SUM(K27:K36)</f>
        <v>315.99713600000001</v>
      </c>
      <c r="L37" s="141"/>
      <c r="M37" s="142">
        <f>K37-G37</f>
        <v>-7.634680000000003</v>
      </c>
      <c r="N37" s="143">
        <f>M37/G37</f>
        <v>-2.359063485896579E-2</v>
      </c>
    </row>
    <row r="38" spans="1:14" ht="14.25" x14ac:dyDescent="0.2">
      <c r="A38" s="144" t="s">
        <v>49</v>
      </c>
      <c r="B38" s="92"/>
      <c r="C38" s="92"/>
      <c r="D38" s="134"/>
      <c r="E38" s="135">
        <v>0.13</v>
      </c>
      <c r="F38" s="145"/>
      <c r="G38" s="146">
        <f>G37*E38</f>
        <v>42.07213608</v>
      </c>
      <c r="H38" s="147"/>
      <c r="I38" s="135">
        <v>0.13</v>
      </c>
      <c r="J38" s="147"/>
      <c r="K38" s="148">
        <f>K37*I38</f>
        <v>41.079627680000002</v>
      </c>
      <c r="L38" s="149"/>
      <c r="M38" s="150">
        <f>K38-G38</f>
        <v>-0.9925083999999984</v>
      </c>
      <c r="N38" s="151">
        <f>M38/G38</f>
        <v>-2.3590634858965745E-2</v>
      </c>
    </row>
    <row r="39" spans="1:14" ht="14.25" x14ac:dyDescent="0.2">
      <c r="A39" s="152" t="s">
        <v>50</v>
      </c>
      <c r="B39" s="92"/>
      <c r="C39" s="92"/>
      <c r="D39" s="134"/>
      <c r="E39" s="147"/>
      <c r="F39" s="145"/>
      <c r="G39" s="146">
        <f>SUM(G37:G38)</f>
        <v>365.70395208000002</v>
      </c>
      <c r="H39" s="147"/>
      <c r="I39" s="147"/>
      <c r="J39" s="147"/>
      <c r="K39" s="148">
        <f>SUM(K37:K38)</f>
        <v>357.07676368</v>
      </c>
      <c r="L39" s="149"/>
      <c r="M39" s="150">
        <f>K39-G39</f>
        <v>-8.6271884000000227</v>
      </c>
      <c r="N39" s="151">
        <f>M39/G39</f>
        <v>-2.3590634858965842E-2</v>
      </c>
    </row>
    <row r="40" spans="1:14" ht="14.25" customHeight="1" x14ac:dyDescent="0.2">
      <c r="A40" s="252"/>
      <c r="B40" s="252"/>
      <c r="C40" s="252"/>
      <c r="D40" s="134"/>
      <c r="E40" s="147"/>
      <c r="F40" s="145"/>
      <c r="G40" s="153"/>
      <c r="H40" s="147"/>
      <c r="I40" s="147"/>
      <c r="J40" s="147"/>
      <c r="K40" s="154"/>
      <c r="L40" s="149"/>
      <c r="M40" s="155"/>
      <c r="N40" s="156"/>
    </row>
    <row r="41" spans="1:14" ht="15.75" customHeight="1" thickBot="1" x14ac:dyDescent="0.25">
      <c r="A41" s="245" t="s">
        <v>51</v>
      </c>
      <c r="B41" s="245"/>
      <c r="C41" s="245"/>
      <c r="D41" s="157"/>
      <c r="E41" s="158"/>
      <c r="F41" s="159"/>
      <c r="G41" s="160">
        <f>SUM(G39:G40)</f>
        <v>365.70395208000002</v>
      </c>
      <c r="H41" s="161"/>
      <c r="I41" s="161"/>
      <c r="J41" s="161"/>
      <c r="K41" s="162">
        <f>SUM(K39:K40)</f>
        <v>357.07676368</v>
      </c>
      <c r="L41" s="163"/>
      <c r="M41" s="89">
        <f>K41-G41</f>
        <v>-8.6271884000000227</v>
      </c>
      <c r="N41" s="90">
        <f>M41/G41</f>
        <v>-2.3590634858965842E-2</v>
      </c>
    </row>
    <row r="42" spans="1:14" ht="13.5" thickBot="1" x14ac:dyDescent="0.25">
      <c r="A42" s="123"/>
      <c r="B42" s="124"/>
      <c r="C42" s="124"/>
      <c r="D42" s="125"/>
      <c r="E42" s="164"/>
      <c r="F42" s="165"/>
      <c r="G42" s="166"/>
      <c r="H42" s="167"/>
      <c r="I42" s="164"/>
      <c r="J42" s="167"/>
      <c r="K42" s="168"/>
      <c r="L42" s="165"/>
      <c r="M42" s="169"/>
      <c r="N42" s="170"/>
    </row>
    <row r="43" spans="1:14" x14ac:dyDescent="0.2">
      <c r="A43" s="28"/>
      <c r="B43" s="28"/>
      <c r="C43" s="28"/>
      <c r="D43" s="25"/>
      <c r="E43" s="25"/>
      <c r="F43" s="25"/>
      <c r="G43" s="25"/>
      <c r="H43" s="25"/>
      <c r="I43" s="25"/>
      <c r="J43" s="25"/>
      <c r="K43" s="171"/>
      <c r="L43" s="25"/>
      <c r="M43" s="25"/>
      <c r="N43" s="25"/>
    </row>
    <row r="44" spans="1:14" x14ac:dyDescent="0.2">
      <c r="A44" s="28"/>
      <c r="B44" s="28"/>
      <c r="C44" s="28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2">
      <c r="A45" s="28"/>
      <c r="B45" s="28"/>
      <c r="C45" s="28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x14ac:dyDescent="0.2">
      <c r="A46" s="178"/>
      <c r="B46" s="178"/>
      <c r="C46" s="178"/>
      <c r="D46" s="178"/>
      <c r="E46" s="178"/>
      <c r="F46" s="178"/>
      <c r="G46" s="178"/>
      <c r="H46" s="178"/>
      <c r="I46" s="178"/>
      <c r="J46" s="178"/>
    </row>
  </sheetData>
  <mergeCells count="11">
    <mergeCell ref="M11:N11"/>
    <mergeCell ref="C12:C13"/>
    <mergeCell ref="M12:M13"/>
    <mergeCell ref="N12:N13"/>
    <mergeCell ref="A40:C40"/>
    <mergeCell ref="A26:C26"/>
    <mergeCell ref="C1:K1"/>
    <mergeCell ref="E9:J9"/>
    <mergeCell ref="E11:G11"/>
    <mergeCell ref="I11:K11"/>
    <mergeCell ref="A41:C41"/>
  </mergeCells>
  <phoneticPr fontId="0" type="noConversion"/>
  <dataValidations count="4">
    <dataValidation type="list" allowBlank="1" showInputMessage="1" showErrorMessage="1" sqref="D25:D26 D42 D21:D23 D14:D18 D28:D29 D30:D31 D33:D36">
      <formula1>#REF!</formula1>
    </dataValidation>
    <dataValidation type="list" allowBlank="1" showInputMessage="1" showErrorMessage="1" prompt="Select Charge Unit - monthly, per kWh, per kW" sqref="C36 C42">
      <formula1>"Monthly, per kWh, per kW"</formula1>
    </dataValidation>
    <dataValidation showDropDown="1" showInputMessage="1" showErrorMessage="1" prompt="Select Charge Unit - monthly, per kWh, per kW" sqref="C25 C21:C23 C14:C18 C28:C29 C30:C35"/>
    <dataValidation type="list" allowBlank="1" showInputMessage="1" showErrorMessage="1" sqref="D32">
      <formula1>#REF!</formula1>
    </dataValidation>
  </dataValidations>
  <pageMargins left="0.75" right="0.75" top="1" bottom="1" header="0.5" footer="0.5"/>
  <pageSetup scale="65" orientation="portrait" r:id="rId1"/>
  <headerFooter alignWithMargins="0"/>
  <ignoredErrors>
    <ignoredError sqref="F31 J33:J35 F18:H18 F16:H16 H17 E14:H15 J14:N18 J31" unlockedFormula="1"/>
    <ignoredError sqref="E19:K19 E30:K30 H40:J40 N21 L40" formula="1"/>
    <ignoredError sqref="E20:K20 E22:K24 F21:H21 J21:K21 E27:K27 F25:H25 J25:K25 F26:H26 J26:K26 E29:K29 F28:H28 J28:K28" formula="1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N41"/>
  <sheetViews>
    <sheetView topLeftCell="A7" workbookViewId="0">
      <selection activeCell="Q25" sqref="Q25"/>
    </sheetView>
  </sheetViews>
  <sheetFormatPr defaultRowHeight="12.75" x14ac:dyDescent="0.2"/>
  <cols>
    <col min="1" max="1" width="35.28515625" bestFit="1" customWidth="1"/>
    <col min="2" max="2" width="2.140625" customWidth="1"/>
    <col min="3" max="3" width="5.5703125" bestFit="1" customWidth="1"/>
    <col min="4" max="4" width="3" customWidth="1"/>
    <col min="5" max="5" width="11" bestFit="1" customWidth="1"/>
    <col min="6" max="6" width="11.5703125" bestFit="1" customWidth="1"/>
    <col min="7" max="7" width="14" bestFit="1" customWidth="1"/>
    <col min="8" max="8" width="4.7109375" customWidth="1"/>
    <col min="9" max="9" width="11" bestFit="1" customWidth="1"/>
    <col min="10" max="10" width="11.5703125" bestFit="1" customWidth="1"/>
    <col min="11" max="11" width="14" bestFit="1" customWidth="1"/>
    <col min="12" max="12" width="4.7109375" customWidth="1"/>
    <col min="13" max="13" width="12.7109375" bestFit="1" customWidth="1"/>
    <col min="14" max="14" width="11" bestFit="1" customWidth="1"/>
  </cols>
  <sheetData>
    <row r="1" spans="1:14" ht="15.75" x14ac:dyDescent="0.2">
      <c r="A1" s="24"/>
      <c r="B1" s="25"/>
      <c r="C1" s="240" t="s">
        <v>81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40000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100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224.32</v>
      </c>
      <c r="F14" s="147">
        <v>1</v>
      </c>
      <c r="G14" s="58">
        <f>E14*F14</f>
        <v>224.32</v>
      </c>
      <c r="H14" s="59"/>
      <c r="I14" s="172">
        <v>228.69</v>
      </c>
      <c r="J14" s="60">
        <v>1</v>
      </c>
      <c r="K14" s="61">
        <f>I14*J14</f>
        <v>228.69</v>
      </c>
      <c r="L14" s="59"/>
      <c r="M14" s="62">
        <f>K14-G14</f>
        <v>4.3700000000000045</v>
      </c>
      <c r="N14" s="63">
        <f>M14/G14</f>
        <v>1.9481098430813144E-2</v>
      </c>
    </row>
    <row r="15" spans="1:14" ht="14.25" x14ac:dyDescent="0.2">
      <c r="A15" s="53" t="s">
        <v>29</v>
      </c>
      <c r="B15" s="53"/>
      <c r="C15" s="54"/>
      <c r="D15" s="55"/>
      <c r="E15" s="64">
        <v>2.1305999999999998</v>
      </c>
      <c r="F15" s="65">
        <f>E8</f>
        <v>100</v>
      </c>
      <c r="G15" s="58">
        <f>E15*F15</f>
        <v>213.05999999999997</v>
      </c>
      <c r="H15" s="59"/>
      <c r="I15" s="64">
        <v>2.1720999999999999</v>
      </c>
      <c r="J15" s="66">
        <f>F15</f>
        <v>100</v>
      </c>
      <c r="K15" s="58">
        <f>I15*J15</f>
        <v>217.20999999999998</v>
      </c>
      <c r="L15" s="59"/>
      <c r="M15" s="62">
        <f t="shared" ref="M15:M34" si="0">K15-G15</f>
        <v>4.1500000000000057</v>
      </c>
      <c r="N15" s="63">
        <f t="shared" ref="N15:N34" si="1">M15/G15</f>
        <v>1.9478081291654962E-2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-3.2000000000000001E-2</v>
      </c>
      <c r="F17" s="74">
        <f>E8</f>
        <v>100</v>
      </c>
      <c r="G17" s="75">
        <f>E17*F17</f>
        <v>-3.2</v>
      </c>
      <c r="H17" s="76"/>
      <c r="I17" s="173">
        <f>-0.0191</f>
        <v>-1.9099999999999999E-2</v>
      </c>
      <c r="J17" s="77">
        <f>F17</f>
        <v>100</v>
      </c>
      <c r="K17" s="75">
        <f>I17*J17</f>
        <v>-1.91</v>
      </c>
      <c r="L17" s="76"/>
      <c r="M17" s="78">
        <f t="shared" si="0"/>
        <v>1.2900000000000003</v>
      </c>
      <c r="N17" s="79">
        <f t="shared" si="1"/>
        <v>-0.40312500000000007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434.18</v>
      </c>
      <c r="H18" s="86"/>
      <c r="I18" s="83"/>
      <c r="J18" s="87"/>
      <c r="K18" s="174">
        <f>SUM(K14:K17)</f>
        <v>443.98999999999995</v>
      </c>
      <c r="L18" s="88"/>
      <c r="M18" s="89">
        <f t="shared" si="0"/>
        <v>9.8099999999999454</v>
      </c>
      <c r="N18" s="90">
        <f t="shared" si="1"/>
        <v>2.2594315721589996E-2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0.10214000000000001</v>
      </c>
      <c r="F19" s="175">
        <f>E5*(E3-1)</f>
        <v>2408.0000000000014</v>
      </c>
      <c r="G19" s="58">
        <f>E19*F19</f>
        <v>245.95312000000015</v>
      </c>
      <c r="H19" s="86"/>
      <c r="I19" s="64">
        <f>I32*0.64+I33*0.18+I34*0.18</f>
        <v>0.10214000000000001</v>
      </c>
      <c r="J19" s="175">
        <f>F19</f>
        <v>2408.0000000000014</v>
      </c>
      <c r="K19" s="58">
        <f>I19*J19</f>
        <v>245.95312000000015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-3.5657999999999999</v>
      </c>
      <c r="F20" s="175">
        <f>E8</f>
        <v>100</v>
      </c>
      <c r="G20" s="58">
        <f>E20*F20</f>
        <v>-356.58</v>
      </c>
      <c r="H20" s="86"/>
      <c r="I20" s="64">
        <f>-0.8646</f>
        <v>-0.86460000000000004</v>
      </c>
      <c r="J20" s="175">
        <f>F20</f>
        <v>100</v>
      </c>
      <c r="K20" s="58">
        <f>I20*J20</f>
        <v>-86.460000000000008</v>
      </c>
      <c r="L20" s="96"/>
      <c r="M20" s="62">
        <f t="shared" si="0"/>
        <v>270.12</v>
      </c>
      <c r="N20" s="63">
        <f>IFERROR(M20/G20, "")</f>
        <v>-0.75752986707050318</v>
      </c>
    </row>
    <row r="21" spans="1:14" ht="14.25" x14ac:dyDescent="0.2">
      <c r="A21" s="98" t="s">
        <v>35</v>
      </c>
      <c r="B21" s="92"/>
      <c r="C21" s="93"/>
      <c r="D21" s="94"/>
      <c r="E21" s="64">
        <v>0.35060000000000002</v>
      </c>
      <c r="F21" s="175">
        <f>E8</f>
        <v>100</v>
      </c>
      <c r="G21" s="58">
        <f>E21*F21</f>
        <v>35.06</v>
      </c>
      <c r="H21" s="86"/>
      <c r="I21" s="64">
        <v>0.35060000000000002</v>
      </c>
      <c r="J21" s="175">
        <f>F21</f>
        <v>100</v>
      </c>
      <c r="K21" s="58">
        <f>I21*J21</f>
        <v>35.06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358.61312000000021</v>
      </c>
      <c r="H23" s="86"/>
      <c r="I23" s="102"/>
      <c r="J23" s="104"/>
      <c r="K23" s="103">
        <f>SUM(K18:K22)</f>
        <v>638.54312000000004</v>
      </c>
      <c r="L23" s="88"/>
      <c r="M23" s="105">
        <f t="shared" si="0"/>
        <v>279.92999999999984</v>
      </c>
      <c r="N23" s="106">
        <f t="shared" si="1"/>
        <v>0.78059051492594489</v>
      </c>
    </row>
    <row r="24" spans="1:14" ht="14.25" x14ac:dyDescent="0.2">
      <c r="A24" s="107" t="s">
        <v>38</v>
      </c>
      <c r="B24" s="107"/>
      <c r="C24" s="108"/>
      <c r="D24" s="109"/>
      <c r="E24" s="64">
        <v>3.1213000000000002</v>
      </c>
      <c r="F24" s="176">
        <f>E8*E3</f>
        <v>106.02000000000001</v>
      </c>
      <c r="G24" s="58">
        <f>E24*F24</f>
        <v>330.92022600000007</v>
      </c>
      <c r="H24" s="86"/>
      <c r="I24" s="64">
        <v>2.2709999999999999</v>
      </c>
      <c r="J24" s="177">
        <f>F24</f>
        <v>106.02000000000001</v>
      </c>
      <c r="K24" s="58">
        <f>I24*J24</f>
        <v>240.77142000000001</v>
      </c>
      <c r="L24" s="96"/>
      <c r="M24" s="62">
        <f t="shared" si="0"/>
        <v>-90.148806000000064</v>
      </c>
      <c r="N24" s="63">
        <f t="shared" si="1"/>
        <v>-0.27241854355556994</v>
      </c>
    </row>
    <row r="25" spans="1:14" ht="33.75" customHeight="1" x14ac:dyDescent="0.2">
      <c r="A25" s="253" t="s">
        <v>39</v>
      </c>
      <c r="B25" s="253"/>
      <c r="C25" s="253"/>
      <c r="D25" s="109"/>
      <c r="E25" s="64">
        <v>1.4041999999999999</v>
      </c>
      <c r="F25" s="176">
        <f>E8*E3</f>
        <v>106.02000000000001</v>
      </c>
      <c r="G25" s="58">
        <f>E25*F25</f>
        <v>148.87328400000001</v>
      </c>
      <c r="H25" s="86"/>
      <c r="I25" s="64">
        <v>1.4154</v>
      </c>
      <c r="J25" s="177">
        <f>F25</f>
        <v>106.02000000000001</v>
      </c>
      <c r="K25" s="58">
        <f>I25*J25</f>
        <v>150.06070800000001</v>
      </c>
      <c r="L25" s="96"/>
      <c r="M25" s="62">
        <f t="shared" si="0"/>
        <v>1.1874239999999929</v>
      </c>
      <c r="N25" s="63">
        <f t="shared" si="1"/>
        <v>7.9760717846460143E-3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838.40663000000029</v>
      </c>
      <c r="H26" s="114"/>
      <c r="I26" s="115"/>
      <c r="J26" s="116"/>
      <c r="K26" s="103">
        <f>SUM(K23:K25)</f>
        <v>1029.3752480000001</v>
      </c>
      <c r="L26" s="117"/>
      <c r="M26" s="105">
        <f t="shared" si="0"/>
        <v>190.96861799999976</v>
      </c>
      <c r="N26" s="106">
        <f t="shared" si="1"/>
        <v>0.22777565344396156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42408</v>
      </c>
      <c r="G27" s="120">
        <f t="shared" ref="G27:G34" si="2">E27*F27</f>
        <v>152.6688</v>
      </c>
      <c r="H27" s="96"/>
      <c r="I27" s="119">
        <v>3.5999999999999999E-3</v>
      </c>
      <c r="J27" s="177">
        <f>E5*E3</f>
        <v>42408</v>
      </c>
      <c r="K27" s="120">
        <f t="shared" ref="K27:K33" si="3">I27*J27</f>
        <v>152.6688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42408</v>
      </c>
      <c r="G28" s="120">
        <f t="shared" si="2"/>
        <v>55.130399999999995</v>
      </c>
      <c r="H28" s="96"/>
      <c r="I28" s="119">
        <v>1.2999999999999999E-3</v>
      </c>
      <c r="J28" s="177">
        <f>E5*E3</f>
        <v>42408</v>
      </c>
      <c r="K28" s="120">
        <f t="shared" si="3"/>
        <v>55.130399999999995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40000</v>
      </c>
      <c r="G30" s="120">
        <f t="shared" si="2"/>
        <v>280</v>
      </c>
      <c r="H30" s="96"/>
      <c r="I30" s="119">
        <v>7.0000000000000001E-3</v>
      </c>
      <c r="J30" s="177">
        <f>E5</f>
        <v>40000</v>
      </c>
      <c r="K30" s="120">
        <f t="shared" si="3"/>
        <v>280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42408</v>
      </c>
      <c r="G31" s="120">
        <f>+F31*E31</f>
        <v>46.648800000000001</v>
      </c>
      <c r="H31" s="96"/>
      <c r="I31" s="119">
        <v>1.1000000000000001E-3</v>
      </c>
      <c r="J31" s="110">
        <f>+J28</f>
        <v>42408</v>
      </c>
      <c r="K31" s="120">
        <f>+J31*I31</f>
        <v>46.648800000000001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98" t="s">
        <v>45</v>
      </c>
      <c r="B32" s="92"/>
      <c r="C32" s="93"/>
      <c r="D32" s="94"/>
      <c r="E32" s="122">
        <v>0.08</v>
      </c>
      <c r="F32" s="176">
        <f>$E$5*0.64</f>
        <v>25600</v>
      </c>
      <c r="G32" s="120">
        <f t="shared" si="2"/>
        <v>2048</v>
      </c>
      <c r="H32" s="96"/>
      <c r="I32" s="119">
        <v>0.08</v>
      </c>
      <c r="J32" s="176">
        <f>F32</f>
        <v>25600</v>
      </c>
      <c r="K32" s="120">
        <f t="shared" si="3"/>
        <v>2048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46</v>
      </c>
      <c r="B33" s="92"/>
      <c r="C33" s="93"/>
      <c r="D33" s="94"/>
      <c r="E33" s="122">
        <v>0.122</v>
      </c>
      <c r="F33" s="176">
        <f>$E$5*0.18</f>
        <v>7200</v>
      </c>
      <c r="G33" s="120">
        <f t="shared" si="2"/>
        <v>878.4</v>
      </c>
      <c r="H33" s="96"/>
      <c r="I33" s="119">
        <v>0.122</v>
      </c>
      <c r="J33" s="176">
        <f>F33</f>
        <v>7200</v>
      </c>
      <c r="K33" s="120">
        <f t="shared" si="3"/>
        <v>878.4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 t="s">
        <v>47</v>
      </c>
      <c r="B34" s="92"/>
      <c r="C34" s="93"/>
      <c r="D34" s="94"/>
      <c r="E34" s="122">
        <v>0.161</v>
      </c>
      <c r="F34" s="176">
        <f>$E$5*0.18</f>
        <v>7200</v>
      </c>
      <c r="G34" s="120">
        <f t="shared" si="2"/>
        <v>1159.2</v>
      </c>
      <c r="H34" s="96"/>
      <c r="I34" s="119">
        <v>0.161</v>
      </c>
      <c r="J34" s="176">
        <f>F34</f>
        <v>7200</v>
      </c>
      <c r="K34" s="120">
        <f>I34*J34</f>
        <v>1159.2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5458.7046300000002</v>
      </c>
      <c r="H36" s="138"/>
      <c r="I36" s="139"/>
      <c r="J36" s="139"/>
      <c r="K36" s="140">
        <f>SUM(K26:K35)</f>
        <v>5649.6732479999991</v>
      </c>
      <c r="L36" s="141"/>
      <c r="M36" s="142">
        <f>K36-G36</f>
        <v>190.96861799999897</v>
      </c>
      <c r="N36" s="143">
        <f>M36/G36</f>
        <v>3.4984237276820554E-2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709.63160190000008</v>
      </c>
      <c r="H37" s="147"/>
      <c r="I37" s="135">
        <v>0.13</v>
      </c>
      <c r="J37" s="147"/>
      <c r="K37" s="148">
        <f>K36*I37</f>
        <v>734.45752223999989</v>
      </c>
      <c r="L37" s="149"/>
      <c r="M37" s="150">
        <f>K37-G37</f>
        <v>24.825920339999811</v>
      </c>
      <c r="N37" s="151">
        <f>M37/G37</f>
        <v>3.4984237276820478E-2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6168.3362319000007</v>
      </c>
      <c r="H38" s="147"/>
      <c r="I38" s="147"/>
      <c r="J38" s="147"/>
      <c r="K38" s="148">
        <f>SUM(K36:K37)</f>
        <v>6384.130770239999</v>
      </c>
      <c r="L38" s="149"/>
      <c r="M38" s="150">
        <f>K38-G38</f>
        <v>215.79453833999833</v>
      </c>
      <c r="N38" s="151">
        <f>M38/G38</f>
        <v>3.4984237276820471E-2</v>
      </c>
    </row>
    <row r="39" spans="1:14" ht="14.25" customHeight="1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customHeight="1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6168.3362319000007</v>
      </c>
      <c r="H40" s="161"/>
      <c r="I40" s="161"/>
      <c r="J40" s="161"/>
      <c r="K40" s="162">
        <f>SUM(K38:K39)</f>
        <v>6384.130770239999</v>
      </c>
      <c r="L40" s="163"/>
      <c r="M40" s="89">
        <f>K40-G40</f>
        <v>215.79453833999833</v>
      </c>
      <c r="N40" s="90">
        <f>M40/G40</f>
        <v>3.4984237276820471E-2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59" orientation="portrait" r:id="rId1"/>
  <headerFooter alignWithMargins="0"/>
  <ignoredErrors>
    <ignoredError sqref="F17:H17 E16:M16 H29:N30 H26:J26 L24:N26 H22:M22 H21:N21 H19:H20 J20:M20 E14:H15 J14:N15 H24:H25 J24:J25 F32:H34 J32:N34 J17:N17 J19:N19 H27 J27:N27 H28:N28" unlockedFormula="1"/>
    <ignoredError sqref="N16 E18:G18 E23:G23 K18 E26 K23 H39:J39 N22 L39 N20 E29:E30 E28 N39" formula="1"/>
    <ignoredError sqref="E19:G19 F29:G30 K24:K26 E21:G22 F20:G20 F24:G28" formula="1" unlocked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1"/>
  <sheetViews>
    <sheetView topLeftCell="A19" workbookViewId="0">
      <selection activeCell="M39" sqref="M39"/>
    </sheetView>
  </sheetViews>
  <sheetFormatPr defaultColWidth="9.140625" defaultRowHeight="12.75" x14ac:dyDescent="0.2"/>
  <cols>
    <col min="1" max="1" width="35.28515625" bestFit="1" customWidth="1"/>
    <col min="2" max="2" width="2.7109375" customWidth="1"/>
    <col min="3" max="3" width="5.5703125" bestFit="1" customWidth="1"/>
    <col min="4" max="4" width="3.28515625" customWidth="1"/>
    <col min="5" max="6" width="11.5703125" bestFit="1" customWidth="1"/>
    <col min="7" max="7" width="14" bestFit="1" customWidth="1"/>
    <col min="8" max="8" width="4.7109375" customWidth="1"/>
    <col min="9" max="9" width="12.42578125" bestFit="1" customWidth="1"/>
    <col min="10" max="10" width="12.28515625" bestFit="1" customWidth="1"/>
    <col min="11" max="11" width="14" bestFit="1" customWidth="1"/>
    <col min="12" max="12" width="4.7109375" customWidth="1"/>
    <col min="13" max="13" width="14" bestFit="1" customWidth="1"/>
    <col min="14" max="14" width="11" bestFit="1" customWidth="1"/>
  </cols>
  <sheetData>
    <row r="1" spans="1:14" ht="15" customHeight="1" x14ac:dyDescent="0.2">
      <c r="A1" s="24" t="s">
        <v>0</v>
      </c>
      <c r="B1" s="25"/>
      <c r="C1" s="240" t="s">
        <v>82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" customHeight="1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" customHeight="1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" customHeight="1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5" customHeight="1" x14ac:dyDescent="0.2">
      <c r="A5" s="24" t="s">
        <v>15</v>
      </c>
      <c r="B5" s="25"/>
      <c r="C5" s="33" t="s">
        <v>16</v>
      </c>
      <c r="D5" s="34"/>
      <c r="E5" s="179">
        <v>1282464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ht="9" customHeight="1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ht="15" customHeight="1" x14ac:dyDescent="0.2">
      <c r="A8" s="38" t="s">
        <v>18</v>
      </c>
      <c r="B8" s="39"/>
      <c r="C8" s="40" t="s">
        <v>2</v>
      </c>
      <c r="D8" s="41"/>
      <c r="E8" s="181">
        <v>2440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ht="18.75" customHeight="1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ht="18.75" customHeight="1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1473.7</v>
      </c>
      <c r="F14" s="147">
        <v>1</v>
      </c>
      <c r="G14" s="58">
        <f>E14*F14</f>
        <v>1473.7</v>
      </c>
      <c r="H14" s="59"/>
      <c r="I14" s="172">
        <v>1502.44</v>
      </c>
      <c r="J14" s="60">
        <v>1</v>
      </c>
      <c r="K14" s="61">
        <f>I14*J14</f>
        <v>1502.44</v>
      </c>
      <c r="L14" s="59"/>
      <c r="M14" s="62">
        <f>K14-G14</f>
        <v>28.740000000000009</v>
      </c>
      <c r="N14" s="63">
        <f>M14/G14</f>
        <v>1.9501933907850991E-2</v>
      </c>
    </row>
    <row r="15" spans="1:14" ht="12.75" customHeight="1" x14ac:dyDescent="0.2">
      <c r="A15" s="53" t="s">
        <v>29</v>
      </c>
      <c r="B15" s="53"/>
      <c r="C15" s="54"/>
      <c r="D15" s="55"/>
      <c r="E15" s="64">
        <v>1.3666</v>
      </c>
      <c r="F15" s="65">
        <v>2440</v>
      </c>
      <c r="G15" s="58">
        <f>E15*F15</f>
        <v>3334.5039999999999</v>
      </c>
      <c r="H15" s="59"/>
      <c r="I15" s="64">
        <v>1.3932</v>
      </c>
      <c r="J15" s="66">
        <f>F15</f>
        <v>2440</v>
      </c>
      <c r="K15" s="58">
        <f>I15*J15</f>
        <v>3399.4079999999999</v>
      </c>
      <c r="L15" s="59"/>
      <c r="M15" s="62">
        <f t="shared" ref="M15:M34" si="0">K15-G15</f>
        <v>64.903999999999996</v>
      </c>
      <c r="N15" s="63">
        <f t="shared" ref="N15:N34" si="1">M15/G15</f>
        <v>1.9464364115322697E-2</v>
      </c>
    </row>
    <row r="16" spans="1:14" ht="12.75" customHeight="1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2.75" customHeight="1" x14ac:dyDescent="0.2">
      <c r="A17" s="69" t="s">
        <v>31</v>
      </c>
      <c r="B17" s="70"/>
      <c r="C17" s="71"/>
      <c r="D17" s="72"/>
      <c r="E17" s="173">
        <v>0</v>
      </c>
      <c r="F17" s="74">
        <v>2440</v>
      </c>
      <c r="G17" s="75">
        <f>E17*F17</f>
        <v>0</v>
      </c>
      <c r="H17" s="76"/>
      <c r="I17" s="173">
        <v>0</v>
      </c>
      <c r="J17" s="77">
        <f>F17</f>
        <v>2440</v>
      </c>
      <c r="K17" s="75">
        <f>I17*J17</f>
        <v>0</v>
      </c>
      <c r="L17" s="76"/>
      <c r="M17" s="78">
        <f t="shared" si="0"/>
        <v>0</v>
      </c>
      <c r="N17" s="79" t="e">
        <f>-M17/G17</f>
        <v>#DIV/0!</v>
      </c>
    </row>
    <row r="18" spans="1:14" ht="12.75" customHeight="1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4808.2039999999997</v>
      </c>
      <c r="H18" s="86"/>
      <c r="I18" s="83"/>
      <c r="J18" s="87"/>
      <c r="K18" s="174">
        <f>SUM(K14:K17)</f>
        <v>4901.848</v>
      </c>
      <c r="L18" s="88"/>
      <c r="M18" s="89">
        <f t="shared" si="0"/>
        <v>93.644000000000233</v>
      </c>
      <c r="N18" s="90">
        <f t="shared" si="1"/>
        <v>1.9475879143231078E-2</v>
      </c>
    </row>
    <row r="19" spans="1:14" ht="12.75" customHeight="1" x14ac:dyDescent="0.2">
      <c r="A19" s="91" t="s">
        <v>33</v>
      </c>
      <c r="B19" s="92"/>
      <c r="C19" s="93"/>
      <c r="D19" s="94"/>
      <c r="E19" s="64">
        <f>E32*0.64+E33*0.18+E34*0.18</f>
        <v>0.10214000000000001</v>
      </c>
      <c r="F19" s="175">
        <f>E5*(E3-1)</f>
        <v>77204.332800000033</v>
      </c>
      <c r="G19" s="58">
        <f>E19*F19</f>
        <v>7885.6505521920044</v>
      </c>
      <c r="H19" s="86"/>
      <c r="I19" s="64">
        <f>I32*0.64+I33*0.18+I34*0.18</f>
        <v>0.10214000000000001</v>
      </c>
      <c r="J19" s="175">
        <f>F19</f>
        <v>77204.332800000033</v>
      </c>
      <c r="K19" s="58">
        <f>I19*J19</f>
        <v>7885.6505521920044</v>
      </c>
      <c r="L19" s="96"/>
      <c r="M19" s="62">
        <f t="shared" si="0"/>
        <v>0</v>
      </c>
      <c r="N19" s="63">
        <f t="shared" si="1"/>
        <v>0</v>
      </c>
    </row>
    <row r="20" spans="1:14" ht="12.75" customHeight="1" x14ac:dyDescent="0.2">
      <c r="A20" s="91" t="s">
        <v>34</v>
      </c>
      <c r="B20" s="92"/>
      <c r="C20" s="93"/>
      <c r="D20" s="94"/>
      <c r="E20" s="64">
        <v>0</v>
      </c>
      <c r="F20" s="175">
        <v>2440</v>
      </c>
      <c r="G20" s="58">
        <f>E20*F20</f>
        <v>0</v>
      </c>
      <c r="H20" s="86"/>
      <c r="I20" s="64"/>
      <c r="J20" s="175"/>
      <c r="K20" s="58">
        <f>I20*J20</f>
        <v>0</v>
      </c>
      <c r="L20" s="96"/>
      <c r="M20" s="62">
        <f t="shared" si="0"/>
        <v>0</v>
      </c>
      <c r="N20" s="63" t="str">
        <f>IFERROR(M20/G20, "")</f>
        <v/>
      </c>
    </row>
    <row r="21" spans="1:14" ht="12.75" customHeight="1" x14ac:dyDescent="0.2">
      <c r="A21" s="98" t="s">
        <v>35</v>
      </c>
      <c r="B21" s="92"/>
      <c r="C21" s="93"/>
      <c r="D21" s="94"/>
      <c r="E21" s="64">
        <v>0.40939999999999999</v>
      </c>
      <c r="F21" s="175">
        <v>2440</v>
      </c>
      <c r="G21" s="58">
        <f>E21*F21</f>
        <v>998.93599999999992</v>
      </c>
      <c r="H21" s="86"/>
      <c r="I21" s="64">
        <v>0.40939999999999999</v>
      </c>
      <c r="J21" s="175">
        <f>F21</f>
        <v>2440</v>
      </c>
      <c r="K21" s="58">
        <f>I21*J21</f>
        <v>998.93599999999992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13692.790552192004</v>
      </c>
      <c r="H23" s="86"/>
      <c r="I23" s="102"/>
      <c r="J23" s="104"/>
      <c r="K23" s="103">
        <f>SUM(K18:K22)</f>
        <v>13786.434552192004</v>
      </c>
      <c r="L23" s="88"/>
      <c r="M23" s="105">
        <f t="shared" si="0"/>
        <v>93.644000000000233</v>
      </c>
      <c r="N23" s="106">
        <f t="shared" si="1"/>
        <v>6.838927364225934E-3</v>
      </c>
    </row>
    <row r="24" spans="1:14" ht="14.25" x14ac:dyDescent="0.2">
      <c r="A24" s="107" t="s">
        <v>38</v>
      </c>
      <c r="B24" s="107"/>
      <c r="C24" s="108"/>
      <c r="D24" s="109"/>
      <c r="E24" s="64">
        <v>0</v>
      </c>
      <c r="F24" s="176">
        <v>2586.8879999999999</v>
      </c>
      <c r="G24" s="58">
        <f>E24*F24</f>
        <v>0</v>
      </c>
      <c r="H24" s="86"/>
      <c r="I24" s="64">
        <v>0</v>
      </c>
      <c r="J24" s="177">
        <f>F24</f>
        <v>2586.8879999999999</v>
      </c>
      <c r="K24" s="58">
        <f>I24*J24</f>
        <v>0</v>
      </c>
      <c r="L24" s="96"/>
      <c r="M24" s="62">
        <f t="shared" si="0"/>
        <v>0</v>
      </c>
      <c r="N24" s="63" t="e">
        <f t="shared" si="1"/>
        <v>#DIV/0!</v>
      </c>
    </row>
    <row r="25" spans="1:14" ht="24.75" customHeight="1" x14ac:dyDescent="0.2">
      <c r="A25" s="253" t="s">
        <v>39</v>
      </c>
      <c r="B25" s="253"/>
      <c r="C25" s="253"/>
      <c r="D25" s="109"/>
      <c r="E25" s="64">
        <v>0</v>
      </c>
      <c r="F25" s="176">
        <v>2586.8879999999999</v>
      </c>
      <c r="G25" s="58">
        <f>E25*F25</f>
        <v>0</v>
      </c>
      <c r="H25" s="86"/>
      <c r="I25" s="64">
        <v>0</v>
      </c>
      <c r="J25" s="177">
        <f>F25</f>
        <v>2586.8879999999999</v>
      </c>
      <c r="K25" s="58">
        <f>I25*J25</f>
        <v>0</v>
      </c>
      <c r="L25" s="96"/>
      <c r="M25" s="62">
        <f t="shared" si="0"/>
        <v>0</v>
      </c>
      <c r="N25" s="63" t="e">
        <f t="shared" si="1"/>
        <v>#DIV/0!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13692.790552192004</v>
      </c>
      <c r="H26" s="114"/>
      <c r="I26" s="115"/>
      <c r="J26" s="116"/>
      <c r="K26" s="103">
        <f>SUM(K23:K25)</f>
        <v>13786.434552192004</v>
      </c>
      <c r="L26" s="117"/>
      <c r="M26" s="105">
        <f t="shared" si="0"/>
        <v>93.644000000000233</v>
      </c>
      <c r="N26" s="106">
        <f t="shared" si="1"/>
        <v>6.838927364225934E-3</v>
      </c>
    </row>
    <row r="27" spans="1:14" ht="25.5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1359668.3328</v>
      </c>
      <c r="G27" s="120">
        <f t="shared" ref="G27:G34" si="2">E27*F27</f>
        <v>4894.8059980799999</v>
      </c>
      <c r="H27" s="96"/>
      <c r="I27" s="119">
        <v>3.5999999999999999E-3</v>
      </c>
      <c r="J27" s="177">
        <f>E5*E3</f>
        <v>1359668.3328</v>
      </c>
      <c r="K27" s="120">
        <f t="shared" ref="K27:K33" si="3">I27*J27</f>
        <v>4894.8059980799999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1359668.3328</v>
      </c>
      <c r="G28" s="120">
        <f t="shared" si="2"/>
        <v>1767.56883264</v>
      </c>
      <c r="H28" s="96"/>
      <c r="I28" s="119">
        <v>1.2999999999999999E-3</v>
      </c>
      <c r="J28" s="177">
        <f>E5*E3</f>
        <v>1359668.3328</v>
      </c>
      <c r="K28" s="120">
        <f t="shared" si="3"/>
        <v>1767.56883264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1282464</v>
      </c>
      <c r="G30" s="120">
        <f t="shared" si="2"/>
        <v>8977.2479999999996</v>
      </c>
      <c r="H30" s="96"/>
      <c r="I30" s="119">
        <v>7.0000000000000001E-3</v>
      </c>
      <c r="J30" s="177">
        <f>E5</f>
        <v>1282464</v>
      </c>
      <c r="K30" s="120">
        <f t="shared" si="3"/>
        <v>8977.2479999999996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1359668.3328</v>
      </c>
      <c r="G31" s="120">
        <f>+F31*E31</f>
        <v>1495.6351660800001</v>
      </c>
      <c r="H31" s="96"/>
      <c r="I31" s="119">
        <v>1.1000000000000001E-3</v>
      </c>
      <c r="J31" s="110">
        <f>+J28</f>
        <v>1359668.3328</v>
      </c>
      <c r="K31" s="120">
        <f>+J31*I31</f>
        <v>1495.6351660800001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98" t="s">
        <v>45</v>
      </c>
      <c r="B32" s="92"/>
      <c r="C32" s="93"/>
      <c r="D32" s="94"/>
      <c r="E32" s="122">
        <v>0.08</v>
      </c>
      <c r="F32" s="176">
        <v>870187.73299199995</v>
      </c>
      <c r="G32" s="120">
        <f t="shared" si="2"/>
        <v>69615.018639360002</v>
      </c>
      <c r="H32" s="96"/>
      <c r="I32" s="119">
        <v>0.08</v>
      </c>
      <c r="J32" s="176">
        <f>F32</f>
        <v>870187.73299199995</v>
      </c>
      <c r="K32" s="120">
        <f t="shared" si="3"/>
        <v>69615.018639360002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46</v>
      </c>
      <c r="B33" s="92"/>
      <c r="C33" s="93"/>
      <c r="D33" s="94"/>
      <c r="E33" s="122">
        <v>0.122</v>
      </c>
      <c r="F33" s="176">
        <v>244740.29990399998</v>
      </c>
      <c r="G33" s="120">
        <f t="shared" si="2"/>
        <v>29858.316588287998</v>
      </c>
      <c r="H33" s="96"/>
      <c r="I33" s="119">
        <v>0.122</v>
      </c>
      <c r="J33" s="176">
        <f>F33</f>
        <v>244740.29990399998</v>
      </c>
      <c r="K33" s="120">
        <f t="shared" si="3"/>
        <v>29858.316588287998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 t="s">
        <v>47</v>
      </c>
      <c r="B34" s="92"/>
      <c r="C34" s="93"/>
      <c r="D34" s="94"/>
      <c r="E34" s="122">
        <v>0.161</v>
      </c>
      <c r="F34" s="176">
        <v>244740.29990399998</v>
      </c>
      <c r="G34" s="120">
        <f t="shared" si="2"/>
        <v>39403.188284543998</v>
      </c>
      <c r="H34" s="96"/>
      <c r="I34" s="119">
        <v>0.161</v>
      </c>
      <c r="J34" s="176">
        <f>F34</f>
        <v>244740.29990399998</v>
      </c>
      <c r="K34" s="120">
        <f>I34*J34</f>
        <v>39403.188284543998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169704.82206118398</v>
      </c>
      <c r="H36" s="138"/>
      <c r="I36" s="139"/>
      <c r="J36" s="139"/>
      <c r="K36" s="140">
        <f>SUM(K26:K35)</f>
        <v>169798.46606118401</v>
      </c>
      <c r="L36" s="141"/>
      <c r="M36" s="142">
        <f>K36-G36</f>
        <v>93.644000000029337</v>
      </c>
      <c r="N36" s="143">
        <f>M36/G36</f>
        <v>5.5180518068171161E-4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22061.626867953917</v>
      </c>
      <c r="H37" s="147"/>
      <c r="I37" s="135">
        <v>0.13</v>
      </c>
      <c r="J37" s="147"/>
      <c r="K37" s="148">
        <f>K36*I37</f>
        <v>22073.800587953923</v>
      </c>
      <c r="L37" s="149"/>
      <c r="M37" s="150">
        <f>K37-G37</f>
        <v>12.173720000006142</v>
      </c>
      <c r="N37" s="151">
        <f>M37/G37</f>
        <v>5.518051806818171E-4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191766.4489291379</v>
      </c>
      <c r="H38" s="147"/>
      <c r="I38" s="147"/>
      <c r="J38" s="147"/>
      <c r="K38" s="148">
        <f>SUM(K36:K37)</f>
        <v>191872.26664913792</v>
      </c>
      <c r="L38" s="149"/>
      <c r="M38" s="150">
        <f>K38-G38</f>
        <v>105.81772000002093</v>
      </c>
      <c r="N38" s="151">
        <f>M38/G38</f>
        <v>5.5180518068164786E-4</v>
      </c>
    </row>
    <row r="39" spans="1:14" ht="28.5" customHeight="1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customHeight="1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191766.4489291379</v>
      </c>
      <c r="H40" s="161"/>
      <c r="I40" s="161"/>
      <c r="J40" s="161"/>
      <c r="K40" s="162">
        <f>SUM(K38:K39)</f>
        <v>191872.26664913792</v>
      </c>
      <c r="L40" s="163"/>
      <c r="M40" s="89">
        <f>K40-G40</f>
        <v>105.81772000002093</v>
      </c>
      <c r="N40" s="90">
        <f>M40/G40</f>
        <v>5.5180518068164786E-4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disablePrompts="1"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56" orientation="portrait" r:id="rId1"/>
  <headerFooter alignWithMargins="0"/>
  <ignoredErrors>
    <ignoredError sqref="J14:N15 J16:M17 J19:J22 E29:G30 E23:F23 J32:M38 J40:M40 L39 E19:F19 E26:F26 F24:F25 F32:G33 E28 J29:M30" unlockedFormula="1"/>
    <ignoredError sqref="N16 G23:G28 I23:K23 J24:M27 J39 I19 K28:M28" formula="1" unlockedFormula="1"/>
    <ignoredError sqref="L19:N19 L18:N18 L22:M22 L21:M21 L20:M20" evalError="1"/>
    <ignoredError sqref="N21" evalError="1" formula="1"/>
    <ignoredError sqref="N20 N22 G18:I18 G20:I21 G19:H19 K18:K2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41"/>
  <sheetViews>
    <sheetView topLeftCell="A7" workbookViewId="0">
      <selection activeCell="I26" sqref="I26"/>
    </sheetView>
  </sheetViews>
  <sheetFormatPr defaultRowHeight="12.75" x14ac:dyDescent="0.2"/>
  <cols>
    <col min="1" max="1" width="35.28515625" bestFit="1" customWidth="1"/>
    <col min="2" max="2" width="2.42578125" customWidth="1"/>
    <col min="3" max="3" width="5.5703125" bestFit="1" customWidth="1"/>
    <col min="4" max="4" width="2.28515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10.42578125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40" t="s">
        <v>83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9.19</v>
      </c>
      <c r="F14" s="147">
        <v>1</v>
      </c>
      <c r="G14" s="58">
        <f>E14*F14</f>
        <v>9.19</v>
      </c>
      <c r="H14" s="59"/>
      <c r="I14" s="172">
        <v>9.3699999999999992</v>
      </c>
      <c r="J14" s="60">
        <v>1</v>
      </c>
      <c r="K14" s="61">
        <f>I14*J14</f>
        <v>9.3699999999999992</v>
      </c>
      <c r="L14" s="59"/>
      <c r="M14" s="62">
        <f>K14-G14</f>
        <v>0.17999999999999972</v>
      </c>
      <c r="N14" s="63">
        <f>M14/G14</f>
        <v>1.9586507072905303E-2</v>
      </c>
    </row>
    <row r="15" spans="1:14" ht="14.25" x14ac:dyDescent="0.2">
      <c r="A15" s="53" t="s">
        <v>29</v>
      </c>
      <c r="B15" s="53"/>
      <c r="C15" s="54"/>
      <c r="D15" s="55"/>
      <c r="E15" s="64">
        <v>2.86E-2</v>
      </c>
      <c r="F15" s="65">
        <v>2000</v>
      </c>
      <c r="G15" s="58">
        <f>E15*F15</f>
        <v>57.2</v>
      </c>
      <c r="H15" s="59"/>
      <c r="I15" s="64">
        <v>2.92E-2</v>
      </c>
      <c r="J15" s="66">
        <f>F15</f>
        <v>2000</v>
      </c>
      <c r="K15" s="58">
        <f>I15*J15</f>
        <v>58.4</v>
      </c>
      <c r="L15" s="59"/>
      <c r="M15" s="62">
        <f t="shared" ref="M15:M34" si="0">K15-G15</f>
        <v>1.1999999999999957</v>
      </c>
      <c r="N15" s="63">
        <f t="shared" ref="N15:N34" si="1">M15/G15</f>
        <v>2.0979020979020904E-2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-2.9999999999999997E-4</v>
      </c>
      <c r="F17" s="74">
        <v>2000</v>
      </c>
      <c r="G17" s="75">
        <f>E17*F17</f>
        <v>-0.6</v>
      </c>
      <c r="H17" s="76"/>
      <c r="I17" s="173">
        <v>-2.0000000000000001E-4</v>
      </c>
      <c r="J17" s="77">
        <f>F17</f>
        <v>2000</v>
      </c>
      <c r="K17" s="75">
        <f>I17*J17</f>
        <v>-0.4</v>
      </c>
      <c r="L17" s="76"/>
      <c r="M17" s="78">
        <f t="shared" si="0"/>
        <v>0.19999999999999996</v>
      </c>
      <c r="N17" s="79">
        <f t="shared" si="1"/>
        <v>-0.33333333333333326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65.790000000000006</v>
      </c>
      <c r="H18" s="86"/>
      <c r="I18" s="83"/>
      <c r="J18" s="87"/>
      <c r="K18" s="174">
        <f>SUM(K14:K17)</f>
        <v>67.36999999999999</v>
      </c>
      <c r="L18" s="88"/>
      <c r="M18" s="89">
        <f t="shared" si="0"/>
        <v>1.5799999999999841</v>
      </c>
      <c r="N18" s="90">
        <f t="shared" si="1"/>
        <v>2.4015807873536767E-2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0.10214000000000001</v>
      </c>
      <c r="F19" s="175">
        <f>E5*(E3-1)</f>
        <v>120.40000000000006</v>
      </c>
      <c r="G19" s="58">
        <f>E19*F19</f>
        <v>12.297656000000007</v>
      </c>
      <c r="H19" s="86"/>
      <c r="I19" s="64">
        <f>I32*0.64+I33*0.18+I34*0.18</f>
        <v>0.10214000000000001</v>
      </c>
      <c r="J19" s="175">
        <f>F19</f>
        <v>120.40000000000006</v>
      </c>
      <c r="K19" s="58">
        <f>I19*J19</f>
        <v>12.297656000000007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-8.8999999999999999E-3</v>
      </c>
      <c r="F20" s="175">
        <v>2000</v>
      </c>
      <c r="G20" s="58">
        <f>E20*F20</f>
        <v>-17.8</v>
      </c>
      <c r="H20" s="86"/>
      <c r="I20" s="64">
        <v>-2.3E-3</v>
      </c>
      <c r="J20" s="175">
        <f>F20</f>
        <v>2000</v>
      </c>
      <c r="K20" s="58">
        <f>I20*J20</f>
        <v>-4.5999999999999996</v>
      </c>
      <c r="L20" s="96"/>
      <c r="M20" s="62">
        <f t="shared" si="0"/>
        <v>13.200000000000001</v>
      </c>
      <c r="N20" s="63">
        <f>IFERROR(M20/G20, "")</f>
        <v>-0.7415730337078652</v>
      </c>
    </row>
    <row r="21" spans="1:14" ht="14.25" x14ac:dyDescent="0.2">
      <c r="A21" s="98" t="s">
        <v>35</v>
      </c>
      <c r="B21" s="92"/>
      <c r="C21" s="93"/>
      <c r="D21" s="94"/>
      <c r="E21" s="64">
        <v>1E-3</v>
      </c>
      <c r="F21" s="175">
        <v>2000</v>
      </c>
      <c r="G21" s="58">
        <f>E21*F21</f>
        <v>2</v>
      </c>
      <c r="H21" s="86"/>
      <c r="I21" s="64">
        <v>1E-3</v>
      </c>
      <c r="J21" s="175">
        <f>F21</f>
        <v>2000</v>
      </c>
      <c r="K21" s="58">
        <f>I21*J21</f>
        <v>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62.287656000000013</v>
      </c>
      <c r="H23" s="86"/>
      <c r="I23" s="102"/>
      <c r="J23" s="104"/>
      <c r="K23" s="103">
        <f>SUM(K18:K22)</f>
        <v>77.067655999999999</v>
      </c>
      <c r="L23" s="88"/>
      <c r="M23" s="105">
        <f t="shared" si="0"/>
        <v>14.779999999999987</v>
      </c>
      <c r="N23" s="106">
        <f t="shared" si="1"/>
        <v>0.2372861807482366</v>
      </c>
    </row>
    <row r="24" spans="1:14" ht="14.25" x14ac:dyDescent="0.2">
      <c r="A24" s="107" t="s">
        <v>38</v>
      </c>
      <c r="B24" s="107"/>
      <c r="C24" s="108"/>
      <c r="D24" s="109"/>
      <c r="E24" s="64">
        <v>6.1999999999999998E-3</v>
      </c>
      <c r="F24" s="176">
        <v>2120.4</v>
      </c>
      <c r="G24" s="58">
        <f>E24*F24</f>
        <v>13.14648</v>
      </c>
      <c r="H24" s="86"/>
      <c r="I24" s="64">
        <v>4.4999999999999997E-3</v>
      </c>
      <c r="J24" s="177">
        <f>F24</f>
        <v>2120.4</v>
      </c>
      <c r="K24" s="58">
        <f>I24*J24</f>
        <v>9.5418000000000003</v>
      </c>
      <c r="L24" s="96"/>
      <c r="M24" s="62">
        <f t="shared" si="0"/>
        <v>-3.6046800000000001</v>
      </c>
      <c r="N24" s="63">
        <f t="shared" si="1"/>
        <v>-0.27419354838709675</v>
      </c>
    </row>
    <row r="25" spans="1:14" ht="33.75" customHeight="1" x14ac:dyDescent="0.2">
      <c r="A25" s="253" t="s">
        <v>39</v>
      </c>
      <c r="B25" s="253"/>
      <c r="C25" s="253"/>
      <c r="D25" s="109"/>
      <c r="E25" s="64">
        <v>3.2000000000000002E-3</v>
      </c>
      <c r="F25" s="176">
        <v>2120.4</v>
      </c>
      <c r="G25" s="58">
        <f>E25*F25</f>
        <v>6.7852800000000002</v>
      </c>
      <c r="H25" s="86"/>
      <c r="I25" s="64">
        <v>3.2000000000000002E-3</v>
      </c>
      <c r="J25" s="177">
        <f>F25</f>
        <v>2120.4</v>
      </c>
      <c r="K25" s="58">
        <f>I25*J25</f>
        <v>6.7852800000000002</v>
      </c>
      <c r="L25" s="96"/>
      <c r="M25" s="62">
        <f t="shared" si="0"/>
        <v>0</v>
      </c>
      <c r="N25" s="63">
        <f t="shared" si="1"/>
        <v>0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82.21941600000001</v>
      </c>
      <c r="H26" s="114"/>
      <c r="I26" s="115"/>
      <c r="J26" s="116"/>
      <c r="K26" s="103">
        <f>SUM(K23:K25)</f>
        <v>93.394735999999995</v>
      </c>
      <c r="L26" s="117"/>
      <c r="M26" s="105">
        <f t="shared" si="0"/>
        <v>11.175319999999985</v>
      </c>
      <c r="N26" s="106">
        <f t="shared" si="1"/>
        <v>0.1359206929905703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2120.4</v>
      </c>
      <c r="G27" s="120">
        <f t="shared" ref="G27:G34" si="2">E27*F27</f>
        <v>7.6334400000000002</v>
      </c>
      <c r="H27" s="96"/>
      <c r="I27" s="119">
        <v>3.5999999999999999E-3</v>
      </c>
      <c r="J27" s="177">
        <f>E5*E3</f>
        <v>2120.4</v>
      </c>
      <c r="K27" s="120">
        <f t="shared" ref="K27:K33" si="3">I27*J27</f>
        <v>7.6334400000000002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2120.4</v>
      </c>
      <c r="G28" s="120">
        <f t="shared" si="2"/>
        <v>2.7565200000000001</v>
      </c>
      <c r="H28" s="96"/>
      <c r="I28" s="119">
        <v>1.2999999999999999E-3</v>
      </c>
      <c r="J28" s="177">
        <f>E5*E3</f>
        <v>2120.4</v>
      </c>
      <c r="K28" s="120">
        <f t="shared" si="3"/>
        <v>2.7565200000000001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2000</v>
      </c>
      <c r="G30" s="120">
        <f t="shared" si="2"/>
        <v>14</v>
      </c>
      <c r="H30" s="96"/>
      <c r="I30" s="119">
        <v>7.0000000000000001E-3</v>
      </c>
      <c r="J30" s="177">
        <f>E5</f>
        <v>2000</v>
      </c>
      <c r="K30" s="120">
        <f t="shared" si="3"/>
        <v>14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2120.4</v>
      </c>
      <c r="G31" s="120">
        <f>+F31*E31</f>
        <v>2.3324400000000001</v>
      </c>
      <c r="H31" s="96"/>
      <c r="I31" s="119">
        <v>1.1000000000000001E-3</v>
      </c>
      <c r="J31" s="110">
        <f>+J28</f>
        <v>2120.4</v>
      </c>
      <c r="K31" s="120">
        <f>+J31*I31</f>
        <v>2.3324400000000001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98" t="s">
        <v>45</v>
      </c>
      <c r="B32" s="92"/>
      <c r="C32" s="93"/>
      <c r="D32" s="94"/>
      <c r="E32" s="122">
        <v>0.08</v>
      </c>
      <c r="F32" s="176">
        <v>1280</v>
      </c>
      <c r="G32" s="120">
        <f t="shared" si="2"/>
        <v>102.4</v>
      </c>
      <c r="H32" s="96"/>
      <c r="I32" s="119">
        <v>0.08</v>
      </c>
      <c r="J32" s="176">
        <f>F32</f>
        <v>1280</v>
      </c>
      <c r="K32" s="120">
        <f t="shared" si="3"/>
        <v>102.4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46</v>
      </c>
      <c r="B33" s="92"/>
      <c r="C33" s="93"/>
      <c r="D33" s="94"/>
      <c r="E33" s="122">
        <v>0.122</v>
      </c>
      <c r="F33" s="176">
        <v>360</v>
      </c>
      <c r="G33" s="120">
        <f t="shared" si="2"/>
        <v>43.92</v>
      </c>
      <c r="H33" s="96"/>
      <c r="I33" s="119">
        <v>0.122</v>
      </c>
      <c r="J33" s="176">
        <f>F33</f>
        <v>360</v>
      </c>
      <c r="K33" s="120">
        <f t="shared" si="3"/>
        <v>43.92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 t="s">
        <v>47</v>
      </c>
      <c r="B34" s="92"/>
      <c r="C34" s="93"/>
      <c r="D34" s="94"/>
      <c r="E34" s="122">
        <v>0.161</v>
      </c>
      <c r="F34" s="176">
        <v>360</v>
      </c>
      <c r="G34" s="120">
        <f t="shared" si="2"/>
        <v>57.96</v>
      </c>
      <c r="H34" s="96"/>
      <c r="I34" s="119">
        <v>0.161</v>
      </c>
      <c r="J34" s="176">
        <f>F34</f>
        <v>360</v>
      </c>
      <c r="K34" s="120">
        <f>I34*J34</f>
        <v>57.96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313.47181599999999</v>
      </c>
      <c r="H36" s="138"/>
      <c r="I36" s="139"/>
      <c r="J36" s="139"/>
      <c r="K36" s="140">
        <f>SUM(K26:K35)</f>
        <v>324.64713599999999</v>
      </c>
      <c r="L36" s="141"/>
      <c r="M36" s="142">
        <f>K36-G36</f>
        <v>11.175319999999999</v>
      </c>
      <c r="N36" s="143">
        <f>M36/G36</f>
        <v>3.5650158737077657E-2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40.751336080000002</v>
      </c>
      <c r="H37" s="147"/>
      <c r="I37" s="135">
        <v>0.13</v>
      </c>
      <c r="J37" s="147"/>
      <c r="K37" s="148">
        <f>K36*I37</f>
        <v>42.204127679999999</v>
      </c>
      <c r="L37" s="149"/>
      <c r="M37" s="150">
        <f>K37-G37</f>
        <v>1.4527915999999976</v>
      </c>
      <c r="N37" s="151">
        <f>M37/G37</f>
        <v>3.5650158737077602E-2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354.22315207999998</v>
      </c>
      <c r="H38" s="147"/>
      <c r="I38" s="147"/>
      <c r="J38" s="147"/>
      <c r="K38" s="148">
        <f>SUM(K36:K37)</f>
        <v>366.85126367999999</v>
      </c>
      <c r="L38" s="149"/>
      <c r="M38" s="150">
        <f>K38-G38</f>
        <v>12.628111600000011</v>
      </c>
      <c r="N38" s="151">
        <f>M38/G38</f>
        <v>3.5650158737077692E-2</v>
      </c>
    </row>
    <row r="39" spans="1:14" ht="14.25" customHeight="1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customHeight="1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354.22315207999998</v>
      </c>
      <c r="H40" s="161"/>
      <c r="I40" s="161"/>
      <c r="J40" s="161"/>
      <c r="K40" s="162">
        <f>SUM(K38:K39)</f>
        <v>366.85126367999999</v>
      </c>
      <c r="L40" s="163"/>
      <c r="M40" s="89">
        <f>K40-G40</f>
        <v>12.628111600000011</v>
      </c>
      <c r="N40" s="90">
        <f>M40/G40</f>
        <v>3.5650158737077692E-2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disablePrompts="1"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67" orientation="portrait" r:id="rId1"/>
  <headerFooter alignWithMargins="0"/>
  <ignoredErrors>
    <ignoredError sqref="J15:N15 J32:N35 E36:L37 E35:I35 F32:H34 E28:N28 E29:N30" unlockedFormula="1"/>
    <ignoredError sqref="J17:N17 M27:N27 J27:L27 F27:H27 E19:F19 J16:M16 E21:F23 F20 E26:F26 F24 F25" evalError="1" unlockedFormula="1"/>
    <ignoredError sqref="E16:I16 E18:F18 E17:H17" evalError="1"/>
    <ignoredError sqref="G19:I19 J19:L26 M19:N19 J18:N18 M23:N26 M22 M21:N21 M20 G21:I23 G20:H20 G26:I26 G24:H24 G25:H25" evalError="1" formula="1" unlockedFormula="1"/>
    <ignoredError sqref="G18:I18" evalError="1" formula="1"/>
    <ignoredError sqref="N16 N22 H39:J39 N3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42"/>
  <sheetViews>
    <sheetView topLeftCell="A16" workbookViewId="0">
      <selection activeCell="I25" sqref="I25"/>
    </sheetView>
  </sheetViews>
  <sheetFormatPr defaultColWidth="26.42578125" defaultRowHeight="12.75" x14ac:dyDescent="0.2"/>
  <cols>
    <col min="1" max="1" width="35.28515625" bestFit="1" customWidth="1"/>
    <col min="2" max="2" width="1.7109375" customWidth="1"/>
    <col min="3" max="3" width="5.5703125" bestFit="1" customWidth="1"/>
    <col min="4" max="4" width="1.7109375" customWidth="1"/>
    <col min="5" max="5" width="11" bestFit="1" customWidth="1"/>
    <col min="6" max="6" width="8" bestFit="1" customWidth="1"/>
    <col min="7" max="7" width="8.7109375" bestFit="1" customWidth="1"/>
    <col min="8" max="8" width="4.7109375" customWidth="1"/>
    <col min="9" max="9" width="9.85546875" bestFit="1" customWidth="1"/>
    <col min="10" max="10" width="8" bestFit="1" customWidth="1"/>
    <col min="11" max="11" width="8.71093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40" t="s">
        <v>84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3.29</v>
      </c>
      <c r="F14" s="147">
        <v>1</v>
      </c>
      <c r="G14" s="58">
        <f>E14*F14</f>
        <v>3.29</v>
      </c>
      <c r="H14" s="59"/>
      <c r="I14" s="172">
        <v>3.35</v>
      </c>
      <c r="J14" s="60">
        <v>1</v>
      </c>
      <c r="K14" s="61">
        <f>I14*J14</f>
        <v>3.35</v>
      </c>
      <c r="L14" s="59"/>
      <c r="M14" s="62">
        <f>K14-G14</f>
        <v>6.0000000000000053E-2</v>
      </c>
      <c r="N14" s="63">
        <f>M14/G14</f>
        <v>1.8237082066869317E-2</v>
      </c>
    </row>
    <row r="15" spans="1:14" ht="14.25" x14ac:dyDescent="0.2">
      <c r="A15" s="53" t="s">
        <v>29</v>
      </c>
      <c r="B15" s="53"/>
      <c r="C15" s="54"/>
      <c r="D15" s="55"/>
      <c r="E15" s="64">
        <v>9.4397000000000002</v>
      </c>
      <c r="F15" s="65">
        <v>0.1</v>
      </c>
      <c r="G15" s="58">
        <f>E15*F15</f>
        <v>0.94397000000000009</v>
      </c>
      <c r="H15" s="59"/>
      <c r="I15" s="64">
        <v>9.6237999999999992</v>
      </c>
      <c r="J15" s="66">
        <f>F15</f>
        <v>0.1</v>
      </c>
      <c r="K15" s="58">
        <f>I15*J15</f>
        <v>0.96238000000000001</v>
      </c>
      <c r="L15" s="59"/>
      <c r="M15" s="62">
        <f t="shared" ref="M15:M34" si="0">K15-G15</f>
        <v>1.8409999999999926E-2</v>
      </c>
      <c r="N15" s="63">
        <f t="shared" ref="N15:N34" si="1">M15/G15</f>
        <v>1.9502738434484065E-2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-0.10489999999999999</v>
      </c>
      <c r="F17" s="74">
        <v>0.1</v>
      </c>
      <c r="G17" s="75">
        <f>E17*F17</f>
        <v>-1.0489999999999999E-2</v>
      </c>
      <c r="H17" s="76"/>
      <c r="I17" s="173">
        <v>-4.8099999999999997E-2</v>
      </c>
      <c r="J17" s="77">
        <f>F17</f>
        <v>0.1</v>
      </c>
      <c r="K17" s="75">
        <f>I17*J17</f>
        <v>-4.81E-3</v>
      </c>
      <c r="L17" s="76"/>
      <c r="M17" s="78">
        <f t="shared" si="0"/>
        <v>5.6799999999999993E-3</v>
      </c>
      <c r="N17" s="79">
        <f t="shared" si="1"/>
        <v>-0.54146806482364152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4.2234800000000003</v>
      </c>
      <c r="H18" s="86"/>
      <c r="I18" s="83"/>
      <c r="J18" s="87"/>
      <c r="K18" s="174">
        <f>SUM(K14:K17)</f>
        <v>4.3075700000000001</v>
      </c>
      <c r="L18" s="88"/>
      <c r="M18" s="89">
        <f t="shared" si="0"/>
        <v>8.4089999999999776E-2</v>
      </c>
      <c r="N18" s="90">
        <f t="shared" si="1"/>
        <v>1.9910121511170827E-2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0.10214000000000001</v>
      </c>
      <c r="F19" s="175">
        <f>E5*(E3-1)</f>
        <v>2.1672000000000011</v>
      </c>
      <c r="G19" s="58">
        <f>E19*F19</f>
        <v>0.22135780800000013</v>
      </c>
      <c r="H19" s="86"/>
      <c r="I19" s="64">
        <f>I32*0.64+I33*0.18+I34*0.18</f>
        <v>0.10214000000000001</v>
      </c>
      <c r="J19" s="175">
        <f>F19</f>
        <v>2.1672000000000011</v>
      </c>
      <c r="K19" s="58">
        <f>I19*J19</f>
        <v>0.22135780800000013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f>-2.6591-0.8109</f>
        <v>-3.4699999999999998</v>
      </c>
      <c r="F20" s="175">
        <v>0.1</v>
      </c>
      <c r="G20" s="58">
        <f>E20*F20</f>
        <v>-0.34699999999999998</v>
      </c>
      <c r="H20" s="86"/>
      <c r="I20" s="64">
        <v>-0.81089999999999995</v>
      </c>
      <c r="J20" s="175">
        <f>F20</f>
        <v>0.1</v>
      </c>
      <c r="K20" s="58">
        <f>I20*J20</f>
        <v>-8.1089999999999995E-2</v>
      </c>
      <c r="L20" s="96"/>
      <c r="M20" s="62">
        <f t="shared" si="0"/>
        <v>0.26590999999999998</v>
      </c>
      <c r="N20" s="63">
        <f>IFERROR(M20/G20, "")</f>
        <v>-0.76631123919308353</v>
      </c>
    </row>
    <row r="21" spans="1:14" ht="14.25" x14ac:dyDescent="0.2">
      <c r="A21" s="98" t="s">
        <v>35</v>
      </c>
      <c r="B21" s="92"/>
      <c r="C21" s="93"/>
      <c r="D21" s="94"/>
      <c r="E21" s="64">
        <v>0.28160000000000002</v>
      </c>
      <c r="F21" s="175">
        <v>0.1</v>
      </c>
      <c r="G21" s="58">
        <f>E21*F21</f>
        <v>2.8160000000000004E-2</v>
      </c>
      <c r="H21" s="86"/>
      <c r="I21" s="64">
        <v>0.28160000000000002</v>
      </c>
      <c r="J21" s="175">
        <f>F21</f>
        <v>0.1</v>
      </c>
      <c r="K21" s="58">
        <f>I21*J21</f>
        <v>2.8160000000000004E-2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4.125997808000001</v>
      </c>
      <c r="H23" s="86"/>
      <c r="I23" s="102"/>
      <c r="J23" s="104"/>
      <c r="K23" s="103">
        <f>SUM(K18:K22)</f>
        <v>4.4759978080000007</v>
      </c>
      <c r="L23" s="88"/>
      <c r="M23" s="105">
        <f t="shared" si="0"/>
        <v>0.34999999999999964</v>
      </c>
      <c r="N23" s="106">
        <f t="shared" si="1"/>
        <v>8.4827965570261774E-2</v>
      </c>
    </row>
    <row r="24" spans="1:14" ht="14.25" x14ac:dyDescent="0.2">
      <c r="A24" s="107" t="s">
        <v>38</v>
      </c>
      <c r="B24" s="107"/>
      <c r="C24" s="108"/>
      <c r="D24" s="109"/>
      <c r="E24" s="64">
        <v>1.9507000000000001</v>
      </c>
      <c r="F24" s="176">
        <v>0.10602</v>
      </c>
      <c r="G24" s="58">
        <f>E24*F24</f>
        <v>0.20681321400000002</v>
      </c>
      <c r="H24" s="86"/>
      <c r="I24" s="64">
        <v>1.4193</v>
      </c>
      <c r="J24" s="177">
        <f>F24</f>
        <v>0.10602</v>
      </c>
      <c r="K24" s="58">
        <f>I24*J24</f>
        <v>0.15047418600000001</v>
      </c>
      <c r="L24" s="96"/>
      <c r="M24" s="62">
        <f t="shared" si="0"/>
        <v>-5.6339028000000013E-2</v>
      </c>
      <c r="N24" s="63">
        <f t="shared" si="1"/>
        <v>-0.27241503050187116</v>
      </c>
    </row>
    <row r="25" spans="1:14" ht="33.75" customHeight="1" x14ac:dyDescent="0.2">
      <c r="A25" s="253" t="s">
        <v>39</v>
      </c>
      <c r="B25" s="253"/>
      <c r="C25" s="253"/>
      <c r="D25" s="109"/>
      <c r="E25" s="64">
        <v>0.96540000000000004</v>
      </c>
      <c r="F25" s="176">
        <v>0.10602</v>
      </c>
      <c r="G25" s="58">
        <f>E25*F25</f>
        <v>0.10235170800000001</v>
      </c>
      <c r="H25" s="86"/>
      <c r="I25" s="64">
        <v>0.97309999999999997</v>
      </c>
      <c r="J25" s="177">
        <f>F25</f>
        <v>0.10602</v>
      </c>
      <c r="K25" s="58">
        <f>I25*J25</f>
        <v>0.103168062</v>
      </c>
      <c r="L25" s="96"/>
      <c r="M25" s="62">
        <f t="shared" si="0"/>
        <v>8.1635399999999136E-4</v>
      </c>
      <c r="N25" s="63">
        <f t="shared" si="1"/>
        <v>7.9759685104618984E-3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4.4351627300000009</v>
      </c>
      <c r="H26" s="114"/>
      <c r="I26" s="115"/>
      <c r="J26" s="116"/>
      <c r="K26" s="103">
        <f>SUM(K23:K25)</f>
        <v>4.7296400560000009</v>
      </c>
      <c r="L26" s="117"/>
      <c r="M26" s="105">
        <f t="shared" si="0"/>
        <v>0.29447732599999998</v>
      </c>
      <c r="N26" s="106">
        <f t="shared" si="1"/>
        <v>6.6396058933332516E-2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38.167200000000001</v>
      </c>
      <c r="G27" s="120">
        <f t="shared" ref="G27:G34" si="2">E27*F27</f>
        <v>0.13740192000000001</v>
      </c>
      <c r="H27" s="96"/>
      <c r="I27" s="119">
        <v>3.5999999999999999E-3</v>
      </c>
      <c r="J27" s="177">
        <f>E5*E3</f>
        <v>38.167200000000001</v>
      </c>
      <c r="K27" s="120">
        <f t="shared" ref="K27:K33" si="3">I27*J27</f>
        <v>0.13740192000000001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38.167200000000001</v>
      </c>
      <c r="G31" s="120">
        <f>+F31*E31</f>
        <v>4.1983920000000001E-2</v>
      </c>
      <c r="H31" s="96"/>
      <c r="I31" s="119">
        <v>1.1000000000000001E-3</v>
      </c>
      <c r="J31" s="110">
        <f>+J28</f>
        <v>38.167200000000001</v>
      </c>
      <c r="K31" s="120">
        <f>+J31*I31</f>
        <v>4.1983920000000001E-2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98" t="s">
        <v>45</v>
      </c>
      <c r="B32" s="92"/>
      <c r="C32" s="93"/>
      <c r="D32" s="94"/>
      <c r="E32" s="122">
        <v>0.08</v>
      </c>
      <c r="F32" s="176">
        <v>24.419544192</v>
      </c>
      <c r="G32" s="120">
        <f t="shared" si="2"/>
        <v>1.95356353536</v>
      </c>
      <c r="H32" s="96"/>
      <c r="I32" s="119">
        <v>0.08</v>
      </c>
      <c r="J32" s="176">
        <f>F32</f>
        <v>24.419544192</v>
      </c>
      <c r="K32" s="120">
        <f t="shared" si="3"/>
        <v>1.95356353536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46</v>
      </c>
      <c r="B33" s="92"/>
      <c r="C33" s="93"/>
      <c r="D33" s="94"/>
      <c r="E33" s="122">
        <v>0.122</v>
      </c>
      <c r="F33" s="176">
        <v>6.8679968039999988</v>
      </c>
      <c r="G33" s="120">
        <f t="shared" si="2"/>
        <v>0.83789561008799984</v>
      </c>
      <c r="H33" s="96"/>
      <c r="I33" s="119">
        <v>0.122</v>
      </c>
      <c r="J33" s="176">
        <f>F33</f>
        <v>6.8679968039999988</v>
      </c>
      <c r="K33" s="120">
        <f t="shared" si="3"/>
        <v>0.83789561008799984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 t="s">
        <v>47</v>
      </c>
      <c r="B34" s="92"/>
      <c r="C34" s="93"/>
      <c r="D34" s="94"/>
      <c r="E34" s="122">
        <v>0.161</v>
      </c>
      <c r="F34" s="176">
        <v>6.8679968039999988</v>
      </c>
      <c r="G34" s="120">
        <f t="shared" si="2"/>
        <v>1.1057474854439999</v>
      </c>
      <c r="H34" s="96"/>
      <c r="I34" s="119">
        <v>0.161</v>
      </c>
      <c r="J34" s="176">
        <f>F34</f>
        <v>6.8679968039999988</v>
      </c>
      <c r="K34" s="120">
        <f>I34*J34</f>
        <v>1.1057474854439999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9.0633725608920006</v>
      </c>
      <c r="H36" s="138"/>
      <c r="I36" s="139"/>
      <c r="J36" s="139"/>
      <c r="K36" s="140">
        <f>SUM(K26:K35)</f>
        <v>9.3578498868920015</v>
      </c>
      <c r="L36" s="141"/>
      <c r="M36" s="142">
        <f>K36-G36</f>
        <v>0.29447732600000087</v>
      </c>
      <c r="N36" s="143">
        <f>M36/G36</f>
        <v>3.2490921455734456E-2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1.1782384329159601</v>
      </c>
      <c r="H37" s="147"/>
      <c r="I37" s="135">
        <v>0.13</v>
      </c>
      <c r="J37" s="147"/>
      <c r="K37" s="148">
        <f>K36*I37</f>
        <v>1.2165204852959601</v>
      </c>
      <c r="L37" s="149"/>
      <c r="M37" s="150">
        <f>K37-G37</f>
        <v>3.8282052380000042E-2</v>
      </c>
      <c r="N37" s="151">
        <f>M37/G37</f>
        <v>3.2490921455734401E-2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10.24161099380796</v>
      </c>
      <c r="H38" s="147"/>
      <c r="I38" s="147"/>
      <c r="J38" s="147"/>
      <c r="K38" s="148">
        <f>SUM(K36:K37)</f>
        <v>10.574370372187962</v>
      </c>
      <c r="L38" s="149"/>
      <c r="M38" s="150">
        <f>K38-G38</f>
        <v>0.33275937838000225</v>
      </c>
      <c r="N38" s="151">
        <f>M38/G38</f>
        <v>3.2490921455734581E-2</v>
      </c>
    </row>
    <row r="39" spans="1:14" ht="14.25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10.24161099380796</v>
      </c>
      <c r="H40" s="161"/>
      <c r="I40" s="161"/>
      <c r="J40" s="161"/>
      <c r="K40" s="162">
        <f>SUM(K38:K39)</f>
        <v>10.574370372187962</v>
      </c>
      <c r="L40" s="163"/>
      <c r="M40" s="89">
        <f>K40-G40</f>
        <v>0.33275937838000225</v>
      </c>
      <c r="N40" s="90">
        <f>M40/G40</f>
        <v>3.2490921455734581E-2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  <row r="42" spans="1:14" x14ac:dyDescent="0.2">
      <c r="A42" s="178"/>
      <c r="B42" s="178"/>
      <c r="C42" s="178"/>
      <c r="D42" s="178"/>
      <c r="E42" s="178"/>
      <c r="F42" s="178"/>
      <c r="G42" s="178"/>
      <c r="H42" s="178"/>
      <c r="I42" s="178"/>
      <c r="J42" s="178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70" orientation="portrait" r:id="rId1"/>
  <headerFooter alignWithMargins="0"/>
  <ignoredErrors>
    <ignoredError sqref="E15:H15 F34:H34 E14:H14 J14 J15 F33:H33 J33 J34" unlockedFormula="1"/>
    <ignoredError sqref="E16:J16 E29:J30 E18:F19 E21:F23 F20 E26:F26 F24:F25 F32:H32 J32 E17:H17 J17 F27:H27 J27 E28:J28" evalError="1" unlockedFormula="1"/>
    <ignoredError sqref="K17:N17 K32:N32 K16:M16 K27:N28 K29:N30" evalError="1"/>
    <ignoredError sqref="G18:J19 G21:J23 G20:H20 J20 G26:J26 G24:H24 J24 G25:H25 J25" evalError="1" formula="1" unlockedFormula="1"/>
    <ignoredError sqref="K18:N19 K23:N26 K22:M22 K21:N21 K20:M20" evalError="1" formula="1"/>
    <ignoredError sqref="N16 N22 H39:J39 N3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41"/>
  <sheetViews>
    <sheetView topLeftCell="A19" workbookViewId="0">
      <selection activeCell="I25" sqref="I25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4.7109375" customWidth="1"/>
    <col min="5" max="5" width="11" bestFit="1" customWidth="1"/>
    <col min="6" max="6" width="8" bestFit="1" customWidth="1"/>
    <col min="7" max="7" width="11.140625" customWidth="1"/>
    <col min="8" max="8" width="4.7109375" customWidth="1"/>
    <col min="9" max="9" width="9.85546875" bestFit="1" customWidth="1"/>
    <col min="10" max="10" width="8" bestFit="1" customWidth="1"/>
    <col min="11" max="11" width="11.5703125" bestFit="1" customWidth="1"/>
    <col min="12" max="12" width="4.7109375" customWidth="1"/>
    <col min="13" max="13" width="11.5703125" bestFit="1" customWidth="1"/>
    <col min="14" max="14" width="11" bestFit="1" customWidth="1"/>
  </cols>
  <sheetData>
    <row r="1" spans="1:14" ht="15.75" x14ac:dyDescent="0.2">
      <c r="A1" s="24" t="s">
        <v>53</v>
      </c>
      <c r="B1" s="25"/>
      <c r="C1" s="240" t="s">
        <v>85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3.18</v>
      </c>
      <c r="F14" s="147">
        <v>1</v>
      </c>
      <c r="G14" s="58">
        <f>E14*F14</f>
        <v>3.18</v>
      </c>
      <c r="H14" s="59"/>
      <c r="I14" s="172">
        <v>3.24</v>
      </c>
      <c r="J14" s="60">
        <v>1</v>
      </c>
      <c r="K14" s="61">
        <f>I14*J14</f>
        <v>3.24</v>
      </c>
      <c r="L14" s="59"/>
      <c r="M14" s="62">
        <f>K14-G14</f>
        <v>6.0000000000000053E-2</v>
      </c>
      <c r="N14" s="63">
        <f>M14/G14</f>
        <v>1.8867924528301903E-2</v>
      </c>
    </row>
    <row r="15" spans="1:14" ht="14.25" x14ac:dyDescent="0.2">
      <c r="A15" s="53" t="s">
        <v>29</v>
      </c>
      <c r="B15" s="53"/>
      <c r="C15" s="54"/>
      <c r="D15" s="55"/>
      <c r="E15" s="64">
        <v>8.6188000000000002</v>
      </c>
      <c r="F15" s="65">
        <v>0.1</v>
      </c>
      <c r="G15" s="58">
        <f>E15*F15</f>
        <v>0.86188000000000009</v>
      </c>
      <c r="H15" s="59"/>
      <c r="I15" s="64">
        <v>8.7868999999999993</v>
      </c>
      <c r="J15" s="66">
        <f>F15</f>
        <v>0.1</v>
      </c>
      <c r="K15" s="58">
        <f>I15*J15</f>
        <v>0.87868999999999997</v>
      </c>
      <c r="L15" s="59"/>
      <c r="M15" s="62">
        <f t="shared" ref="M15:M34" si="0">K15-G15</f>
        <v>1.6809999999999881E-2</v>
      </c>
      <c r="N15" s="63">
        <f t="shared" ref="N15:N34" si="1">M15/G15</f>
        <v>1.9503875249454541E-2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-5.5E-2</v>
      </c>
      <c r="F17" s="74">
        <v>0.1</v>
      </c>
      <c r="G17" s="75">
        <f>E17*F17</f>
        <v>-5.5000000000000005E-3</v>
      </c>
      <c r="H17" s="76"/>
      <c r="I17" s="173">
        <v>-1E-4</v>
      </c>
      <c r="J17" s="77">
        <f>F17</f>
        <v>0.1</v>
      </c>
      <c r="K17" s="75">
        <f>I17*J17</f>
        <v>-1.0000000000000001E-5</v>
      </c>
      <c r="L17" s="76"/>
      <c r="M17" s="78">
        <f t="shared" si="0"/>
        <v>5.490000000000001E-3</v>
      </c>
      <c r="N17" s="79">
        <f>-M17/G17</f>
        <v>0.99818181818181828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4.0363800000000003</v>
      </c>
      <c r="H18" s="86"/>
      <c r="I18" s="83"/>
      <c r="J18" s="87"/>
      <c r="K18" s="174">
        <f>SUM(K14:K17)</f>
        <v>4.1186800000000003</v>
      </c>
      <c r="L18" s="88"/>
      <c r="M18" s="89">
        <f t="shared" si="0"/>
        <v>8.230000000000004E-2</v>
      </c>
      <c r="N18" s="90">
        <f t="shared" si="1"/>
        <v>2.0389556979273516E-2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0.10214000000000001</v>
      </c>
      <c r="F19" s="175">
        <f>E5*(E3-1)</f>
        <v>2.1672000000000011</v>
      </c>
      <c r="G19" s="58">
        <f>E19*F19</f>
        <v>0.22135780800000013</v>
      </c>
      <c r="H19" s="86"/>
      <c r="I19" s="64">
        <f>I32*0.64+I33*0.18+I34*0.18</f>
        <v>0.10214000000000001</v>
      </c>
      <c r="J19" s="175">
        <f>F19</f>
        <v>2.1672000000000011</v>
      </c>
      <c r="K19" s="58">
        <f>I19*J19</f>
        <v>0.22135780800000013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f>-2.1102-0.7462</f>
        <v>-2.8563999999999998</v>
      </c>
      <c r="F20" s="175">
        <v>0.1</v>
      </c>
      <c r="G20" s="58">
        <f>E20*F20</f>
        <v>-0.28564000000000001</v>
      </c>
      <c r="H20" s="86"/>
      <c r="I20" s="64">
        <v>-0.74619999999999997</v>
      </c>
      <c r="J20" s="175">
        <f>F20</f>
        <v>0.1</v>
      </c>
      <c r="K20" s="58">
        <f>I20*J20</f>
        <v>-7.4620000000000006E-2</v>
      </c>
      <c r="L20" s="96"/>
      <c r="M20" s="62">
        <f t="shared" si="0"/>
        <v>0.21101999999999999</v>
      </c>
      <c r="N20" s="63">
        <f>IFERROR(M20/G20, "")</f>
        <v>-0.73876207814031647</v>
      </c>
    </row>
    <row r="21" spans="1:14" ht="14.25" x14ac:dyDescent="0.2">
      <c r="A21" s="98" t="s">
        <v>35</v>
      </c>
      <c r="B21" s="92"/>
      <c r="C21" s="93"/>
      <c r="D21" s="94"/>
      <c r="E21" s="64">
        <v>0.27979999999999999</v>
      </c>
      <c r="F21" s="175">
        <v>0.1</v>
      </c>
      <c r="G21" s="58">
        <f>E21*F21</f>
        <v>2.7980000000000001E-2</v>
      </c>
      <c r="H21" s="86"/>
      <c r="I21" s="64">
        <v>0.27979999999999999</v>
      </c>
      <c r="J21" s="175">
        <f>F21</f>
        <v>0.1</v>
      </c>
      <c r="K21" s="58">
        <f>I21*J21</f>
        <v>2.7980000000000001E-2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4.0000778080000012</v>
      </c>
      <c r="H23" s="86"/>
      <c r="I23" s="102"/>
      <c r="J23" s="104"/>
      <c r="K23" s="103">
        <f>SUM(K18:K22)</f>
        <v>4.2933978080000008</v>
      </c>
      <c r="L23" s="88"/>
      <c r="M23" s="105">
        <f t="shared" si="0"/>
        <v>0.29331999999999958</v>
      </c>
      <c r="N23" s="106">
        <f t="shared" si="1"/>
        <v>7.3328573612585962E-2</v>
      </c>
    </row>
    <row r="24" spans="1:14" ht="14.25" x14ac:dyDescent="0.2">
      <c r="A24" s="107" t="s">
        <v>38</v>
      </c>
      <c r="B24" s="107"/>
      <c r="C24" s="108"/>
      <c r="D24" s="109"/>
      <c r="E24" s="64">
        <v>1.9235</v>
      </c>
      <c r="F24" s="176">
        <v>0.10602</v>
      </c>
      <c r="G24" s="58">
        <f>E24*F24</f>
        <v>0.20392947</v>
      </c>
      <c r="H24" s="86"/>
      <c r="I24" s="64">
        <v>1.3995</v>
      </c>
      <c r="J24" s="177">
        <f>F24</f>
        <v>0.10602</v>
      </c>
      <c r="K24" s="58">
        <f>I24*J24</f>
        <v>0.14837499000000001</v>
      </c>
      <c r="L24" s="96"/>
      <c r="M24" s="62">
        <f t="shared" si="0"/>
        <v>-5.5554479999999989E-2</v>
      </c>
      <c r="N24" s="63">
        <f t="shared" si="1"/>
        <v>-0.27242006758513121</v>
      </c>
    </row>
    <row r="25" spans="1:14" ht="33.75" customHeight="1" x14ac:dyDescent="0.2">
      <c r="A25" s="253" t="s">
        <v>39</v>
      </c>
      <c r="B25" s="253"/>
      <c r="C25" s="253"/>
      <c r="D25" s="109"/>
      <c r="E25" s="64">
        <v>0.95920000000000005</v>
      </c>
      <c r="F25" s="176">
        <v>0.10602</v>
      </c>
      <c r="G25" s="58">
        <f>E25*F25</f>
        <v>0.10169438400000001</v>
      </c>
      <c r="H25" s="86"/>
      <c r="I25" s="64">
        <v>0.96679999999999999</v>
      </c>
      <c r="J25" s="177">
        <f>F25</f>
        <v>0.10602</v>
      </c>
      <c r="K25" s="58">
        <f>I25*J25</f>
        <v>0.10250013600000001</v>
      </c>
      <c r="L25" s="96"/>
      <c r="M25" s="62">
        <f t="shared" si="0"/>
        <v>8.0575199999999292E-4</v>
      </c>
      <c r="N25" s="63">
        <f t="shared" si="1"/>
        <v>7.9232693911592284E-3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4.3057016620000015</v>
      </c>
      <c r="H26" s="114"/>
      <c r="I26" s="115"/>
      <c r="J26" s="116"/>
      <c r="K26" s="103">
        <f>SUM(K23:K25)</f>
        <v>4.5442729340000003</v>
      </c>
      <c r="L26" s="117"/>
      <c r="M26" s="105">
        <f t="shared" si="0"/>
        <v>0.23857127199999884</v>
      </c>
      <c r="N26" s="106">
        <f t="shared" si="1"/>
        <v>5.540822163911429E-2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38.167200000000001</v>
      </c>
      <c r="G27" s="120">
        <f t="shared" ref="G27:G34" si="2">E27*F27</f>
        <v>0.13740192000000001</v>
      </c>
      <c r="H27" s="96"/>
      <c r="I27" s="119">
        <v>3.5999999999999999E-3</v>
      </c>
      <c r="J27" s="177">
        <f>E5*E3</f>
        <v>38.167200000000001</v>
      </c>
      <c r="K27" s="120">
        <f t="shared" ref="K27:K33" si="3">I27*J27</f>
        <v>0.13740192000000001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38.167200000000001</v>
      </c>
      <c r="G31" s="120">
        <f>+F31*E31</f>
        <v>4.1983920000000001E-2</v>
      </c>
      <c r="H31" s="96"/>
      <c r="I31" s="119">
        <v>1.1000000000000001E-3</v>
      </c>
      <c r="J31" s="110">
        <f>+J28</f>
        <v>38.167200000000001</v>
      </c>
      <c r="K31" s="120">
        <f>+J31*I31</f>
        <v>4.1983920000000001E-2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98" t="s">
        <v>45</v>
      </c>
      <c r="B32" s="92"/>
      <c r="C32" s="93"/>
      <c r="D32" s="94"/>
      <c r="E32" s="122">
        <v>0.08</v>
      </c>
      <c r="F32" s="176">
        <v>24.419544192</v>
      </c>
      <c r="G32" s="120">
        <f t="shared" si="2"/>
        <v>1.95356353536</v>
      </c>
      <c r="H32" s="96"/>
      <c r="I32" s="119">
        <v>0.08</v>
      </c>
      <c r="J32" s="176">
        <f>F32</f>
        <v>24.419544192</v>
      </c>
      <c r="K32" s="120">
        <f t="shared" si="3"/>
        <v>1.95356353536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46</v>
      </c>
      <c r="B33" s="92"/>
      <c r="C33" s="93"/>
      <c r="D33" s="94"/>
      <c r="E33" s="122">
        <v>0.122</v>
      </c>
      <c r="F33" s="176">
        <v>6.8679968039999988</v>
      </c>
      <c r="G33" s="120">
        <f t="shared" si="2"/>
        <v>0.83789561008799984</v>
      </c>
      <c r="H33" s="96"/>
      <c r="I33" s="119">
        <v>0.122</v>
      </c>
      <c r="J33" s="176">
        <f>F33</f>
        <v>6.8679968039999988</v>
      </c>
      <c r="K33" s="120">
        <f t="shared" si="3"/>
        <v>0.83789561008799984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 t="s">
        <v>47</v>
      </c>
      <c r="B34" s="92"/>
      <c r="C34" s="93"/>
      <c r="D34" s="94"/>
      <c r="E34" s="122">
        <v>0.161</v>
      </c>
      <c r="F34" s="176">
        <v>6.8679968039999988</v>
      </c>
      <c r="G34" s="120">
        <f t="shared" si="2"/>
        <v>1.1057474854439999</v>
      </c>
      <c r="H34" s="96"/>
      <c r="I34" s="119">
        <v>0.161</v>
      </c>
      <c r="J34" s="176">
        <f>F34</f>
        <v>6.8679968039999988</v>
      </c>
      <c r="K34" s="120">
        <f>I34*J34</f>
        <v>1.1057474854439999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8.9339114928920011</v>
      </c>
      <c r="H36" s="138"/>
      <c r="I36" s="139"/>
      <c r="J36" s="139"/>
      <c r="K36" s="140">
        <f>SUM(K26:K35)</f>
        <v>9.1724827648920009</v>
      </c>
      <c r="L36" s="141"/>
      <c r="M36" s="142">
        <f>K36-G36</f>
        <v>0.23857127199999972</v>
      </c>
      <c r="N36" s="143">
        <f>M36/G36</f>
        <v>2.6704011136646229E-2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1.1614084940759601</v>
      </c>
      <c r="H37" s="147"/>
      <c r="I37" s="135">
        <v>0.13</v>
      </c>
      <c r="J37" s="147"/>
      <c r="K37" s="148">
        <f>K36*I37</f>
        <v>1.1924227594359602</v>
      </c>
      <c r="L37" s="149"/>
      <c r="M37" s="150">
        <f>K37-G37</f>
        <v>3.1014265360000071E-2</v>
      </c>
      <c r="N37" s="151">
        <f>M37/G37</f>
        <v>2.6704011136646319E-2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10.095319986967962</v>
      </c>
      <c r="H38" s="147"/>
      <c r="I38" s="147"/>
      <c r="J38" s="147"/>
      <c r="K38" s="148">
        <f>SUM(K36:K37)</f>
        <v>10.364905524327961</v>
      </c>
      <c r="L38" s="149"/>
      <c r="M38" s="150">
        <f>K38-G38</f>
        <v>0.26958553735999935</v>
      </c>
      <c r="N38" s="151">
        <f>M38/G38</f>
        <v>2.6704011136646194E-2</v>
      </c>
    </row>
    <row r="39" spans="1:14" ht="14.25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10.095319986967962</v>
      </c>
      <c r="H40" s="161"/>
      <c r="I40" s="161"/>
      <c r="J40" s="161"/>
      <c r="K40" s="162">
        <f>SUM(K38:K39)</f>
        <v>10.364905524327961</v>
      </c>
      <c r="L40" s="163"/>
      <c r="M40" s="89">
        <f>K40-G40</f>
        <v>0.26958553735999935</v>
      </c>
      <c r="N40" s="90">
        <f>M40/G40</f>
        <v>2.6704011136646194E-2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64" orientation="portrait" r:id="rId1"/>
  <headerFooter alignWithMargins="0"/>
  <ignoredErrors>
    <ignoredError sqref="J15:N15 J16:M17 E29:N30 E19:F19 E40:N40 E38:F39 E21:F23 F20 E26:F26 F24:F25 E35:N37 F32:H34 J32:N34 F27:H27 J27:N27 E28:N28" unlockedFormula="1"/>
    <ignoredError sqref="N16 G19:N19 G38:N38 G23:N23 G22:M22 H39:J39 L39 G21:N21 G20:H20 J20:M20 G26:N26 G24:H24 J24:N24 G25:H25 J25:N25" formula="1" unlockedFormula="1"/>
    <ignoredError sqref="G18:N18 N22 N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Table</vt:lpstr>
      <vt:lpstr>ResidentialRPP</vt:lpstr>
      <vt:lpstr>Residential 10th </vt:lpstr>
      <vt:lpstr>GS &lt;50RPP</vt:lpstr>
      <vt:lpstr>GS 50-2999RPP</vt:lpstr>
      <vt:lpstr>GS3000-4999RPP</vt:lpstr>
      <vt:lpstr>UMSLRPP</vt:lpstr>
      <vt:lpstr>Sentinel LightsRPP</vt:lpstr>
      <vt:lpstr>Street LightingRPP</vt:lpstr>
      <vt:lpstr>ResidentialNonRPP</vt:lpstr>
      <vt:lpstr>ResidentialNonRPP 10th</vt:lpstr>
      <vt:lpstr>GS &lt;50NonRPP</vt:lpstr>
      <vt:lpstr>GS 50-2999NonRPP</vt:lpstr>
      <vt:lpstr>GS3000-4999NonRPP</vt:lpstr>
      <vt:lpstr>UMSLNonRPP</vt:lpstr>
      <vt:lpstr>Sentinel LightsNonRPP</vt:lpstr>
      <vt:lpstr>Street LightingNonRPP</vt:lpstr>
      <vt:lpstr>'Residential 10th '!Print_Area</vt:lpstr>
      <vt:lpstr>'ResidentialNonRPP 10th'!Print_Area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Soucie</dc:creator>
  <cp:lastModifiedBy>Susi Vogt</cp:lastModifiedBy>
  <cp:lastPrinted>2015-11-02T17:11:27Z</cp:lastPrinted>
  <dcterms:created xsi:type="dcterms:W3CDTF">2015-02-10T13:22:59Z</dcterms:created>
  <dcterms:modified xsi:type="dcterms:W3CDTF">2016-02-10T19:59:53Z</dcterms:modified>
</cp:coreProperties>
</file>