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9795" activeTab="1"/>
  </bookViews>
  <sheets>
    <sheet name="Summary All" sheetId="1" r:id="rId1"/>
    <sheet name="Summary selected" sheetId="2" r:id="rId2"/>
    <sheet name="Res (100kWh)" sheetId="3" r:id="rId3"/>
    <sheet name="Res (250kWh)" sheetId="4" r:id="rId4"/>
    <sheet name="Res (350kWh)" sheetId="5" r:id="rId5"/>
    <sheet name="Res (800kWh)" sheetId="6" r:id="rId6"/>
    <sheet name="Res (1,000kWh)" sheetId="7" r:id="rId7"/>
    <sheet name="Res (1,500kWh)" sheetId="8" r:id="rId8"/>
    <sheet name="Res (2,000kWh)" sheetId="9" r:id="rId9"/>
    <sheet name="GS&lt;50 (1,000kWh)" sheetId="10" r:id="rId10"/>
    <sheet name="GS&lt;50 (2,000kWh)" sheetId="11" r:id="rId11"/>
    <sheet name="GS&lt;50 (5,000kWh)" sheetId="12" r:id="rId12"/>
    <sheet name="GS&lt;50 (10,000kWh)" sheetId="13" r:id="rId13"/>
    <sheet name="GS&lt;50 (15,000kWh)" sheetId="14" r:id="rId14"/>
    <sheet name="GS 50-4999 (60kW)" sheetId="15" r:id="rId15"/>
    <sheet name="GS 50-4999 (100kW)" sheetId="16" r:id="rId16"/>
    <sheet name="Sentinel" sheetId="17" r:id="rId17"/>
    <sheet name="USL (800kWh)" sheetId="18" r:id="rId18"/>
    <sheet name="ST (1kW)" sheetId="19" r:id="rId19"/>
  </sheets>
  <externalReferences>
    <externalReference r:id="rId22"/>
  </externalReferences>
  <definedNames>
    <definedName name="EBNUMBER">'[1]LDC Info'!$E$16</definedName>
    <definedName name="_xlnm.Print_Area" localSheetId="15">'GS 50-4999 (100kW)'!$A$1:$O$96</definedName>
    <definedName name="_xlnm.Print_Area" localSheetId="14">'GS 50-4999 (60kW)'!$A$1:$O$96</definedName>
    <definedName name="_xlnm.Print_Area" localSheetId="9">'GS&lt;50 (1,000kWh)'!$A$1:$O$98</definedName>
    <definedName name="_xlnm.Print_Area" localSheetId="12">'GS&lt;50 (10,000kWh)'!$A$1:$O$98</definedName>
    <definedName name="_xlnm.Print_Area" localSheetId="13">'GS&lt;50 (15,000kWh)'!$A$1:$O$99</definedName>
    <definedName name="_xlnm.Print_Area" localSheetId="10">'GS&lt;50 (2,000kWh)'!$A$1:$O$98</definedName>
    <definedName name="_xlnm.Print_Area" localSheetId="11">'GS&lt;50 (5,000kWh)'!$A$1:$O$98</definedName>
    <definedName name="_xlnm.Print_Area" localSheetId="6">'Res (1,000kWh)'!$A$1:$O$98</definedName>
    <definedName name="_xlnm.Print_Area" localSheetId="7">'Res (1,500kWh)'!$A$1:$O$98</definedName>
    <definedName name="_xlnm.Print_Area" localSheetId="2">'Res (100kWh)'!$A$1:$O$98</definedName>
    <definedName name="_xlnm.Print_Area" localSheetId="8">'Res (2,000kWh)'!$A$1:$O$98</definedName>
    <definedName name="_xlnm.Print_Area" localSheetId="3">'Res (250kWh)'!$A$1:$O$98</definedName>
    <definedName name="_xlnm.Print_Area" localSheetId="4">'Res (350kWh)'!$A$1:$O$98</definedName>
    <definedName name="_xlnm.Print_Area" localSheetId="5">'Res (800kWh)'!$A$1:$O$98</definedName>
    <definedName name="_xlnm.Print_Area" localSheetId="16">'Sentinel'!$A$1:$O$95</definedName>
    <definedName name="_xlnm.Print_Area" localSheetId="18">'ST (1kW)'!$A$1:$O$95</definedName>
    <definedName name="_xlnm.Print_Area" localSheetId="0">'Summary All'!$A$1:$J$31</definedName>
    <definedName name="_xlnm.Print_Area" localSheetId="17">'USL (800kWh)'!$A$1:$O$94</definedName>
  </definedNames>
  <calcPr fullCalcOnLoad="1"/>
</workbook>
</file>

<file path=xl/comments10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1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</commentList>
</comments>
</file>

<file path=xl/comments12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3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4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5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6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</commentList>
</comments>
</file>

<file path=xl/comments17.xml><?xml version="1.0" encoding="utf-8"?>
<comments xmlns="http://schemas.openxmlformats.org/spreadsheetml/2006/main">
  <authors>
    <author>Marc Abramovitz</author>
    <author>Patti Eitel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G54" authorId="1">
      <text>
        <r>
          <rPr>
            <b/>
            <sz val="9"/>
            <rFont val="Tahoma"/>
            <family val="2"/>
          </rPr>
          <t>Patti Eitel:</t>
        </r>
        <r>
          <rPr>
            <sz val="9"/>
            <rFont val="Tahoma"/>
            <family val="2"/>
          </rPr>
          <t xml:space="preserve">
Quantities corrected
</t>
        </r>
      </text>
    </comment>
  </commentList>
</comments>
</file>

<file path=xl/comments18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9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<sst xmlns="http://schemas.openxmlformats.org/spreadsheetml/2006/main" count="2026" uniqueCount="153">
  <si>
    <t>File Number:</t>
  </si>
  <si>
    <t>Exhibit:</t>
  </si>
  <si>
    <t>Page: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</si>
  <si>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</si>
  <si>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</si>
  <si>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</si>
  <si>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</si>
  <si>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</si>
  <si>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</si>
  <si>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</si>
  <si>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</si>
  <si>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</si>
  <si>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</si>
  <si>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</si>
  <si>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</si>
  <si>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</si>
  <si>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</si>
  <si>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</si>
  <si>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</si>
  <si>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</si>
  <si>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</si>
  <si>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</si>
  <si>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Smart Meter Disposition Rider</t>
  </si>
  <si>
    <t>LRAM &amp; SSM Rate Rider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</si>
  <si>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</si>
  <si>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</si>
  <si>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</si>
  <si>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</si>
  <si>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</si>
  <si>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</si>
  <si>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</si>
  <si>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</si>
  <si>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</si>
  <si>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</si>
  <si>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</si>
  <si>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</si>
  <si>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</si>
  <si>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</si>
  <si>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</si>
  <si>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</si>
  <si>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</si>
  <si>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</si>
  <si>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</si>
  <si>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</si>
  <si>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</si>
  <si>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</si>
  <si>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</si>
  <si>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</si>
  <si>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</si>
  <si>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</si>
  <si>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</si>
  <si>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</si>
  <si>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</si>
  <si>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</si>
  <si>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</si>
  <si>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</si>
  <si>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</si>
  <si>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</si>
  <si>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</si>
  <si>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</si>
  <si>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</si>
  <si>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Residential</t>
  </si>
  <si>
    <t>Monthly</t>
  </si>
  <si>
    <t>per kWh</t>
  </si>
  <si>
    <t>Rate Rider for Smart Meter Incremental Revenue Requirement</t>
  </si>
  <si>
    <t>Stranded Meter Rate Rider (SMRR)</t>
  </si>
  <si>
    <t xml:space="preserve">Rate Rider for Application of Tax Change </t>
  </si>
  <si>
    <t>Rate Rider for Accounts 1575 and 1576</t>
  </si>
  <si>
    <t>GS &lt; 50 kW</t>
  </si>
  <si>
    <t>non-TOU</t>
  </si>
  <si>
    <t>kW</t>
  </si>
  <si>
    <t>per kW</t>
  </si>
  <si>
    <t>Street Lighting</t>
  </si>
  <si>
    <t>Unmetered Scattered Load</t>
  </si>
  <si>
    <t>COP Spot Price</t>
  </si>
  <si>
    <t>Rate Rider for Disposition of Global Adjustment Sub-Account(Applicable only for Non-RPP Customers)</t>
  </si>
  <si>
    <t>Appendix:</t>
  </si>
  <si>
    <t>Sheet:</t>
  </si>
  <si>
    <t>Sheet 4- Res (800 kWh)</t>
  </si>
  <si>
    <t>Sheet 2- Res (250 kWh)</t>
  </si>
  <si>
    <t>Sheet 1- Res (100 kWh)</t>
  </si>
  <si>
    <t>Sheet 5- Res (1,000 kWh)</t>
  </si>
  <si>
    <t>Sheet 6- Res (1,500 kWh)</t>
  </si>
  <si>
    <t>Sheet 7- Res (2,000 kWh)</t>
  </si>
  <si>
    <t>Sheet 8- GS&lt;50 (1,000 kWh)</t>
  </si>
  <si>
    <t>Sheet 9- GS&lt;50 (2,000 kWh)</t>
  </si>
  <si>
    <t>Sheet 10- GS&lt;50 (5,000 kWh)</t>
  </si>
  <si>
    <t>Sheet 11- GS&lt;50 (10,000 kWh)</t>
  </si>
  <si>
    <t>Sheet 12- GS&lt;50 (15,000 kWh)</t>
  </si>
  <si>
    <t>Sheet 13- GS 50-999 (60 kW)</t>
  </si>
  <si>
    <t>Sheet 14- GS 50-999 (100 kW)</t>
  </si>
  <si>
    <t>Sheet 15- GS 1000-4999 (1,000 kW)</t>
  </si>
  <si>
    <t>Rate Rider for Recovery of Foregone Revenue</t>
  </si>
  <si>
    <t xml:space="preserve">Rate Rider for Recovery of Foregone Revenue </t>
  </si>
  <si>
    <t>Customer Class</t>
  </si>
  <si>
    <t>$</t>
  </si>
  <si>
    <t>%</t>
  </si>
  <si>
    <t>800 kWh</t>
  </si>
  <si>
    <t>2,000 kWh</t>
  </si>
  <si>
    <t>60 kW</t>
  </si>
  <si>
    <t>USL (1 connection)</t>
  </si>
  <si>
    <t>150 kWh</t>
  </si>
  <si>
    <t xml:space="preserve">1 kW </t>
  </si>
  <si>
    <t>Rate Class</t>
  </si>
  <si>
    <t>kWh</t>
  </si>
  <si>
    <t># of Connections</t>
  </si>
  <si>
    <t>Time-of-Use</t>
  </si>
  <si>
    <t>USL</t>
  </si>
  <si>
    <t>Difference     B - A = C</t>
  </si>
  <si>
    <t>Bill Impact   C/A</t>
  </si>
  <si>
    <t>LRAM Rate Rider</t>
  </si>
  <si>
    <t>Rate Rider for Recovery of Z-factor (storm) costs</t>
  </si>
  <si>
    <t>Street Lighting     (1 con)</t>
  </si>
  <si>
    <t>GS 50-4999 kW</t>
  </si>
  <si>
    <t>Sentinel Lighting</t>
  </si>
  <si>
    <t>2015 Total  Bill          A</t>
  </si>
  <si>
    <t xml:space="preserve"> </t>
  </si>
  <si>
    <t>350 kWh</t>
  </si>
  <si>
    <t>Total Bill Impact Excluding OCEB</t>
  </si>
  <si>
    <t>GS 50 - 4999 kW</t>
  </si>
  <si>
    <t>65 kW</t>
  </si>
  <si>
    <t>Ontario Electricity Support Program (OESP)</t>
  </si>
  <si>
    <t>C</t>
  </si>
  <si>
    <t>EB-2015-0054</t>
  </si>
  <si>
    <r>
      <t xml:space="preserve">Total Bill </t>
    </r>
    <r>
      <rPr>
        <sz val="11"/>
        <rFont val="Calibri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</si>
  <si>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1"/>
        <rFont val="Calibri"/>
        <family val="2"/>
      </rPr>
      <t>1</t>
    </r>
  </si>
  <si>
    <r>
      <t>1</t>
    </r>
    <r>
      <rPr>
        <sz val="11"/>
        <rFont val="Calibri"/>
        <family val="2"/>
      </rPr>
      <t xml:space="preserve"> Applicable to eligible customers only.  Refer to the </t>
    </r>
    <r>
      <rPr>
        <i/>
        <sz val="11"/>
        <rFont val="Calibri"/>
        <family val="2"/>
      </rPr>
      <t>Ontario Clean Energy Benefit Act, 2010.</t>
    </r>
  </si>
  <si>
    <r>
      <t xml:space="preserve">Total Bill </t>
    </r>
    <r>
      <rPr>
        <sz val="11"/>
        <rFont val="Calibri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</si>
  <si>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1"/>
        <rFont val="Calibri"/>
        <family val="2"/>
      </rPr>
      <t>1</t>
    </r>
  </si>
  <si>
    <r>
      <t>1</t>
    </r>
    <r>
      <rPr>
        <sz val="11"/>
        <rFont val="Calibri"/>
        <family val="2"/>
      </rPr>
      <t xml:space="preserve"> Applicable to eligible customers only.  Refer to the </t>
    </r>
    <r>
      <rPr>
        <i/>
        <sz val="11"/>
        <rFont val="Calibri"/>
        <family val="2"/>
      </rPr>
      <t>Ontario Clean Energy Benefit Act, 2010.</t>
    </r>
  </si>
  <si>
    <t>Sheet 3- Res (350 kWh)</t>
  </si>
  <si>
    <t>Jan 19/16 Updates:  i) 2015 OCEB removed (ineligible) ii) 2016  Rate Rider for Application of Tax Changes added, iii)2016  WMSC updated  iv) 2016 OESP added</t>
  </si>
  <si>
    <t>Jan 19/16 Updates:  i) 2015 OCEB removed (ineligible)  ii) 2016  WMSC updated  iii) 2016 OESP added</t>
  </si>
  <si>
    <t>Jan 19/16 Updates: i)  2016  WMSC updated  ii) 2016 OESP added</t>
  </si>
  <si>
    <t xml:space="preserve">                                       iii) 2016 WMSC updated iv)2016  OESP added</t>
  </si>
  <si>
    <t>Jan 19/16 Updates: i) 2016 Monthly Service &amp; Volumetric Charges updated(4year transition) ii) 2016 Rate Rider for Application of Tax Change moved to Section A</t>
  </si>
  <si>
    <t xml:space="preserve">                                       iii) LRAMVA moved to Section A iv) 2016 WMSC updated v) 2016  OESP added</t>
  </si>
  <si>
    <t>Jan 19/16 Updates: i) 2016 Monthly Service &amp; Volumetric Charges updated(4year transition) ii) Rate Rider for Application of Tax Changes Moved to Section A</t>
  </si>
  <si>
    <t xml:space="preserve">                                      iv)Rate Rider for Application of Tax Changes Moved to Section A v) LRAMVA moved to Section A vi)2016 WMSC updated vii) 2016 OESP added</t>
  </si>
  <si>
    <t>Jan 19/16 Updates: i) 2015 &amp; 2016 Line Losses on Cost of Power updated  ii)2015 &amp; 2016 TOU &amp; RPP rates updated  iii)2016 Monthly Service &amp; Volumetric Charges updated(4year transition)</t>
  </si>
  <si>
    <t>Jan 19/16 Updates: i) LRAM moved to Section A ii)  2016  WMSC updated  iii) 2016 OESP added</t>
  </si>
  <si>
    <t xml:space="preserve">Jan 19/16 Updates: i) 2015 OCEB removed(ineligible) ii) 2016  Rate Rider for Application of Tax Changes added iii) LRAM moved to Section A </t>
  </si>
  <si>
    <t xml:space="preserve">                                        iv)2016  WMSC updated  v) 2016 OESP added</t>
  </si>
  <si>
    <t>Jan 19/16 Updates:  i) WMSC,RRRP quantities corrected ii) 2016  Rate Rider for Application of Tax Changes added, iii)LRAM Rate Rider moved to Section A</t>
  </si>
  <si>
    <t xml:space="preserve">                                      iv)2016  WMSC updated  v) 2016 OESP added</t>
  </si>
  <si>
    <t>Updated:</t>
  </si>
  <si>
    <t>Sheet 16- USL (150kWh)</t>
  </si>
  <si>
    <t>Sheet 17- ST (1 kW)</t>
  </si>
  <si>
    <t>Bill Impacts - 4 Year Variable-to-Fixed Transition</t>
  </si>
  <si>
    <t>2016 Bill  as Amended Jan 15 2016           B</t>
  </si>
  <si>
    <t>Fixed &amp; Volumetric only</t>
  </si>
  <si>
    <t>Distribution Impact (Fixed &amp; Volumetric Charge)</t>
  </si>
  <si>
    <t xml:space="preserve">Total Bill Impact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</si>
</sst>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&quot;$&quot;* #,##0.0000_-;\-&quot;$&quot;* #,##0.0000_-;_-&quot;$&quot;* &quot;-&quot;??_-;_-@_-"/>
    <numFmt numFmtId="174" formatCode="_-&quot;$&quot;* #,##0.000_-;\-&quot;$&quot;* #,##0.000_-;_-&quot;$&quot;* &quot;-&quot;??_-;_-@_-"/>
    <numFmt numFmtId="175" formatCode="_-* #,##0.0000_-;\-* #,##0.0000_-;_-* &quot;-&quot;??_-;_-@_-"/>
    <numFmt numFmtId="176" formatCode="0.0%"/>
    <numFmt numFmtId="177" formatCode="[$-409]dddd\,\ mmmm\ dd\,\ yyyy"/>
    <numFmt numFmtId="178" formatCode="[$-409]h:mm:ss\ AM/PM"/>
    <numFmt numFmtId="179" formatCode="&quot;$&quot;#,##0.00"/>
    <numFmt numFmtId="180" formatCode="&quot;$&quot;#,##0.0000_);\(&quot;$&quot;#,##0.0000\)"/>
    <numFmt numFmtId="181" formatCode="_(&quot;$&quot;* #,##0.0000_);_(&quot;$&quot;* \(#,##0.0000\);_(&quot;$&quot;* &quot;-&quot;????_);_(@_)"/>
    <numFmt numFmtId="182" formatCode="_(&quot;$&quot;* #,##0.000_);_(&quot;$&quot;* \(#,##0.000\);_(&quot;$&quot;* &quot;-&quot;????_);_(@_)"/>
    <numFmt numFmtId="183" formatCode="_(&quot;$&quot;* #,##0.00_);_(&quot;$&quot;* \(#,##0.00\);_(&quot;$&quot;* &quot;-&quot;????_);_(@_)"/>
    <numFmt numFmtId="184" formatCode="0.0"/>
    <numFmt numFmtId="185" formatCode="_(&quot;$&quot;* #,##0.00000_);_(&quot;$&quot;* \(#,##0.00000\);_(&quot;$&quot;* &quot;-&quot;????_);_(@_)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-&quot;$&quot;* #,##0.0000_-;\-&quot;$&quot;* #,##0.0000_-;_-&quot;$&quot;* &quot;-&quot;??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vertAlign val="superscript"/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indent="1"/>
      <protection/>
    </xf>
    <xf numFmtId="0" fontId="6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2" fontId="3" fillId="4" borderId="1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0" fontId="0" fillId="33" borderId="0" xfId="0" applyFill="1" applyBorder="1" applyAlignment="1" applyProtection="1">
      <alignment horizontal="right"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5" fontId="4" fillId="0" borderId="0" xfId="0" applyNumberFormat="1" applyFont="1" applyFill="1" applyAlignment="1">
      <alignment vertical="top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6" xfId="58" applyNumberFormat="1" applyFont="1" applyBorder="1" applyAlignment="1">
      <alignment/>
    </xf>
    <xf numFmtId="0" fontId="0" fillId="0" borderId="17" xfId="0" applyBorder="1" applyAlignment="1">
      <alignment horizontal="center"/>
    </xf>
    <xf numFmtId="170" fontId="0" fillId="0" borderId="18" xfId="0" applyNumberFormat="1" applyBorder="1" applyAlignment="1">
      <alignment/>
    </xf>
    <xf numFmtId="10" fontId="0" fillId="0" borderId="19" xfId="58" applyNumberFormat="1" applyFont="1" applyBorder="1" applyAlignment="1">
      <alignment/>
    </xf>
    <xf numFmtId="170" fontId="0" fillId="0" borderId="20" xfId="0" applyNumberFormat="1" applyBorder="1" applyAlignment="1">
      <alignment/>
    </xf>
    <xf numFmtId="10" fontId="0" fillId="0" borderId="21" xfId="58" applyNumberFormat="1" applyFont="1" applyBorder="1" applyAlignment="1">
      <alignment/>
    </xf>
    <xf numFmtId="0" fontId="0" fillId="0" borderId="22" xfId="0" applyBorder="1" applyAlignment="1">
      <alignment horizontal="center" vertical="center"/>
    </xf>
    <xf numFmtId="170" fontId="0" fillId="0" borderId="23" xfId="0" applyNumberFormat="1" applyBorder="1" applyAlignment="1">
      <alignment vertical="center"/>
    </xf>
    <xf numFmtId="10" fontId="0" fillId="0" borderId="12" xfId="58" applyNumberFormat="1" applyFont="1" applyBorder="1" applyAlignment="1">
      <alignment vertical="center"/>
    </xf>
    <xf numFmtId="0" fontId="3" fillId="3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42" applyFont="1" applyBorder="1" applyAlignment="1">
      <alignment/>
    </xf>
    <xf numFmtId="10" fontId="0" fillId="0" borderId="26" xfId="58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171" fontId="0" fillId="0" borderId="15" xfId="42" applyFont="1" applyBorder="1" applyAlignment="1">
      <alignment/>
    </xf>
    <xf numFmtId="10" fontId="0" fillId="0" borderId="28" xfId="58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171" fontId="0" fillId="0" borderId="30" xfId="42" applyFont="1" applyBorder="1" applyAlignment="1">
      <alignment/>
    </xf>
    <xf numFmtId="10" fontId="0" fillId="0" borderId="31" xfId="0" applyNumberForma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0" fontId="0" fillId="0" borderId="26" xfId="58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171" fontId="0" fillId="0" borderId="0" xfId="42" applyFont="1" applyBorder="1" applyAlignment="1">
      <alignment vertical="center"/>
    </xf>
    <xf numFmtId="0" fontId="0" fillId="0" borderId="0" xfId="0" applyFill="1" applyBorder="1" applyAlignment="1" quotePrefix="1">
      <alignment horizontal="center"/>
    </xf>
    <xf numFmtId="0" fontId="0" fillId="0" borderId="26" xfId="0" applyBorder="1" applyAlignment="1" quotePrefix="1">
      <alignment horizontal="center"/>
    </xf>
    <xf numFmtId="0" fontId="3" fillId="35" borderId="2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171" fontId="0" fillId="36" borderId="0" xfId="42" applyFont="1" applyFill="1" applyBorder="1" applyAlignment="1">
      <alignment/>
    </xf>
    <xf numFmtId="10" fontId="0" fillId="36" borderId="26" xfId="58" applyNumberFormat="1" applyFont="1" applyFill="1" applyBorder="1" applyAlignment="1">
      <alignment/>
    </xf>
    <xf numFmtId="3" fontId="0" fillId="36" borderId="0" xfId="0" applyNumberForma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33" borderId="0" xfId="0" applyFill="1" applyBorder="1" applyAlignment="1" applyProtection="1">
      <alignment horizontal="right"/>
      <protection/>
    </xf>
    <xf numFmtId="10" fontId="0" fillId="0" borderId="36" xfId="58" applyNumberFormat="1" applyFont="1" applyBorder="1" applyAlignment="1">
      <alignment/>
    </xf>
    <xf numFmtId="0" fontId="0" fillId="0" borderId="22" xfId="0" applyBorder="1" applyAlignment="1">
      <alignment horizontal="center"/>
    </xf>
    <xf numFmtId="170" fontId="0" fillId="0" borderId="23" xfId="0" applyNumberFormat="1" applyBorder="1" applyAlignment="1">
      <alignment/>
    </xf>
    <xf numFmtId="10" fontId="0" fillId="0" borderId="12" xfId="58" applyNumberFormat="1" applyFont="1" applyBorder="1" applyAlignment="1">
      <alignment/>
    </xf>
    <xf numFmtId="44" fontId="6" fillId="0" borderId="0" xfId="0" applyNumberFormat="1" applyFont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/>
      <protection/>
    </xf>
    <xf numFmtId="0" fontId="14" fillId="33" borderId="0" xfId="0" applyFont="1" applyFill="1" applyAlignment="1" applyProtection="1">
      <alignment vertical="top" wrapText="1"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4" borderId="0" xfId="0" applyFont="1" applyFill="1" applyAlignment="1" applyProtection="1">
      <alignment vertical="top" wrapText="1"/>
      <protection/>
    </xf>
    <xf numFmtId="0" fontId="13" fillId="4" borderId="0" xfId="0" applyFont="1" applyFill="1" applyAlignment="1" applyProtection="1">
      <alignment vertical="top" wrapText="1"/>
      <protection/>
    </xf>
    <xf numFmtId="0" fontId="0" fillId="4" borderId="0" xfId="0" applyFont="1" applyFill="1" applyAlignment="1" applyProtection="1">
      <alignment vertical="top"/>
      <protection locked="0"/>
    </xf>
    <xf numFmtId="0" fontId="15" fillId="37" borderId="37" xfId="0" applyFont="1" applyFill="1" applyBorder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/>
    </xf>
    <xf numFmtId="0" fontId="13" fillId="0" borderId="0" xfId="0" applyFont="1" applyFill="1" applyAlignment="1" applyProtection="1">
      <alignment vertical="top"/>
      <protection/>
    </xf>
    <xf numFmtId="0" fontId="15" fillId="37" borderId="37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3" fillId="0" borderId="0" xfId="55" applyFont="1" applyAlignment="1" applyProtection="1">
      <alignment vertical="top"/>
      <protection/>
    </xf>
    <xf numFmtId="0" fontId="13" fillId="38" borderId="38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horizontal="left" vertical="top" indent="1"/>
      <protection/>
    </xf>
    <xf numFmtId="0" fontId="15" fillId="0" borderId="0" xfId="0" applyFont="1" applyAlignment="1" applyProtection="1">
      <alignment horizontal="left" vertical="top" wrapText="1" indent="1"/>
      <protection/>
    </xf>
    <xf numFmtId="0" fontId="13" fillId="38" borderId="38" xfId="55" applyFont="1" applyFill="1" applyBorder="1" applyProtection="1">
      <alignment/>
      <protection/>
    </xf>
    <xf numFmtId="0" fontId="15" fillId="0" borderId="0" xfId="55" applyFont="1" applyFill="1" applyAlignment="1" applyProtection="1">
      <alignment vertical="top"/>
      <protection/>
    </xf>
    <xf numFmtId="0" fontId="13" fillId="0" borderId="0" xfId="55" applyFont="1" applyFill="1" applyAlignment="1" applyProtection="1">
      <alignment horizontal="left" vertical="top" indent="1"/>
      <protection/>
    </xf>
    <xf numFmtId="0" fontId="15" fillId="0" borderId="0" xfId="55" applyFont="1" applyAlignment="1" applyProtection="1">
      <alignment horizontal="left" vertical="top" wrapText="1" indent="1"/>
      <protection/>
    </xf>
    <xf numFmtId="0" fontId="15" fillId="0" borderId="0" xfId="0" applyFont="1" applyAlignment="1" applyProtection="1">
      <alignment/>
      <protection/>
    </xf>
    <xf numFmtId="0" fontId="0" fillId="38" borderId="24" xfId="0" applyFont="1" applyFill="1" applyBorder="1" applyAlignment="1" applyProtection="1">
      <alignment vertical="top"/>
      <protection/>
    </xf>
    <xf numFmtId="0" fontId="0" fillId="38" borderId="24" xfId="0" applyFont="1" applyFill="1" applyBorder="1" applyAlignment="1" applyProtection="1">
      <alignment vertical="top"/>
      <protection locked="0"/>
    </xf>
    <xf numFmtId="0" fontId="0" fillId="2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/>
    </xf>
    <xf numFmtId="44" fontId="0" fillId="4" borderId="39" xfId="44" applyNumberFormat="1" applyFont="1" applyFill="1" applyBorder="1" applyAlignment="1" applyProtection="1">
      <alignment vertical="top"/>
      <protection locked="0"/>
    </xf>
    <xf numFmtId="0" fontId="0" fillId="0" borderId="39" xfId="0" applyFont="1" applyFill="1" applyBorder="1" applyAlignment="1" applyProtection="1">
      <alignment vertical="center"/>
      <protection/>
    </xf>
    <xf numFmtId="170" fontId="0" fillId="0" borderId="40" xfId="44" applyFont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44" fontId="0" fillId="0" borderId="39" xfId="0" applyNumberFormat="1" applyFont="1" applyBorder="1" applyAlignment="1" applyProtection="1">
      <alignment vertical="center"/>
      <protection/>
    </xf>
    <xf numFmtId="10" fontId="0" fillId="0" borderId="40" xfId="58" applyNumberFormat="1" applyFont="1" applyBorder="1" applyAlignment="1" applyProtection="1">
      <alignment vertical="center"/>
      <protection/>
    </xf>
    <xf numFmtId="170" fontId="0" fillId="4" borderId="39" xfId="44" applyNumberFormat="1" applyFont="1" applyFill="1" applyBorder="1" applyAlignment="1" applyProtection="1">
      <alignment vertical="top"/>
      <protection locked="0"/>
    </xf>
    <xf numFmtId="44" fontId="0" fillId="4" borderId="39" xfId="44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173" fontId="0" fillId="4" borderId="39" xfId="44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173" fontId="0" fillId="4" borderId="39" xfId="44" applyNumberFormat="1" applyFont="1" applyFill="1" applyBorder="1" applyAlignment="1" applyProtection="1">
      <alignment vertical="top"/>
      <protection locked="0"/>
    </xf>
    <xf numFmtId="183" fontId="0" fillId="4" borderId="39" xfId="44" applyNumberFormat="1" applyFont="1" applyFill="1" applyBorder="1" applyAlignment="1" applyProtection="1">
      <alignment vertical="center"/>
      <protection locked="0"/>
    </xf>
    <xf numFmtId="181" fontId="0" fillId="4" borderId="39" xfId="44" applyNumberFormat="1" applyFont="1" applyFill="1" applyBorder="1" applyAlignment="1" applyProtection="1">
      <alignment vertical="top"/>
      <protection locked="0"/>
    </xf>
    <xf numFmtId="0" fontId="0" fillId="37" borderId="17" xfId="0" applyFont="1" applyFill="1" applyBorder="1" applyAlignment="1" applyProtection="1">
      <alignment vertical="top"/>
      <protection/>
    </xf>
    <xf numFmtId="0" fontId="0" fillId="37" borderId="17" xfId="0" applyFont="1" applyFill="1" applyBorder="1" applyAlignment="1" applyProtection="1">
      <alignment vertical="top"/>
      <protection locked="0"/>
    </xf>
    <xf numFmtId="173" fontId="0" fillId="37" borderId="10" xfId="44" applyNumberFormat="1" applyFont="1" applyFill="1" applyBorder="1" applyAlignment="1" applyProtection="1">
      <alignment vertical="top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170" fontId="0" fillId="37" borderId="41" xfId="44" applyFont="1" applyFill="1" applyBorder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173" fontId="0" fillId="37" borderId="10" xfId="44" applyNumberFormat="1" applyFont="1" applyFill="1" applyBorder="1" applyAlignment="1" applyProtection="1">
      <alignment vertical="center"/>
      <protection locked="0"/>
    </xf>
    <xf numFmtId="0" fontId="0" fillId="37" borderId="4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181" fontId="0" fillId="4" borderId="39" xfId="44" applyNumberFormat="1" applyFont="1" applyFill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73" fontId="0" fillId="0" borderId="39" xfId="44" applyNumberFormat="1" applyFont="1" applyFill="1" applyBorder="1" applyAlignment="1" applyProtection="1">
      <alignment vertical="center"/>
      <protection locked="0"/>
    </xf>
    <xf numFmtId="173" fontId="0" fillId="0" borderId="39" xfId="44" applyNumberFormat="1" applyFont="1" applyFill="1" applyBorder="1" applyAlignment="1" applyProtection="1">
      <alignment vertical="top"/>
      <protection locked="0"/>
    </xf>
    <xf numFmtId="170" fontId="0" fillId="0" borderId="40" xfId="44" applyFont="1" applyFill="1" applyBorder="1" applyAlignment="1" applyProtection="1">
      <alignment vertical="center"/>
      <protection/>
    </xf>
    <xf numFmtId="10" fontId="0" fillId="0" borderId="40" xfId="58" applyNumberFormat="1" applyFont="1" applyFill="1" applyBorder="1" applyAlignment="1" applyProtection="1">
      <alignment vertical="center"/>
      <protection/>
    </xf>
    <xf numFmtId="0" fontId="0" fillId="37" borderId="17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41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top"/>
      <protection/>
    </xf>
    <xf numFmtId="1" fontId="0" fillId="0" borderId="39" xfId="0" applyNumberFormat="1" applyFont="1" applyFill="1" applyBorder="1" applyAlignment="1" applyProtection="1">
      <alignment vertical="center"/>
      <protection/>
    </xf>
    <xf numFmtId="1" fontId="0" fillId="0" borderId="40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Alignment="1" applyProtection="1">
      <alignment/>
      <protection/>
    </xf>
    <xf numFmtId="173" fontId="0" fillId="38" borderId="43" xfId="44" applyNumberFormat="1" applyFont="1" applyFill="1" applyBorder="1" applyAlignment="1" applyProtection="1">
      <alignment vertical="top"/>
      <protection locked="0"/>
    </xf>
    <xf numFmtId="0" fontId="0" fillId="38" borderId="44" xfId="0" applyFont="1" applyFill="1" applyBorder="1" applyAlignment="1" applyProtection="1">
      <alignment vertical="center"/>
      <protection locked="0"/>
    </xf>
    <xf numFmtId="170" fontId="0" fillId="38" borderId="24" xfId="44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0" fillId="38" borderId="43" xfId="0" applyFont="1" applyFill="1" applyBorder="1" applyAlignment="1" applyProtection="1">
      <alignment vertical="center"/>
      <protection locked="0"/>
    </xf>
    <xf numFmtId="44" fontId="0" fillId="38" borderId="43" xfId="0" applyNumberFormat="1" applyFont="1" applyFill="1" applyBorder="1" applyAlignment="1" applyProtection="1">
      <alignment vertical="center"/>
      <protection/>
    </xf>
    <xf numFmtId="10" fontId="0" fillId="38" borderId="35" xfId="58" applyNumberFormat="1" applyFont="1" applyFill="1" applyBorder="1" applyAlignment="1" applyProtection="1">
      <alignment vertical="center"/>
      <protection/>
    </xf>
    <xf numFmtId="9" fontId="0" fillId="0" borderId="39" xfId="0" applyNumberFormat="1" applyFont="1" applyFill="1" applyBorder="1" applyAlignment="1" applyProtection="1">
      <alignment vertical="top"/>
      <protection/>
    </xf>
    <xf numFmtId="9" fontId="0" fillId="0" borderId="0" xfId="0" applyNumberFormat="1" applyFont="1" applyFill="1" applyBorder="1" applyAlignment="1" applyProtection="1">
      <alignment vertical="center"/>
      <protection/>
    </xf>
    <xf numFmtId="9" fontId="0" fillId="0" borderId="39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top"/>
      <protection/>
    </xf>
    <xf numFmtId="0" fontId="0" fillId="7" borderId="0" xfId="0" applyFont="1" applyFill="1" applyAlignment="1" applyProtection="1">
      <alignment vertical="top"/>
      <protection/>
    </xf>
    <xf numFmtId="0" fontId="0" fillId="7" borderId="45" xfId="0" applyFont="1" applyFill="1" applyBorder="1" applyAlignment="1" applyProtection="1">
      <alignment vertical="top"/>
      <protection/>
    </xf>
    <xf numFmtId="0" fontId="0" fillId="7" borderId="15" xfId="0" applyFont="1" applyFill="1" applyBorder="1" applyAlignment="1" applyProtection="1">
      <alignment vertical="center"/>
      <protection/>
    </xf>
    <xf numFmtId="173" fontId="0" fillId="38" borderId="44" xfId="44" applyNumberFormat="1" applyFont="1" applyFill="1" applyBorder="1" applyAlignment="1" applyProtection="1">
      <alignment vertical="top"/>
      <protection locked="0"/>
    </xf>
    <xf numFmtId="170" fontId="0" fillId="38" borderId="46" xfId="44" applyFont="1" applyFill="1" applyBorder="1" applyAlignment="1" applyProtection="1">
      <alignment vertical="center"/>
      <protection/>
    </xf>
    <xf numFmtId="170" fontId="0" fillId="38" borderId="43" xfId="44" applyFont="1" applyFill="1" applyBorder="1" applyAlignment="1" applyProtection="1">
      <alignment vertical="center"/>
      <protection/>
    </xf>
    <xf numFmtId="10" fontId="0" fillId="4" borderId="10" xfId="58" applyNumberFormat="1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47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0" fontId="15" fillId="0" borderId="48" xfId="0" applyFont="1" applyBorder="1" applyAlignment="1" applyProtection="1">
      <alignment horizontal="center"/>
      <protection/>
    </xf>
    <xf numFmtId="0" fontId="15" fillId="0" borderId="45" xfId="0" applyFont="1" applyBorder="1" applyAlignment="1" applyProtection="1" quotePrefix="1">
      <alignment horizontal="center"/>
      <protection/>
    </xf>
    <xf numFmtId="0" fontId="15" fillId="0" borderId="49" xfId="0" applyFont="1" applyBorder="1" applyAlignment="1" applyProtection="1" quotePrefix="1">
      <alignment horizontal="center"/>
      <protection/>
    </xf>
    <xf numFmtId="170" fontId="15" fillId="37" borderId="10" xfId="0" applyNumberFormat="1" applyFont="1" applyFill="1" applyBorder="1" applyAlignment="1" applyProtection="1">
      <alignment vertical="center"/>
      <protection/>
    </xf>
    <xf numFmtId="10" fontId="15" fillId="37" borderId="41" xfId="58" applyNumberFormat="1" applyFont="1" applyFill="1" applyBorder="1" applyAlignment="1" applyProtection="1">
      <alignment vertical="center"/>
      <protection/>
    </xf>
    <xf numFmtId="44" fontId="15" fillId="37" borderId="41" xfId="0" applyNumberFormat="1" applyFont="1" applyFill="1" applyBorder="1" applyAlignment="1" applyProtection="1">
      <alignment vertical="center"/>
      <protection/>
    </xf>
    <xf numFmtId="0" fontId="15" fillId="37" borderId="0" xfId="0" applyFont="1" applyFill="1" applyAlignment="1" applyProtection="1">
      <alignment vertical="center"/>
      <protection/>
    </xf>
    <xf numFmtId="0" fontId="15" fillId="37" borderId="10" xfId="0" applyFont="1" applyFill="1" applyBorder="1" applyAlignment="1" applyProtection="1">
      <alignment vertical="center"/>
      <protection/>
    </xf>
    <xf numFmtId="0" fontId="15" fillId="37" borderId="41" xfId="0" applyFont="1" applyFill="1" applyBorder="1" applyAlignment="1" applyProtection="1">
      <alignment vertical="center"/>
      <protection/>
    </xf>
    <xf numFmtId="0" fontId="13" fillId="2" borderId="0" xfId="55" applyFont="1" applyFill="1" applyAlignment="1" applyProtection="1">
      <alignment vertical="top"/>
      <protection locked="0"/>
    </xf>
    <xf numFmtId="0" fontId="13" fillId="0" borderId="0" xfId="55" applyFont="1" applyFill="1" applyAlignment="1" applyProtection="1">
      <alignment vertical="top"/>
      <protection/>
    </xf>
    <xf numFmtId="1" fontId="13" fillId="39" borderId="39" xfId="55" applyNumberFormat="1" applyFont="1" applyFill="1" applyBorder="1" applyAlignment="1" applyProtection="1">
      <alignment vertical="center"/>
      <protection/>
    </xf>
    <xf numFmtId="0" fontId="13" fillId="0" borderId="0" xfId="55" applyFont="1" applyAlignment="1" applyProtection="1">
      <alignment vertical="center"/>
      <protection/>
    </xf>
    <xf numFmtId="0" fontId="13" fillId="0" borderId="0" xfId="55" applyFont="1" applyProtection="1">
      <alignment/>
      <protection/>
    </xf>
    <xf numFmtId="44" fontId="15" fillId="0" borderId="42" xfId="0" applyNumberFormat="1" applyFont="1" applyFill="1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9" fontId="15" fillId="0" borderId="39" xfId="0" applyNumberFormat="1" applyFont="1" applyFill="1" applyBorder="1" applyAlignment="1" applyProtection="1">
      <alignment vertical="center"/>
      <protection/>
    </xf>
    <xf numFmtId="44" fontId="15" fillId="0" borderId="5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0" fontId="15" fillId="0" borderId="40" xfId="58" applyNumberFormat="1" applyFont="1" applyFill="1" applyBorder="1" applyAlignment="1" applyProtection="1">
      <alignment vertical="center"/>
      <protection/>
    </xf>
    <xf numFmtId="44" fontId="13" fillId="0" borderId="42" xfId="0" applyNumberFormat="1" applyFont="1" applyFill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vertical="center"/>
      <protection/>
    </xf>
    <xf numFmtId="9" fontId="13" fillId="0" borderId="39" xfId="0" applyNumberFormat="1" applyFont="1" applyFill="1" applyBorder="1" applyAlignment="1" applyProtection="1">
      <alignment vertical="center"/>
      <protection locked="0"/>
    </xf>
    <xf numFmtId="44" fontId="13" fillId="0" borderId="4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0" fontId="13" fillId="0" borderId="40" xfId="58" applyNumberFormat="1" applyFont="1" applyFill="1" applyBorder="1" applyAlignment="1" applyProtection="1">
      <alignment vertical="center"/>
      <protection/>
    </xf>
    <xf numFmtId="170" fontId="56" fillId="0" borderId="42" xfId="0" applyNumberFormat="1" applyFont="1" applyFill="1" applyBorder="1" applyAlignment="1" applyProtection="1">
      <alignment vertical="center"/>
      <protection/>
    </xf>
    <xf numFmtId="170" fontId="55" fillId="0" borderId="40" xfId="0" applyNumberFormat="1" applyFont="1" applyFill="1" applyBorder="1" applyAlignment="1" applyProtection="1">
      <alignment vertical="center"/>
      <protection/>
    </xf>
    <xf numFmtId="10" fontId="55" fillId="0" borderId="40" xfId="58" applyNumberFormat="1" applyFont="1" applyFill="1" applyBorder="1" applyAlignment="1" applyProtection="1">
      <alignment vertical="center"/>
      <protection/>
    </xf>
    <xf numFmtId="44" fontId="15" fillId="7" borderId="19" xfId="0" applyNumberFormat="1" applyFont="1" applyFill="1" applyBorder="1" applyAlignment="1" applyProtection="1">
      <alignment vertical="center"/>
      <protection/>
    </xf>
    <xf numFmtId="0" fontId="15" fillId="7" borderId="45" xfId="0" applyFont="1" applyFill="1" applyBorder="1" applyAlignment="1" applyProtection="1">
      <alignment vertical="center"/>
      <protection/>
    </xf>
    <xf numFmtId="44" fontId="15" fillId="7" borderId="49" xfId="0" applyNumberFormat="1" applyFont="1" applyFill="1" applyBorder="1" applyAlignment="1" applyProtection="1">
      <alignment vertical="center"/>
      <protection/>
    </xf>
    <xf numFmtId="0" fontId="15" fillId="7" borderId="15" xfId="0" applyFont="1" applyFill="1" applyBorder="1" applyAlignment="1" applyProtection="1">
      <alignment vertical="center"/>
      <protection/>
    </xf>
    <xf numFmtId="10" fontId="15" fillId="7" borderId="49" xfId="58" applyNumberFormat="1" applyFont="1" applyFill="1" applyBorder="1" applyAlignment="1" applyProtection="1">
      <alignment vertical="center"/>
      <protection/>
    </xf>
    <xf numFmtId="0" fontId="13" fillId="38" borderId="24" xfId="55" applyFont="1" applyFill="1" applyBorder="1" applyAlignment="1" applyProtection="1">
      <alignment vertical="top"/>
      <protection/>
    </xf>
    <xf numFmtId="0" fontId="13" fillId="38" borderId="24" xfId="55" applyFont="1" applyFill="1" applyBorder="1" applyAlignment="1" applyProtection="1">
      <alignment vertical="top"/>
      <protection locked="0"/>
    </xf>
    <xf numFmtId="0" fontId="13" fillId="38" borderId="44" xfId="55" applyFont="1" applyFill="1" applyBorder="1" applyAlignment="1" applyProtection="1">
      <alignment vertical="center"/>
      <protection locked="0"/>
    </xf>
    <xf numFmtId="0" fontId="13" fillId="38" borderId="24" xfId="55" applyFont="1" applyFill="1" applyBorder="1" applyAlignment="1" applyProtection="1">
      <alignment vertical="center"/>
      <protection/>
    </xf>
    <xf numFmtId="0" fontId="13" fillId="38" borderId="43" xfId="55" applyFont="1" applyFill="1" applyBorder="1" applyAlignment="1" applyProtection="1">
      <alignment vertical="center"/>
      <protection locked="0"/>
    </xf>
    <xf numFmtId="44" fontId="13" fillId="38" borderId="43" xfId="55" applyNumberFormat="1" applyFont="1" applyFill="1" applyBorder="1" applyAlignment="1" applyProtection="1">
      <alignment vertical="center"/>
      <protection/>
    </xf>
    <xf numFmtId="9" fontId="13" fillId="0" borderId="39" xfId="55" applyNumberFormat="1" applyFont="1" applyFill="1" applyBorder="1" applyAlignment="1" applyProtection="1">
      <alignment vertical="top"/>
      <protection/>
    </xf>
    <xf numFmtId="9" fontId="13" fillId="0" borderId="0" xfId="55" applyNumberFormat="1" applyFont="1" applyFill="1" applyBorder="1" applyAlignment="1" applyProtection="1">
      <alignment vertical="center"/>
      <protection/>
    </xf>
    <xf numFmtId="44" fontId="15" fillId="0" borderId="42" xfId="55" applyNumberFormat="1" applyFont="1" applyFill="1" applyBorder="1" applyAlignment="1" applyProtection="1">
      <alignment vertical="center"/>
      <protection/>
    </xf>
    <xf numFmtId="0" fontId="15" fillId="0" borderId="39" xfId="55" applyFont="1" applyFill="1" applyBorder="1" applyAlignment="1" applyProtection="1">
      <alignment vertical="center"/>
      <protection/>
    </xf>
    <xf numFmtId="9" fontId="15" fillId="0" borderId="39" xfId="55" applyNumberFormat="1" applyFont="1" applyFill="1" applyBorder="1" applyAlignment="1" applyProtection="1">
      <alignment vertical="center"/>
      <protection/>
    </xf>
    <xf numFmtId="44" fontId="15" fillId="0" borderId="50" xfId="55" applyNumberFormat="1" applyFont="1" applyFill="1" applyBorder="1" applyAlignment="1" applyProtection="1">
      <alignment vertical="center"/>
      <protection/>
    </xf>
    <xf numFmtId="0" fontId="15" fillId="0" borderId="0" xfId="55" applyFont="1" applyFill="1" applyBorder="1" applyAlignment="1" applyProtection="1">
      <alignment vertical="center"/>
      <protection/>
    </xf>
    <xf numFmtId="9" fontId="13" fillId="0" borderId="39" xfId="55" applyNumberFormat="1" applyFont="1" applyFill="1" applyBorder="1" applyAlignment="1" applyProtection="1">
      <alignment vertical="top"/>
      <protection locked="0"/>
    </xf>
    <xf numFmtId="44" fontId="13" fillId="0" borderId="42" xfId="55" applyNumberFormat="1" applyFont="1" applyFill="1" applyBorder="1" applyAlignment="1" applyProtection="1">
      <alignment vertical="center"/>
      <protection/>
    </xf>
    <xf numFmtId="0" fontId="13" fillId="0" borderId="39" xfId="55" applyFont="1" applyFill="1" applyBorder="1" applyAlignment="1" applyProtection="1">
      <alignment vertical="center"/>
      <protection/>
    </xf>
    <xf numFmtId="9" fontId="13" fillId="0" borderId="39" xfId="55" applyNumberFormat="1" applyFont="1" applyFill="1" applyBorder="1" applyAlignment="1" applyProtection="1">
      <alignment vertical="center"/>
      <protection/>
    </xf>
    <xf numFmtId="44" fontId="13" fillId="0" borderId="40" xfId="55" applyNumberFormat="1" applyFont="1" applyFill="1" applyBorder="1" applyAlignment="1" applyProtection="1">
      <alignment vertical="center"/>
      <protection/>
    </xf>
    <xf numFmtId="0" fontId="13" fillId="0" borderId="0" xfId="55" applyFont="1" applyFill="1" applyBorder="1" applyAlignment="1" applyProtection="1">
      <alignment vertical="center"/>
      <protection/>
    </xf>
    <xf numFmtId="0" fontId="13" fillId="0" borderId="39" xfId="55" applyFont="1" applyFill="1" applyBorder="1" applyAlignment="1" applyProtection="1">
      <alignment vertical="top"/>
      <protection/>
    </xf>
    <xf numFmtId="170" fontId="55" fillId="0" borderId="42" xfId="55" applyNumberFormat="1" applyFont="1" applyFill="1" applyBorder="1" applyAlignment="1" applyProtection="1">
      <alignment vertical="center"/>
      <protection/>
    </xf>
    <xf numFmtId="170" fontId="55" fillId="0" borderId="40" xfId="55" applyNumberFormat="1" applyFont="1" applyFill="1" applyBorder="1" applyAlignment="1" applyProtection="1">
      <alignment vertical="center"/>
      <protection/>
    </xf>
    <xf numFmtId="0" fontId="13" fillId="7" borderId="0" xfId="55" applyFont="1" applyFill="1" applyAlignment="1" applyProtection="1">
      <alignment vertical="top"/>
      <protection/>
    </xf>
    <xf numFmtId="0" fontId="13" fillId="7" borderId="39" xfId="55" applyFont="1" applyFill="1" applyBorder="1" applyAlignment="1" applyProtection="1">
      <alignment vertical="top"/>
      <protection/>
    </xf>
    <xf numFmtId="0" fontId="13" fillId="7" borderId="0" xfId="55" applyFont="1" applyFill="1" applyBorder="1" applyAlignment="1" applyProtection="1">
      <alignment vertical="center"/>
      <protection/>
    </xf>
    <xf numFmtId="44" fontId="15" fillId="7" borderId="42" xfId="55" applyNumberFormat="1" applyFont="1" applyFill="1" applyBorder="1" applyAlignment="1" applyProtection="1">
      <alignment vertical="center"/>
      <protection/>
    </xf>
    <xf numFmtId="0" fontId="15" fillId="7" borderId="39" xfId="55" applyFont="1" applyFill="1" applyBorder="1" applyAlignment="1" applyProtection="1">
      <alignment vertical="center"/>
      <protection/>
    </xf>
    <xf numFmtId="44" fontId="15" fillId="7" borderId="40" xfId="55" applyNumberFormat="1" applyFont="1" applyFill="1" applyBorder="1" applyAlignment="1" applyProtection="1">
      <alignment vertical="center"/>
      <protection/>
    </xf>
    <xf numFmtId="0" fontId="15" fillId="7" borderId="0" xfId="55" applyFont="1" applyFill="1" applyBorder="1" applyAlignment="1" applyProtection="1">
      <alignment vertical="center"/>
      <protection/>
    </xf>
    <xf numFmtId="10" fontId="15" fillId="7" borderId="40" xfId="58" applyNumberFormat="1" applyFont="1" applyFill="1" applyBorder="1" applyAlignment="1" applyProtection="1">
      <alignment vertical="center"/>
      <protection/>
    </xf>
    <xf numFmtId="0" fontId="13" fillId="38" borderId="24" xfId="55" applyFont="1" applyFill="1" applyBorder="1" applyAlignment="1" applyProtection="1">
      <alignment vertical="center"/>
      <protection locked="0"/>
    </xf>
    <xf numFmtId="0" fontId="13" fillId="38" borderId="44" xfId="55" applyFont="1" applyFill="1" applyBorder="1" applyAlignment="1" applyProtection="1">
      <alignment vertical="center"/>
      <protection/>
    </xf>
    <xf numFmtId="44" fontId="13" fillId="38" borderId="44" xfId="55" applyNumberFormat="1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183" fontId="0" fillId="0" borderId="39" xfId="44" applyNumberFormat="1" applyFont="1" applyFill="1" applyBorder="1" applyAlignment="1" applyProtection="1">
      <alignment vertical="center"/>
      <protection locked="0"/>
    </xf>
    <xf numFmtId="183" fontId="54" fillId="0" borderId="39" xfId="44" applyNumberFormat="1" applyFont="1" applyFill="1" applyBorder="1" applyAlignment="1" applyProtection="1">
      <alignment vertical="center"/>
      <protection locked="0"/>
    </xf>
    <xf numFmtId="183" fontId="54" fillId="7" borderId="39" xfId="44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2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/>
    </xf>
    <xf numFmtId="44" fontId="0" fillId="4" borderId="39" xfId="44" applyNumberFormat="1" applyFont="1" applyFill="1" applyBorder="1" applyAlignment="1" applyProtection="1">
      <alignment vertical="top"/>
      <protection locked="0"/>
    </xf>
    <xf numFmtId="0" fontId="0" fillId="0" borderId="39" xfId="0" applyFont="1" applyFill="1" applyBorder="1" applyAlignment="1" applyProtection="1">
      <alignment vertical="center"/>
      <protection/>
    </xf>
    <xf numFmtId="170" fontId="0" fillId="0" borderId="40" xfId="44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183" fontId="0" fillId="0" borderId="39" xfId="44" applyNumberFormat="1" applyFont="1" applyFill="1" applyBorder="1" applyAlignment="1" applyProtection="1">
      <alignment vertical="center"/>
      <protection locked="0"/>
    </xf>
    <xf numFmtId="10" fontId="0" fillId="0" borderId="40" xfId="58" applyNumberFormat="1" applyFont="1" applyBorder="1" applyAlignment="1" applyProtection="1">
      <alignment vertical="center"/>
      <protection/>
    </xf>
    <xf numFmtId="170" fontId="0" fillId="4" borderId="39" xfId="44" applyNumberFormat="1" applyFont="1" applyFill="1" applyBorder="1" applyAlignment="1" applyProtection="1">
      <alignment vertical="top"/>
      <protection locked="0"/>
    </xf>
    <xf numFmtId="44" fontId="0" fillId="4" borderId="39" xfId="44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2" borderId="0" xfId="0" applyFont="1" applyFill="1" applyAlignment="1" applyProtection="1">
      <alignment vertical="center"/>
      <protection locked="0"/>
    </xf>
    <xf numFmtId="173" fontId="0" fillId="4" borderId="39" xfId="44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center"/>
      <protection/>
    </xf>
    <xf numFmtId="173" fontId="0" fillId="4" borderId="39" xfId="44" applyNumberFormat="1" applyFont="1" applyFill="1" applyBorder="1" applyAlignment="1" applyProtection="1">
      <alignment vertical="top"/>
      <protection locked="0"/>
    </xf>
    <xf numFmtId="181" fontId="0" fillId="4" borderId="39" xfId="44" applyNumberFormat="1" applyFont="1" applyFill="1" applyBorder="1" applyAlignment="1" applyProtection="1">
      <alignment vertical="top"/>
      <protection locked="0"/>
    </xf>
    <xf numFmtId="44" fontId="0" fillId="0" borderId="39" xfId="0" applyNumberFormat="1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top"/>
      <protection locked="0"/>
    </xf>
    <xf numFmtId="0" fontId="0" fillId="37" borderId="17" xfId="0" applyFont="1" applyFill="1" applyBorder="1" applyAlignment="1" applyProtection="1">
      <alignment vertical="top"/>
      <protection/>
    </xf>
    <xf numFmtId="0" fontId="0" fillId="37" borderId="17" xfId="0" applyFont="1" applyFill="1" applyBorder="1" applyAlignment="1" applyProtection="1">
      <alignment vertical="top"/>
      <protection locked="0"/>
    </xf>
    <xf numFmtId="173" fontId="0" fillId="37" borderId="10" xfId="44" applyNumberFormat="1" applyFont="1" applyFill="1" applyBorder="1" applyAlignment="1" applyProtection="1">
      <alignment vertical="top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170" fontId="0" fillId="37" borderId="41" xfId="44" applyFont="1" applyFill="1" applyBorder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173" fontId="0" fillId="37" borderId="10" xfId="44" applyNumberFormat="1" applyFont="1" applyFill="1" applyBorder="1" applyAlignment="1" applyProtection="1">
      <alignment vertical="center"/>
      <protection locked="0"/>
    </xf>
    <xf numFmtId="0" fontId="0" fillId="37" borderId="41" xfId="0" applyFont="1" applyFill="1" applyBorder="1" applyAlignment="1" applyProtection="1">
      <alignment vertical="center"/>
      <protection locked="0"/>
    </xf>
    <xf numFmtId="170" fontId="15" fillId="37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81" fontId="0" fillId="4" borderId="39" xfId="44" applyNumberFormat="1" applyFont="1" applyFill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73" fontId="0" fillId="0" borderId="39" xfId="44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173" fontId="0" fillId="0" borderId="39" xfId="44" applyNumberFormat="1" applyFont="1" applyFill="1" applyBorder="1" applyAlignment="1" applyProtection="1">
      <alignment vertical="top"/>
      <protection locked="0"/>
    </xf>
    <xf numFmtId="170" fontId="0" fillId="0" borderId="40" xfId="44" applyFont="1" applyFill="1" applyBorder="1" applyAlignment="1" applyProtection="1">
      <alignment vertical="center"/>
      <protection/>
    </xf>
    <xf numFmtId="10" fontId="0" fillId="0" borderId="40" xfId="58" applyNumberFormat="1" applyFont="1" applyFill="1" applyBorder="1" applyAlignment="1" applyProtection="1">
      <alignment vertical="center"/>
      <protection/>
    </xf>
    <xf numFmtId="44" fontId="0" fillId="39" borderId="39" xfId="44" applyNumberFormat="1" applyFont="1" applyFill="1" applyBorder="1" applyAlignment="1" applyProtection="1">
      <alignment vertical="top"/>
      <protection locked="0"/>
    </xf>
    <xf numFmtId="0" fontId="0" fillId="37" borderId="17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vertical="center"/>
      <protection/>
    </xf>
    <xf numFmtId="44" fontId="15" fillId="37" borderId="41" xfId="0" applyNumberFormat="1" applyFont="1" applyFill="1" applyBorder="1" applyAlignment="1" applyProtection="1">
      <alignment vertical="center"/>
      <protection/>
    </xf>
    <xf numFmtId="0" fontId="0" fillId="37" borderId="41" xfId="0" applyFont="1" applyFill="1" applyBorder="1" applyAlignment="1" applyProtection="1">
      <alignment vertical="center"/>
      <protection/>
    </xf>
    <xf numFmtId="1" fontId="0" fillId="34" borderId="3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5" fillId="37" borderId="0" xfId="0" applyFont="1" applyFill="1" applyAlignment="1" applyProtection="1">
      <alignment vertical="center"/>
      <protection/>
    </xf>
    <xf numFmtId="0" fontId="15" fillId="37" borderId="10" xfId="0" applyFont="1" applyFill="1" applyBorder="1" applyAlignment="1" applyProtection="1">
      <alignment vertical="center"/>
      <protection/>
    </xf>
    <xf numFmtId="0" fontId="15" fillId="37" borderId="41" xfId="0" applyFont="1" applyFill="1" applyBorder="1" applyAlignment="1" applyProtection="1">
      <alignment vertical="center"/>
      <protection/>
    </xf>
    <xf numFmtId="1" fontId="0" fillId="0" borderId="39" xfId="0" applyNumberFormat="1" applyFont="1" applyFill="1" applyBorder="1" applyAlignment="1" applyProtection="1">
      <alignment vertical="center"/>
      <protection/>
    </xf>
    <xf numFmtId="1" fontId="0" fillId="0" borderId="40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Alignment="1" applyProtection="1">
      <alignment/>
      <protection/>
    </xf>
    <xf numFmtId="1" fontId="13" fillId="39" borderId="39" xfId="55" applyNumberFormat="1" applyFont="1" applyFill="1" applyBorder="1" applyAlignment="1" applyProtection="1">
      <alignment vertical="center"/>
      <protection/>
    </xf>
    <xf numFmtId="0" fontId="13" fillId="0" borderId="0" xfId="55" applyFont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top"/>
      <protection/>
    </xf>
    <xf numFmtId="0" fontId="0" fillId="38" borderId="24" xfId="0" applyFont="1" applyFill="1" applyBorder="1" applyAlignment="1" applyProtection="1">
      <alignment vertical="top"/>
      <protection locked="0"/>
    </xf>
    <xf numFmtId="173" fontId="0" fillId="38" borderId="43" xfId="44" applyNumberFormat="1" applyFont="1" applyFill="1" applyBorder="1" applyAlignment="1" applyProtection="1">
      <alignment vertical="top"/>
      <protection locked="0"/>
    </xf>
    <xf numFmtId="0" fontId="0" fillId="38" borderId="44" xfId="0" applyFont="1" applyFill="1" applyBorder="1" applyAlignment="1" applyProtection="1">
      <alignment vertical="center"/>
      <protection locked="0"/>
    </xf>
    <xf numFmtId="170" fontId="0" fillId="38" borderId="24" xfId="44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0" fillId="38" borderId="43" xfId="0" applyFont="1" applyFill="1" applyBorder="1" applyAlignment="1" applyProtection="1">
      <alignment vertical="center"/>
      <protection locked="0"/>
    </xf>
    <xf numFmtId="44" fontId="0" fillId="38" borderId="43" xfId="0" applyNumberFormat="1" applyFont="1" applyFill="1" applyBorder="1" applyAlignment="1" applyProtection="1">
      <alignment vertical="center"/>
      <protection/>
    </xf>
    <xf numFmtId="10" fontId="0" fillId="38" borderId="35" xfId="58" applyNumberFormat="1" applyFont="1" applyFill="1" applyBorder="1" applyAlignment="1" applyProtection="1">
      <alignment vertical="center"/>
      <protection/>
    </xf>
    <xf numFmtId="9" fontId="0" fillId="0" borderId="39" xfId="0" applyNumberFormat="1" applyFont="1" applyFill="1" applyBorder="1" applyAlignment="1" applyProtection="1">
      <alignment vertical="top"/>
      <protection/>
    </xf>
    <xf numFmtId="9" fontId="0" fillId="0" borderId="0" xfId="0" applyNumberFormat="1" applyFont="1" applyFill="1" applyBorder="1" applyAlignment="1" applyProtection="1">
      <alignment vertical="center"/>
      <protection/>
    </xf>
    <xf numFmtId="44" fontId="15" fillId="0" borderId="42" xfId="0" applyNumberFormat="1" applyFont="1" applyFill="1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9" fontId="15" fillId="0" borderId="39" xfId="0" applyNumberFormat="1" applyFont="1" applyFill="1" applyBorder="1" applyAlignment="1" applyProtection="1">
      <alignment vertical="center"/>
      <protection/>
    </xf>
    <xf numFmtId="44" fontId="15" fillId="0" borderId="5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83" fontId="54" fillId="0" borderId="39" xfId="44" applyNumberFormat="1" applyFont="1" applyFill="1" applyBorder="1" applyAlignment="1" applyProtection="1">
      <alignment vertical="center"/>
      <protection locked="0"/>
    </xf>
    <xf numFmtId="9" fontId="0" fillId="0" borderId="39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44" fontId="13" fillId="0" borderId="42" xfId="0" applyNumberFormat="1" applyFont="1" applyFill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vertical="center"/>
      <protection/>
    </xf>
    <xf numFmtId="9" fontId="13" fillId="0" borderId="39" xfId="0" applyNumberFormat="1" applyFont="1" applyFill="1" applyBorder="1" applyAlignment="1" applyProtection="1">
      <alignment vertical="center"/>
      <protection locked="0"/>
    </xf>
    <xf numFmtId="44" fontId="13" fillId="0" borderId="4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top"/>
      <protection/>
    </xf>
    <xf numFmtId="170" fontId="56" fillId="0" borderId="42" xfId="0" applyNumberFormat="1" applyFont="1" applyFill="1" applyBorder="1" applyAlignment="1" applyProtection="1">
      <alignment vertical="center"/>
      <protection/>
    </xf>
    <xf numFmtId="170" fontId="55" fillId="0" borderId="40" xfId="0" applyNumberFormat="1" applyFont="1" applyFill="1" applyBorder="1" applyAlignment="1" applyProtection="1">
      <alignment vertical="center"/>
      <protection/>
    </xf>
    <xf numFmtId="0" fontId="0" fillId="7" borderId="0" xfId="0" applyFont="1" applyFill="1" applyAlignment="1" applyProtection="1">
      <alignment vertical="top"/>
      <protection/>
    </xf>
    <xf numFmtId="0" fontId="0" fillId="7" borderId="45" xfId="0" applyFont="1" applyFill="1" applyBorder="1" applyAlignment="1" applyProtection="1">
      <alignment vertical="top"/>
      <protection/>
    </xf>
    <xf numFmtId="0" fontId="0" fillId="7" borderId="15" xfId="0" applyFont="1" applyFill="1" applyBorder="1" applyAlignment="1" applyProtection="1">
      <alignment vertical="center"/>
      <protection/>
    </xf>
    <xf numFmtId="44" fontId="15" fillId="7" borderId="19" xfId="0" applyNumberFormat="1" applyFont="1" applyFill="1" applyBorder="1" applyAlignment="1" applyProtection="1">
      <alignment vertical="center"/>
      <protection/>
    </xf>
    <xf numFmtId="0" fontId="15" fillId="7" borderId="45" xfId="0" applyFont="1" applyFill="1" applyBorder="1" applyAlignment="1" applyProtection="1">
      <alignment vertical="center"/>
      <protection/>
    </xf>
    <xf numFmtId="44" fontId="15" fillId="7" borderId="49" xfId="0" applyNumberFormat="1" applyFont="1" applyFill="1" applyBorder="1" applyAlignment="1" applyProtection="1">
      <alignment vertical="center"/>
      <protection/>
    </xf>
    <xf numFmtId="0" fontId="15" fillId="7" borderId="15" xfId="0" applyFont="1" applyFill="1" applyBorder="1" applyAlignment="1" applyProtection="1">
      <alignment vertical="center"/>
      <protection/>
    </xf>
    <xf numFmtId="183" fontId="54" fillId="7" borderId="39" xfId="44" applyNumberFormat="1" applyFont="1" applyFill="1" applyBorder="1" applyAlignment="1" applyProtection="1">
      <alignment vertical="center"/>
      <protection locked="0"/>
    </xf>
    <xf numFmtId="0" fontId="13" fillId="38" borderId="44" xfId="55" applyFont="1" applyFill="1" applyBorder="1" applyAlignment="1" applyProtection="1">
      <alignment vertical="center"/>
      <protection locked="0"/>
    </xf>
    <xf numFmtId="0" fontId="13" fillId="38" borderId="24" xfId="55" applyFont="1" applyFill="1" applyBorder="1" applyAlignment="1" applyProtection="1">
      <alignment vertical="center"/>
      <protection/>
    </xf>
    <xf numFmtId="0" fontId="13" fillId="38" borderId="43" xfId="55" applyFont="1" applyFill="1" applyBorder="1" applyAlignment="1" applyProtection="1">
      <alignment vertical="center"/>
      <protection locked="0"/>
    </xf>
    <xf numFmtId="44" fontId="13" fillId="38" borderId="43" xfId="55" applyNumberFormat="1" applyFont="1" applyFill="1" applyBorder="1" applyAlignment="1" applyProtection="1">
      <alignment vertical="center"/>
      <protection/>
    </xf>
    <xf numFmtId="9" fontId="13" fillId="0" borderId="39" xfId="55" applyNumberFormat="1" applyFont="1" applyFill="1" applyBorder="1" applyAlignment="1" applyProtection="1">
      <alignment vertical="top"/>
      <protection/>
    </xf>
    <xf numFmtId="9" fontId="13" fillId="0" borderId="0" xfId="55" applyNumberFormat="1" applyFont="1" applyFill="1" applyBorder="1" applyAlignment="1" applyProtection="1">
      <alignment vertical="center"/>
      <protection/>
    </xf>
    <xf numFmtId="44" fontId="15" fillId="0" borderId="42" xfId="55" applyNumberFormat="1" applyFont="1" applyFill="1" applyBorder="1" applyAlignment="1" applyProtection="1">
      <alignment vertical="center"/>
      <protection/>
    </xf>
    <xf numFmtId="0" fontId="15" fillId="0" borderId="39" xfId="55" applyFont="1" applyFill="1" applyBorder="1" applyAlignment="1" applyProtection="1">
      <alignment vertical="center"/>
      <protection/>
    </xf>
    <xf numFmtId="9" fontId="15" fillId="0" borderId="39" xfId="55" applyNumberFormat="1" applyFont="1" applyFill="1" applyBorder="1" applyAlignment="1" applyProtection="1">
      <alignment vertical="center"/>
      <protection/>
    </xf>
    <xf numFmtId="44" fontId="15" fillId="0" borderId="50" xfId="55" applyNumberFormat="1" applyFont="1" applyFill="1" applyBorder="1" applyAlignment="1" applyProtection="1">
      <alignment vertical="center"/>
      <protection/>
    </xf>
    <xf numFmtId="0" fontId="15" fillId="0" borderId="0" xfId="55" applyFont="1" applyFill="1" applyBorder="1" applyAlignment="1" applyProtection="1">
      <alignment vertical="center"/>
      <protection/>
    </xf>
    <xf numFmtId="9" fontId="13" fillId="0" borderId="39" xfId="55" applyNumberFormat="1" applyFont="1" applyFill="1" applyBorder="1" applyAlignment="1" applyProtection="1">
      <alignment vertical="top"/>
      <protection locked="0"/>
    </xf>
    <xf numFmtId="44" fontId="13" fillId="0" borderId="42" xfId="55" applyNumberFormat="1" applyFont="1" applyFill="1" applyBorder="1" applyAlignment="1" applyProtection="1">
      <alignment vertical="center"/>
      <protection/>
    </xf>
    <xf numFmtId="0" fontId="13" fillId="0" borderId="39" xfId="55" applyFont="1" applyFill="1" applyBorder="1" applyAlignment="1" applyProtection="1">
      <alignment vertical="center"/>
      <protection/>
    </xf>
    <xf numFmtId="9" fontId="13" fillId="0" borderId="39" xfId="55" applyNumberFormat="1" applyFont="1" applyFill="1" applyBorder="1" applyAlignment="1" applyProtection="1">
      <alignment vertical="center"/>
      <protection/>
    </xf>
    <xf numFmtId="44" fontId="13" fillId="0" borderId="40" xfId="55" applyNumberFormat="1" applyFont="1" applyFill="1" applyBorder="1" applyAlignment="1" applyProtection="1">
      <alignment vertical="center"/>
      <protection/>
    </xf>
    <xf numFmtId="0" fontId="13" fillId="0" borderId="0" xfId="55" applyFont="1" applyFill="1" applyBorder="1" applyAlignment="1" applyProtection="1">
      <alignment vertical="center"/>
      <protection/>
    </xf>
    <xf numFmtId="0" fontId="13" fillId="0" borderId="39" xfId="55" applyFont="1" applyFill="1" applyBorder="1" applyAlignment="1" applyProtection="1">
      <alignment vertical="top"/>
      <protection/>
    </xf>
    <xf numFmtId="170" fontId="55" fillId="0" borderId="42" xfId="55" applyNumberFormat="1" applyFont="1" applyFill="1" applyBorder="1" applyAlignment="1" applyProtection="1">
      <alignment vertical="center"/>
      <protection/>
    </xf>
    <xf numFmtId="170" fontId="55" fillId="0" borderId="40" xfId="55" applyNumberFormat="1" applyFont="1" applyFill="1" applyBorder="1" applyAlignment="1" applyProtection="1">
      <alignment vertical="center"/>
      <protection/>
    </xf>
    <xf numFmtId="0" fontId="13" fillId="7" borderId="39" xfId="55" applyFont="1" applyFill="1" applyBorder="1" applyAlignment="1" applyProtection="1">
      <alignment vertical="top"/>
      <protection/>
    </xf>
    <xf numFmtId="0" fontId="13" fillId="7" borderId="0" xfId="55" applyFont="1" applyFill="1" applyBorder="1" applyAlignment="1" applyProtection="1">
      <alignment vertical="center"/>
      <protection/>
    </xf>
    <xf numFmtId="44" fontId="15" fillId="7" borderId="42" xfId="55" applyNumberFormat="1" applyFont="1" applyFill="1" applyBorder="1" applyAlignment="1" applyProtection="1">
      <alignment vertical="center"/>
      <protection/>
    </xf>
    <xf numFmtId="0" fontId="15" fillId="7" borderId="39" xfId="55" applyFont="1" applyFill="1" applyBorder="1" applyAlignment="1" applyProtection="1">
      <alignment vertical="center"/>
      <protection/>
    </xf>
    <xf numFmtId="44" fontId="15" fillId="7" borderId="40" xfId="55" applyNumberFormat="1" applyFont="1" applyFill="1" applyBorder="1" applyAlignment="1" applyProtection="1">
      <alignment vertical="center"/>
      <protection/>
    </xf>
    <xf numFmtId="0" fontId="15" fillId="7" borderId="0" xfId="55" applyFont="1" applyFill="1" applyBorder="1" applyAlignment="1" applyProtection="1">
      <alignment vertical="center"/>
      <protection/>
    </xf>
    <xf numFmtId="173" fontId="0" fillId="38" borderId="44" xfId="44" applyNumberFormat="1" applyFont="1" applyFill="1" applyBorder="1" applyAlignment="1" applyProtection="1">
      <alignment vertical="top"/>
      <protection locked="0"/>
    </xf>
    <xf numFmtId="170" fontId="0" fillId="38" borderId="46" xfId="44" applyFont="1" applyFill="1" applyBorder="1" applyAlignment="1" applyProtection="1">
      <alignment vertical="center"/>
      <protection/>
    </xf>
    <xf numFmtId="170" fontId="0" fillId="38" borderId="43" xfId="44" applyFont="1" applyFill="1" applyBorder="1" applyAlignment="1" applyProtection="1">
      <alignment vertical="center"/>
      <protection/>
    </xf>
    <xf numFmtId="10" fontId="0" fillId="4" borderId="10" xfId="58" applyNumberFormat="1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47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0" fontId="15" fillId="0" borderId="48" xfId="0" applyFont="1" applyBorder="1" applyAlignment="1" applyProtection="1">
      <alignment horizontal="center"/>
      <protection/>
    </xf>
    <xf numFmtId="0" fontId="15" fillId="0" borderId="45" xfId="0" applyFont="1" applyBorder="1" applyAlignment="1" applyProtection="1" quotePrefix="1">
      <alignment horizontal="center"/>
      <protection/>
    </xf>
    <xf numFmtId="0" fontId="15" fillId="0" borderId="49" xfId="0" applyFont="1" applyBorder="1" applyAlignment="1" applyProtection="1" quotePrefix="1">
      <alignment horizontal="center"/>
      <protection/>
    </xf>
    <xf numFmtId="0" fontId="13" fillId="4" borderId="0" xfId="0" applyFont="1" applyFill="1" applyAlignment="1" applyProtection="1">
      <alignment vertical="top" wrapText="1"/>
      <protection/>
    </xf>
    <xf numFmtId="0" fontId="15" fillId="37" borderId="37" xfId="0" applyFont="1" applyFill="1" applyBorder="1" applyAlignment="1" applyProtection="1">
      <alignment vertical="top"/>
      <protection locked="0"/>
    </xf>
    <xf numFmtId="10" fontId="15" fillId="37" borderId="41" xfId="58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top"/>
      <protection/>
    </xf>
    <xf numFmtId="0" fontId="13" fillId="0" borderId="0" xfId="0" applyFont="1" applyFill="1" applyAlignment="1" applyProtection="1">
      <alignment vertical="top"/>
      <protection/>
    </xf>
    <xf numFmtId="0" fontId="15" fillId="37" borderId="37" xfId="0" applyFont="1" applyFill="1" applyBorder="1" applyAlignment="1" applyProtection="1">
      <alignment vertical="top" wrapText="1"/>
      <protection/>
    </xf>
    <xf numFmtId="0" fontId="13" fillId="0" borderId="0" xfId="55" applyFont="1" applyAlignment="1" applyProtection="1">
      <alignment vertical="top"/>
      <protection/>
    </xf>
    <xf numFmtId="0" fontId="13" fillId="2" borderId="0" xfId="55" applyFont="1" applyFill="1" applyAlignment="1" applyProtection="1">
      <alignment vertical="top"/>
      <protection locked="0"/>
    </xf>
    <xf numFmtId="0" fontId="13" fillId="0" borderId="0" xfId="55" applyFont="1" applyFill="1" applyAlignment="1" applyProtection="1">
      <alignment vertical="top"/>
      <protection/>
    </xf>
    <xf numFmtId="0" fontId="13" fillId="0" borderId="0" xfId="55" applyFont="1" applyProtection="1">
      <alignment/>
      <protection/>
    </xf>
    <xf numFmtId="0" fontId="13" fillId="38" borderId="38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vertical="top"/>
      <protection/>
    </xf>
    <xf numFmtId="10" fontId="15" fillId="0" borderId="40" xfId="58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top" indent="1"/>
      <protection/>
    </xf>
    <xf numFmtId="10" fontId="13" fillId="0" borderId="40" xfId="58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top" wrapText="1" indent="1"/>
      <protection/>
    </xf>
    <xf numFmtId="10" fontId="55" fillId="0" borderId="40" xfId="58" applyNumberFormat="1" applyFont="1" applyFill="1" applyBorder="1" applyAlignment="1" applyProtection="1">
      <alignment vertical="center"/>
      <protection/>
    </xf>
    <xf numFmtId="10" fontId="15" fillId="7" borderId="49" xfId="58" applyNumberFormat="1" applyFont="1" applyFill="1" applyBorder="1" applyAlignment="1" applyProtection="1">
      <alignment vertical="center"/>
      <protection/>
    </xf>
    <xf numFmtId="0" fontId="13" fillId="38" borderId="38" xfId="55" applyFont="1" applyFill="1" applyBorder="1" applyProtection="1">
      <alignment/>
      <protection/>
    </xf>
    <xf numFmtId="0" fontId="13" fillId="38" borderId="24" xfId="55" applyFont="1" applyFill="1" applyBorder="1" applyAlignment="1" applyProtection="1">
      <alignment vertical="top"/>
      <protection/>
    </xf>
    <xf numFmtId="0" fontId="13" fillId="38" borderId="24" xfId="55" applyFont="1" applyFill="1" applyBorder="1" applyAlignment="1" applyProtection="1">
      <alignment vertical="top"/>
      <protection locked="0"/>
    </xf>
    <xf numFmtId="0" fontId="15" fillId="0" borderId="0" xfId="55" applyFont="1" applyFill="1" applyAlignment="1" applyProtection="1">
      <alignment vertical="top"/>
      <protection/>
    </xf>
    <xf numFmtId="0" fontId="13" fillId="0" borderId="0" xfId="55" applyFont="1" applyFill="1" applyAlignment="1" applyProtection="1">
      <alignment horizontal="left" vertical="top" indent="1"/>
      <protection/>
    </xf>
    <xf numFmtId="0" fontId="15" fillId="0" borderId="0" xfId="55" applyFont="1" applyAlignment="1" applyProtection="1">
      <alignment horizontal="left" vertical="top" wrapText="1" indent="1"/>
      <protection/>
    </xf>
    <xf numFmtId="0" fontId="13" fillId="7" borderId="0" xfId="55" applyFont="1" applyFill="1" applyAlignment="1" applyProtection="1">
      <alignment vertical="top"/>
      <protection/>
    </xf>
    <xf numFmtId="10" fontId="15" fillId="7" borderId="40" xfId="58" applyNumberFormat="1" applyFont="1" applyFill="1" applyBorder="1" applyAlignment="1" applyProtection="1">
      <alignment vertical="center"/>
      <protection/>
    </xf>
    <xf numFmtId="0" fontId="13" fillId="38" borderId="24" xfId="55" applyFont="1" applyFill="1" applyBorder="1" applyAlignment="1" applyProtection="1">
      <alignment vertical="center"/>
      <protection locked="0"/>
    </xf>
    <xf numFmtId="0" fontId="13" fillId="38" borderId="44" xfId="55" applyFont="1" applyFill="1" applyBorder="1" applyAlignment="1" applyProtection="1">
      <alignment vertical="center"/>
      <protection/>
    </xf>
    <xf numFmtId="44" fontId="13" fillId="38" borderId="44" xfId="55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top"/>
      <protection locked="0"/>
    </xf>
    <xf numFmtId="44" fontId="0" fillId="0" borderId="39" xfId="44" applyNumberFormat="1" applyFont="1" applyFill="1" applyBorder="1" applyAlignment="1" applyProtection="1">
      <alignment vertical="top"/>
      <protection locked="0"/>
    </xf>
    <xf numFmtId="44" fontId="0" fillId="0" borderId="39" xfId="44" applyNumberFormat="1" applyFont="1" applyFill="1" applyBorder="1" applyAlignment="1" applyProtection="1">
      <alignment vertical="center"/>
      <protection locked="0"/>
    </xf>
    <xf numFmtId="173" fontId="0" fillId="0" borderId="10" xfId="44" applyNumberFormat="1" applyFont="1" applyFill="1" applyBorder="1" applyAlignment="1" applyProtection="1">
      <alignment vertical="center"/>
      <protection locked="0"/>
    </xf>
    <xf numFmtId="181" fontId="0" fillId="0" borderId="39" xfId="44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top" wrapText="1"/>
      <protection/>
    </xf>
    <xf numFmtId="0" fontId="13" fillId="0" borderId="0" xfId="0" applyFont="1" applyFill="1" applyAlignment="1" applyProtection="1">
      <alignment vertical="top" wrapText="1"/>
      <protection/>
    </xf>
    <xf numFmtId="0" fontId="15" fillId="0" borderId="37" xfId="0" applyFont="1" applyFill="1" applyBorder="1" applyAlignment="1" applyProtection="1">
      <alignment vertical="top"/>
      <protection locked="0"/>
    </xf>
    <xf numFmtId="170" fontId="0" fillId="0" borderId="39" xfId="44" applyNumberFormat="1" applyFont="1" applyFill="1" applyBorder="1" applyAlignment="1" applyProtection="1">
      <alignment vertical="top"/>
      <protection locked="0"/>
    </xf>
    <xf numFmtId="181" fontId="0" fillId="0" borderId="39" xfId="44" applyNumberFormat="1" applyFont="1" applyFill="1" applyBorder="1" applyAlignment="1" applyProtection="1">
      <alignment vertical="top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top" wrapText="1"/>
      <protection/>
    </xf>
    <xf numFmtId="0" fontId="13" fillId="0" borderId="0" xfId="0" applyFont="1" applyFill="1" applyAlignment="1" applyProtection="1">
      <alignment vertical="top" wrapText="1"/>
      <protection/>
    </xf>
    <xf numFmtId="170" fontId="0" fillId="0" borderId="39" xfId="0" applyNumberFormat="1" applyFont="1" applyBorder="1" applyAlignment="1" applyProtection="1">
      <alignment vertical="center"/>
      <protection/>
    </xf>
    <xf numFmtId="44" fontId="13" fillId="0" borderId="39" xfId="55" applyNumberFormat="1" applyFont="1" applyBorder="1" applyAlignment="1" applyProtection="1">
      <alignment vertical="center"/>
      <protection/>
    </xf>
    <xf numFmtId="170" fontId="15" fillId="0" borderId="39" xfId="0" applyNumberFormat="1" applyFont="1" applyFill="1" applyBorder="1" applyAlignment="1" applyProtection="1">
      <alignment vertical="center"/>
      <protection/>
    </xf>
    <xf numFmtId="170" fontId="13" fillId="0" borderId="39" xfId="0" applyNumberFormat="1" applyFont="1" applyFill="1" applyBorder="1" applyAlignment="1" applyProtection="1">
      <alignment vertical="center"/>
      <protection/>
    </xf>
    <xf numFmtId="170" fontId="55" fillId="0" borderId="42" xfId="0" applyNumberFormat="1" applyFont="1" applyFill="1" applyBorder="1" applyAlignment="1" applyProtection="1">
      <alignment vertical="center"/>
      <protection/>
    </xf>
    <xf numFmtId="44" fontId="55" fillId="0" borderId="39" xfId="0" applyNumberFormat="1" applyFont="1" applyFill="1" applyBorder="1" applyAlignment="1" applyProtection="1">
      <alignment vertical="center"/>
      <protection/>
    </xf>
    <xf numFmtId="170" fontId="15" fillId="7" borderId="45" xfId="0" applyNumberFormat="1" applyFont="1" applyFill="1" applyBorder="1" applyAlignment="1" applyProtection="1">
      <alignment vertical="center"/>
      <protection/>
    </xf>
    <xf numFmtId="170" fontId="15" fillId="0" borderId="39" xfId="55" applyNumberFormat="1" applyFont="1" applyFill="1" applyBorder="1" applyAlignment="1" applyProtection="1">
      <alignment vertical="center"/>
      <protection/>
    </xf>
    <xf numFmtId="170" fontId="13" fillId="0" borderId="39" xfId="55" applyNumberFormat="1" applyFont="1" applyFill="1" applyBorder="1" applyAlignment="1" applyProtection="1">
      <alignment vertical="center"/>
      <protection/>
    </xf>
    <xf numFmtId="170" fontId="15" fillId="7" borderId="39" xfId="55" applyNumberFormat="1" applyFont="1" applyFill="1" applyBorder="1" applyAlignment="1" applyProtection="1">
      <alignment vertical="center"/>
      <protection/>
    </xf>
    <xf numFmtId="44" fontId="0" fillId="0" borderId="39" xfId="44" applyNumberFormat="1" applyFont="1" applyFill="1" applyBorder="1" applyAlignment="1" applyProtection="1">
      <alignment vertical="top"/>
      <protection locked="0"/>
    </xf>
    <xf numFmtId="170" fontId="0" fillId="0" borderId="39" xfId="44" applyNumberFormat="1" applyFont="1" applyFill="1" applyBorder="1" applyAlignment="1" applyProtection="1">
      <alignment vertical="top"/>
      <protection locked="0"/>
    </xf>
    <xf numFmtId="44" fontId="0" fillId="0" borderId="39" xfId="44" applyNumberFormat="1" applyFont="1" applyFill="1" applyBorder="1" applyAlignment="1" applyProtection="1">
      <alignment vertical="center"/>
      <protection locked="0"/>
    </xf>
    <xf numFmtId="181" fontId="0" fillId="0" borderId="39" xfId="44" applyNumberFormat="1" applyFont="1" applyFill="1" applyBorder="1" applyAlignment="1" applyProtection="1">
      <alignment vertical="top"/>
      <protection locked="0"/>
    </xf>
    <xf numFmtId="172" fontId="0" fillId="0" borderId="39" xfId="0" applyNumberFormat="1" applyFont="1" applyFill="1" applyBorder="1" applyAlignment="1" applyProtection="1">
      <alignment vertical="center"/>
      <protection/>
    </xf>
    <xf numFmtId="181" fontId="0" fillId="0" borderId="39" xfId="44" applyNumberFormat="1" applyFont="1" applyFill="1" applyBorder="1" applyAlignment="1" applyProtection="1">
      <alignment vertical="center"/>
      <protection locked="0"/>
    </xf>
    <xf numFmtId="1" fontId="13" fillId="0" borderId="39" xfId="55" applyNumberFormat="1" applyFont="1" applyFill="1" applyBorder="1" applyAlignment="1" applyProtection="1">
      <alignment vertical="center"/>
      <protection/>
    </xf>
    <xf numFmtId="44" fontId="15" fillId="37" borderId="10" xfId="0" applyNumberFormat="1" applyFont="1" applyFill="1" applyBorder="1" applyAlignment="1" applyProtection="1">
      <alignment vertical="center"/>
      <protection/>
    </xf>
    <xf numFmtId="44" fontId="15" fillId="0" borderId="39" xfId="0" applyNumberFormat="1" applyFont="1" applyFill="1" applyBorder="1" applyAlignment="1" applyProtection="1">
      <alignment vertical="center"/>
      <protection/>
    </xf>
    <xf numFmtId="44" fontId="13" fillId="0" borderId="39" xfId="0" applyNumberFormat="1" applyFont="1" applyFill="1" applyBorder="1" applyAlignment="1" applyProtection="1">
      <alignment vertical="center"/>
      <protection/>
    </xf>
    <xf numFmtId="44" fontId="15" fillId="7" borderId="45" xfId="0" applyNumberFormat="1" applyFont="1" applyFill="1" applyBorder="1" applyAlignment="1" applyProtection="1">
      <alignment vertical="center"/>
      <protection/>
    </xf>
    <xf numFmtId="44" fontId="15" fillId="0" borderId="39" xfId="55" applyNumberFormat="1" applyFont="1" applyFill="1" applyBorder="1" applyAlignment="1" applyProtection="1">
      <alignment vertical="center"/>
      <protection/>
    </xf>
    <xf numFmtId="44" fontId="13" fillId="0" borderId="39" xfId="55" applyNumberFormat="1" applyFont="1" applyFill="1" applyBorder="1" applyAlignment="1" applyProtection="1">
      <alignment vertical="center"/>
      <protection/>
    </xf>
    <xf numFmtId="44" fontId="15" fillId="7" borderId="39" xfId="55" applyNumberFormat="1" applyFont="1" applyFill="1" applyBorder="1" applyAlignment="1" applyProtection="1">
      <alignment vertical="center"/>
      <protection/>
    </xf>
    <xf numFmtId="0" fontId="13" fillId="36" borderId="0" xfId="55" applyFont="1" applyFill="1" applyAlignment="1" applyProtection="1">
      <alignment vertical="top"/>
      <protection/>
    </xf>
    <xf numFmtId="44" fontId="55" fillId="0" borderId="42" xfId="0" applyNumberFormat="1" applyFont="1" applyFill="1" applyBorder="1" applyAlignment="1" applyProtection="1">
      <alignment vertical="center"/>
      <protection/>
    </xf>
    <xf numFmtId="44" fontId="55" fillId="0" borderId="40" xfId="0" applyNumberFormat="1" applyFont="1" applyFill="1" applyBorder="1" applyAlignment="1" applyProtection="1">
      <alignment vertical="center"/>
      <protection/>
    </xf>
    <xf numFmtId="170" fontId="13" fillId="0" borderId="40" xfId="55" applyNumberFormat="1" applyFont="1" applyFill="1" applyBorder="1" applyAlignment="1" applyProtection="1">
      <alignment vertical="center"/>
      <protection/>
    </xf>
    <xf numFmtId="183" fontId="54" fillId="37" borderId="10" xfId="44" applyNumberFormat="1" applyFont="1" applyFill="1" applyBorder="1" applyAlignment="1" applyProtection="1">
      <alignment vertical="center"/>
      <protection locked="0"/>
    </xf>
    <xf numFmtId="0" fontId="15" fillId="0" borderId="37" xfId="0" applyFont="1" applyFill="1" applyBorder="1" applyAlignment="1" applyProtection="1">
      <alignment vertical="top"/>
      <protection locked="0"/>
    </xf>
    <xf numFmtId="170" fontId="0" fillId="0" borderId="39" xfId="44" applyFont="1" applyFill="1" applyBorder="1" applyAlignment="1" applyProtection="1">
      <alignment vertical="center"/>
      <protection locked="0"/>
    </xf>
    <xf numFmtId="170" fontId="13" fillId="0" borderId="4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15" fillId="0" borderId="37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center" wrapText="1"/>
      <protection/>
    </xf>
    <xf numFmtId="180" fontId="0" fillId="0" borderId="39" xfId="44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top"/>
      <protection/>
    </xf>
    <xf numFmtId="181" fontId="0" fillId="5" borderId="39" xfId="44" applyNumberFormat="1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/>
      <protection/>
    </xf>
    <xf numFmtId="170" fontId="0" fillId="0" borderId="39" xfId="44" applyFont="1" applyBorder="1" applyAlignment="1" applyProtection="1">
      <alignment vertical="center"/>
      <protection/>
    </xf>
    <xf numFmtId="170" fontId="0" fillId="0" borderId="45" xfId="44" applyFont="1" applyBorder="1" applyAlignment="1" applyProtection="1">
      <alignment vertical="center"/>
      <protection/>
    </xf>
    <xf numFmtId="10" fontId="0" fillId="0" borderId="49" xfId="58" applyNumberFormat="1" applyFont="1" applyBorder="1" applyAlignment="1" applyProtection="1">
      <alignment vertical="center"/>
      <protection/>
    </xf>
    <xf numFmtId="0" fontId="0" fillId="5" borderId="0" xfId="0" applyFont="1" applyFill="1" applyAlignment="1" applyProtection="1">
      <alignment/>
      <protection/>
    </xf>
    <xf numFmtId="173" fontId="0" fillId="5" borderId="39" xfId="44" applyNumberFormat="1" applyFont="1" applyFill="1" applyBorder="1" applyAlignment="1" applyProtection="1">
      <alignment vertical="center"/>
      <protection locked="0"/>
    </xf>
    <xf numFmtId="170" fontId="55" fillId="5" borderId="42" xfId="55" applyNumberFormat="1" applyFont="1" applyFill="1" applyBorder="1" applyAlignment="1" applyProtection="1">
      <alignment vertical="center"/>
      <protection/>
    </xf>
    <xf numFmtId="1" fontId="0" fillId="5" borderId="39" xfId="0" applyNumberFormat="1" applyFont="1" applyFill="1" applyBorder="1" applyAlignment="1" applyProtection="1">
      <alignment vertical="center"/>
      <protection/>
    </xf>
    <xf numFmtId="187" fontId="0" fillId="5" borderId="39" xfId="44" applyNumberFormat="1" applyFont="1" applyFill="1" applyBorder="1" applyAlignment="1" applyProtection="1">
      <alignment vertical="center"/>
      <protection/>
    </xf>
    <xf numFmtId="44" fontId="0" fillId="5" borderId="39" xfId="44" applyNumberFormat="1" applyFont="1" applyFill="1" applyBorder="1" applyAlignment="1" applyProtection="1">
      <alignment vertical="center"/>
      <protection locked="0"/>
    </xf>
    <xf numFmtId="173" fontId="0" fillId="5" borderId="39" xfId="44" applyNumberFormat="1" applyFont="1" applyFill="1" applyBorder="1" applyAlignment="1" applyProtection="1">
      <alignment vertical="top"/>
      <protection locked="0"/>
    </xf>
    <xf numFmtId="183" fontId="0" fillId="5" borderId="39" xfId="44" applyNumberFormat="1" applyFont="1" applyFill="1" applyBorder="1" applyAlignment="1" applyProtection="1">
      <alignment vertical="center"/>
      <protection locked="0"/>
    </xf>
    <xf numFmtId="173" fontId="0" fillId="5" borderId="39" xfId="44" applyNumberFormat="1" applyFont="1" applyFill="1" applyBorder="1" applyAlignment="1" applyProtection="1">
      <alignment vertical="top"/>
      <protection locked="0"/>
    </xf>
    <xf numFmtId="173" fontId="0" fillId="5" borderId="39" xfId="44" applyNumberFormat="1" applyFont="1" applyFill="1" applyBorder="1" applyAlignment="1" applyProtection="1">
      <alignment vertical="center"/>
      <protection locked="0"/>
    </xf>
    <xf numFmtId="0" fontId="0" fillId="5" borderId="0" xfId="0" applyFont="1" applyFill="1" applyAlignment="1" applyProtection="1">
      <alignment/>
      <protection/>
    </xf>
    <xf numFmtId="44" fontId="0" fillId="19" borderId="39" xfId="44" applyNumberFormat="1" applyFont="1" applyFill="1" applyBorder="1" applyAlignment="1" applyProtection="1">
      <alignment vertical="top"/>
      <protection locked="0"/>
    </xf>
    <xf numFmtId="173" fontId="0" fillId="19" borderId="39" xfId="44" applyNumberFormat="1" applyFont="1" applyFill="1" applyBorder="1" applyAlignment="1" applyProtection="1">
      <alignment vertical="top"/>
      <protection locked="0"/>
    </xf>
    <xf numFmtId="1" fontId="0" fillId="32" borderId="39" xfId="0" applyNumberFormat="1" applyFont="1" applyFill="1" applyBorder="1" applyAlignment="1" applyProtection="1">
      <alignment vertical="center"/>
      <protection/>
    </xf>
    <xf numFmtId="1" fontId="0" fillId="32" borderId="40" xfId="0" applyNumberFormat="1" applyFont="1" applyFill="1" applyBorder="1" applyAlignment="1" applyProtection="1">
      <alignment vertical="center"/>
      <protection/>
    </xf>
    <xf numFmtId="1" fontId="0" fillId="32" borderId="39" xfId="0" applyNumberFormat="1" applyFont="1" applyFill="1" applyBorder="1" applyAlignment="1" applyProtection="1">
      <alignment vertical="center"/>
      <protection/>
    </xf>
    <xf numFmtId="1" fontId="0" fillId="32" borderId="40" xfId="0" applyNumberFormat="1" applyFont="1" applyFill="1" applyBorder="1" applyAlignment="1" applyProtection="1">
      <alignment vertical="center"/>
      <protection/>
    </xf>
    <xf numFmtId="181" fontId="0" fillId="5" borderId="39" xfId="44" applyNumberFormat="1" applyFont="1" applyFill="1" applyBorder="1" applyAlignment="1" applyProtection="1">
      <alignment vertical="top"/>
      <protection locked="0"/>
    </xf>
    <xf numFmtId="0" fontId="0" fillId="5" borderId="0" xfId="0" applyFont="1" applyFill="1" applyAlignment="1" applyProtection="1">
      <alignment vertical="center"/>
      <protection/>
    </xf>
    <xf numFmtId="0" fontId="0" fillId="32" borderId="10" xfId="0" applyFont="1" applyFill="1" applyBorder="1" applyAlignment="1" applyProtection="1">
      <alignment vertical="center"/>
      <protection/>
    </xf>
    <xf numFmtId="1" fontId="0" fillId="34" borderId="39" xfId="0" applyNumberFormat="1" applyFont="1" applyFill="1" applyBorder="1" applyAlignment="1" applyProtection="1">
      <alignment vertical="center"/>
      <protection/>
    </xf>
    <xf numFmtId="1" fontId="0" fillId="34" borderId="40" xfId="0" applyNumberFormat="1" applyFont="1" applyFill="1" applyBorder="1" applyAlignment="1" applyProtection="1">
      <alignment vertical="center"/>
      <protection/>
    </xf>
    <xf numFmtId="44" fontId="0" fillId="37" borderId="37" xfId="0" applyNumberFormat="1" applyFont="1" applyFill="1" applyBorder="1" applyAlignment="1" applyProtection="1">
      <alignment/>
      <protection/>
    </xf>
    <xf numFmtId="10" fontId="0" fillId="37" borderId="41" xfId="58" applyNumberFormat="1" applyFont="1" applyFill="1" applyBorder="1" applyAlignment="1" applyProtection="1">
      <alignment/>
      <protection/>
    </xf>
    <xf numFmtId="44" fontId="0" fillId="0" borderId="51" xfId="0" applyNumberFormat="1" applyBorder="1" applyAlignment="1">
      <alignment horizontal="center"/>
    </xf>
    <xf numFmtId="44" fontId="0" fillId="0" borderId="5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170" fontId="0" fillId="0" borderId="53" xfId="0" applyNumberFormat="1" applyBorder="1" applyAlignment="1">
      <alignment/>
    </xf>
    <xf numFmtId="10" fontId="0" fillId="0" borderId="54" xfId="58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5" borderId="38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51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57" fillId="35" borderId="51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35" borderId="23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49" fontId="4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5" fontId="4" fillId="4" borderId="0" xfId="0" applyNumberFormat="1" applyFont="1" applyFill="1" applyAlignment="1">
      <alignment horizontal="right" vertical="top"/>
    </xf>
    <xf numFmtId="0" fontId="5" fillId="33" borderId="0" xfId="0" applyFont="1" applyFill="1" applyBorder="1" applyAlignment="1" applyProtection="1">
      <alignment horizontal="left" indent="7"/>
      <protection/>
    </xf>
    <xf numFmtId="0" fontId="7" fillId="0" borderId="0" xfId="0" applyFont="1" applyAlignment="1" applyProtection="1">
      <alignment horizontal="center"/>
      <protection/>
    </xf>
    <xf numFmtId="0" fontId="6" fillId="4" borderId="0" xfId="0" applyFont="1" applyFill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0" fontId="15" fillId="7" borderId="0" xfId="55" applyFont="1" applyFill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15" fillId="0" borderId="39" xfId="0" applyFont="1" applyFill="1" applyBorder="1" applyAlignment="1" applyProtection="1">
      <alignment horizontal="center" wrapText="1"/>
      <protection/>
    </xf>
    <xf numFmtId="0" fontId="0" fillId="0" borderId="45" xfId="0" applyFont="1" applyBorder="1" applyAlignment="1">
      <alignment wrapText="1"/>
    </xf>
    <xf numFmtId="0" fontId="15" fillId="0" borderId="40" xfId="0" applyFont="1" applyFill="1" applyBorder="1" applyAlignment="1" applyProtection="1">
      <alignment horizontal="center" wrapText="1"/>
      <protection/>
    </xf>
    <xf numFmtId="0" fontId="0" fillId="0" borderId="49" xfId="0" applyFont="1" applyBorder="1" applyAlignment="1">
      <alignment wrapText="1"/>
    </xf>
    <xf numFmtId="0" fontId="16" fillId="0" borderId="0" xfId="0" applyFont="1" applyAlignment="1" applyProtection="1">
      <alignment horizontal="left" vertical="top" wrapText="1" indent="1"/>
      <protection/>
    </xf>
    <xf numFmtId="0" fontId="15" fillId="7" borderId="0" xfId="0" applyFont="1" applyFill="1" applyAlignment="1" applyProtection="1">
      <alignment horizontal="left" vertical="top" wrapText="1"/>
      <protection/>
    </xf>
    <xf numFmtId="0" fontId="16" fillId="0" borderId="0" xfId="55" applyFont="1" applyAlignment="1" applyProtection="1">
      <alignment horizontal="left" vertical="top" wrapText="1" indent="1"/>
      <protection/>
    </xf>
    <xf numFmtId="0" fontId="0" fillId="33" borderId="0" xfId="0" applyFill="1" applyBorder="1" applyAlignment="1" applyProtection="1">
      <alignment horizontal="right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0" fontId="15" fillId="7" borderId="0" xfId="55" applyFont="1" applyFill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15" fillId="0" borderId="39" xfId="0" applyFont="1" applyFill="1" applyBorder="1" applyAlignment="1" applyProtection="1">
      <alignment horizontal="center" wrapText="1"/>
      <protection/>
    </xf>
    <xf numFmtId="0" fontId="0" fillId="0" borderId="45" xfId="0" applyFont="1" applyBorder="1" applyAlignment="1">
      <alignment wrapText="1"/>
    </xf>
    <xf numFmtId="0" fontId="15" fillId="0" borderId="40" xfId="0" applyFont="1" applyFill="1" applyBorder="1" applyAlignment="1" applyProtection="1">
      <alignment horizontal="center" wrapText="1"/>
      <protection/>
    </xf>
    <xf numFmtId="0" fontId="0" fillId="0" borderId="49" xfId="0" applyFont="1" applyBorder="1" applyAlignment="1">
      <alignment wrapText="1"/>
    </xf>
    <xf numFmtId="0" fontId="16" fillId="0" borderId="0" xfId="0" applyFont="1" applyAlignment="1" applyProtection="1">
      <alignment horizontal="left" vertical="top" wrapText="1" indent="1"/>
      <protection/>
    </xf>
    <xf numFmtId="0" fontId="15" fillId="7" borderId="0" xfId="0" applyFont="1" applyFill="1" applyAlignment="1" applyProtection="1">
      <alignment horizontal="left" vertical="top" wrapText="1"/>
      <protection/>
    </xf>
    <xf numFmtId="0" fontId="16" fillId="0" borderId="0" xfId="55" applyFont="1" applyAlignment="1" applyProtection="1">
      <alignment horizontal="left" vertical="top" wrapText="1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EB%20Rate%20Applications\2014%20COS%20Rate%20Rebasing\New%20Working%20Models%20August%202013\Revised_Filing_Requirements_Chapter2_Appendices_for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 t="str">
            <v>EB-2013-0116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.57421875" style="0" customWidth="1"/>
    <col min="4" max="4" width="10.140625" style="0" bestFit="1" customWidth="1"/>
    <col min="6" max="6" width="12.57421875" style="0" customWidth="1"/>
    <col min="7" max="7" width="15.421875" style="0" customWidth="1"/>
    <col min="8" max="8" width="13.28125" style="0" bestFit="1" customWidth="1"/>
    <col min="9" max="9" width="12.8515625" style="0" customWidth="1"/>
    <col min="10" max="10" width="11.28125" style="0" customWidth="1"/>
    <col min="18" max="18" width="9.00390625" style="0" customWidth="1"/>
  </cols>
  <sheetData>
    <row r="1" ht="8.25" customHeight="1" thickBot="1"/>
    <row r="2" spans="2:10" ht="51.75" thickBot="1">
      <c r="B2" s="502" t="s">
        <v>103</v>
      </c>
      <c r="C2" s="503"/>
      <c r="D2" s="69" t="s">
        <v>104</v>
      </c>
      <c r="E2" s="69" t="s">
        <v>70</v>
      </c>
      <c r="F2" s="39" t="s">
        <v>105</v>
      </c>
      <c r="G2" s="39" t="s">
        <v>115</v>
      </c>
      <c r="H2" s="39" t="s">
        <v>149</v>
      </c>
      <c r="I2" s="39" t="s">
        <v>108</v>
      </c>
      <c r="J2" s="70" t="s">
        <v>109</v>
      </c>
    </row>
    <row r="3" spans="2:10" ht="15">
      <c r="B3" s="40"/>
      <c r="C3" s="41"/>
      <c r="D3" s="41"/>
      <c r="E3" s="42"/>
      <c r="F3" s="41"/>
      <c r="G3" s="65" t="s">
        <v>95</v>
      </c>
      <c r="H3" s="65" t="s">
        <v>95</v>
      </c>
      <c r="I3" s="67" t="s">
        <v>95</v>
      </c>
      <c r="J3" s="68" t="s">
        <v>96</v>
      </c>
    </row>
    <row r="4" spans="2:10" ht="15">
      <c r="B4" s="504" t="s">
        <v>61</v>
      </c>
      <c r="C4" s="505"/>
      <c r="D4" s="42">
        <v>100</v>
      </c>
      <c r="E4" s="42"/>
      <c r="F4" s="41"/>
      <c r="G4" s="66">
        <f>'Res (100kWh)'!H71</f>
        <v>28.860499489999995</v>
      </c>
      <c r="H4" s="43">
        <f>'Res (100kWh)'!L71</f>
        <v>36.95757999</v>
      </c>
      <c r="I4" s="43">
        <f aca="true" t="shared" si="0" ref="I4:I10">H4-G4</f>
        <v>8.097080500000004</v>
      </c>
      <c r="J4" s="64">
        <f aca="true" t="shared" si="1" ref="J4:J10">I4/G4</f>
        <v>0.28055926415291593</v>
      </c>
    </row>
    <row r="5" spans="2:10" ht="15">
      <c r="B5" s="504" t="s">
        <v>106</v>
      </c>
      <c r="C5" s="505"/>
      <c r="D5" s="42">
        <v>250</v>
      </c>
      <c r="E5" s="42"/>
      <c r="F5" s="41"/>
      <c r="G5" s="43">
        <f>'Res (250kWh)'!H71</f>
        <v>50.78929872500001</v>
      </c>
      <c r="H5" s="43">
        <f>'Res (250kWh)'!L71</f>
        <v>61.307649975000004</v>
      </c>
      <c r="I5" s="43">
        <f t="shared" si="0"/>
        <v>10.518351249999995</v>
      </c>
      <c r="J5" s="64">
        <f t="shared" si="1"/>
        <v>0.20709778465246947</v>
      </c>
    </row>
    <row r="6" spans="2:10" ht="15">
      <c r="B6" s="40"/>
      <c r="C6" s="41"/>
      <c r="D6" s="42">
        <v>350</v>
      </c>
      <c r="E6" s="42"/>
      <c r="F6" s="41"/>
      <c r="G6" s="43">
        <f>'Res (350kWh)'!H71</f>
        <v>65.398498215</v>
      </c>
      <c r="H6" s="43">
        <f>'Res (350kWh)'!L71</f>
        <v>77.541029965</v>
      </c>
      <c r="I6" s="43">
        <f t="shared" si="0"/>
        <v>12.142531750000003</v>
      </c>
      <c r="J6" s="64">
        <f t="shared" si="1"/>
        <v>0.18566988663991912</v>
      </c>
    </row>
    <row r="7" spans="2:10" ht="15">
      <c r="B7" s="40"/>
      <c r="C7" s="41"/>
      <c r="D7" s="71">
        <v>800</v>
      </c>
      <c r="E7" s="71"/>
      <c r="F7" s="72"/>
      <c r="G7" s="73">
        <f>'Res (800kWh)'!H71</f>
        <v>131.17489592</v>
      </c>
      <c r="H7" s="73">
        <f>'Res (800kWh)'!L71</f>
        <v>150.59123992000002</v>
      </c>
      <c r="I7" s="73">
        <f t="shared" si="0"/>
        <v>19.41634400000001</v>
      </c>
      <c r="J7" s="74">
        <f t="shared" si="1"/>
        <v>0.14801874904357848</v>
      </c>
    </row>
    <row r="8" spans="2:10" ht="15">
      <c r="B8" s="40"/>
      <c r="C8" s="41"/>
      <c r="D8" s="45">
        <v>1000</v>
      </c>
      <c r="E8" s="42"/>
      <c r="F8" s="41"/>
      <c r="G8" s="43">
        <f>'Res (1,000kWh)'!H71</f>
        <v>160.40329490000005</v>
      </c>
      <c r="H8" s="43">
        <f>'Res (1,000kWh)'!L71</f>
        <v>183.0579999</v>
      </c>
      <c r="I8" s="43">
        <f t="shared" si="0"/>
        <v>22.65470499999995</v>
      </c>
      <c r="J8" s="64">
        <f t="shared" si="1"/>
        <v>0.1412359079913136</v>
      </c>
    </row>
    <row r="9" spans="2:10" ht="15">
      <c r="B9" s="40"/>
      <c r="C9" s="41"/>
      <c r="D9" s="45">
        <v>1500</v>
      </c>
      <c r="E9" s="42"/>
      <c r="F9" s="41"/>
      <c r="G9" s="43">
        <f>'Res (1,500kWh)'!H71</f>
        <v>233.47929235000004</v>
      </c>
      <c r="H9" s="43">
        <f>'Res (1,500kWh)'!L71</f>
        <v>264.22489985000004</v>
      </c>
      <c r="I9" s="43">
        <f t="shared" si="0"/>
        <v>30.745607500000006</v>
      </c>
      <c r="J9" s="64">
        <f t="shared" si="1"/>
        <v>0.13168451553258273</v>
      </c>
    </row>
    <row r="10" spans="2:10" ht="15">
      <c r="B10" s="40"/>
      <c r="C10" s="41"/>
      <c r="D10" s="45">
        <v>2000</v>
      </c>
      <c r="E10" s="42"/>
      <c r="F10" s="41"/>
      <c r="G10" s="43">
        <f>'Res (2,000kWh)'!H71</f>
        <v>306.5552898000001</v>
      </c>
      <c r="H10" s="43">
        <f>'Res (2,000kWh)'!L71</f>
        <v>345.3917998</v>
      </c>
      <c r="I10" s="43">
        <f t="shared" si="0"/>
        <v>38.83650999999992</v>
      </c>
      <c r="J10" s="64">
        <f t="shared" si="1"/>
        <v>0.12668680428035434</v>
      </c>
    </row>
    <row r="11" spans="2:10" ht="15">
      <c r="B11" s="46"/>
      <c r="C11" s="47"/>
      <c r="D11" s="48"/>
      <c r="E11" s="29"/>
      <c r="F11" s="47"/>
      <c r="G11" s="49"/>
      <c r="H11" s="49"/>
      <c r="I11" s="49"/>
      <c r="J11" s="50"/>
    </row>
    <row r="12" spans="2:10" ht="15">
      <c r="B12" s="51"/>
      <c r="C12" s="52"/>
      <c r="D12" s="53"/>
      <c r="E12" s="53"/>
      <c r="F12" s="52"/>
      <c r="G12" s="54"/>
      <c r="H12" s="54"/>
      <c r="I12" s="54"/>
      <c r="J12" s="55"/>
    </row>
    <row r="13" spans="2:10" ht="15">
      <c r="B13" s="500" t="s">
        <v>68</v>
      </c>
      <c r="C13" s="501"/>
      <c r="D13" s="45">
        <v>1000</v>
      </c>
      <c r="E13" s="42"/>
      <c r="F13" s="41"/>
      <c r="G13" s="43">
        <f>'GS&lt;50 (1,000kWh)'!H71</f>
        <v>165.37933390000003</v>
      </c>
      <c r="H13" s="43">
        <f>'GS&lt;50 (1,000kWh)'!L71</f>
        <v>196.1614234</v>
      </c>
      <c r="I13" s="43">
        <f>H13-G13</f>
        <v>30.782089499999955</v>
      </c>
      <c r="J13" s="44">
        <f>I13/G13</f>
        <v>0.1861302060789105</v>
      </c>
    </row>
    <row r="14" spans="2:10" ht="15">
      <c r="B14" s="504" t="s">
        <v>106</v>
      </c>
      <c r="C14" s="505"/>
      <c r="D14" s="75">
        <v>2000</v>
      </c>
      <c r="E14" s="71"/>
      <c r="F14" s="72"/>
      <c r="G14" s="73">
        <f>'GS&lt;50 (2,000kWh)'!H71</f>
        <v>307.63376780000004</v>
      </c>
      <c r="H14" s="73">
        <f>'GS&lt;50 (2,000kWh)'!L71</f>
        <v>366.63794679999995</v>
      </c>
      <c r="I14" s="73">
        <f>H14-G14</f>
        <v>59.00417899999991</v>
      </c>
      <c r="J14" s="74">
        <f>I14/G14</f>
        <v>0.19180007260568324</v>
      </c>
    </row>
    <row r="15" spans="2:10" ht="15">
      <c r="B15" s="40"/>
      <c r="C15" s="41"/>
      <c r="D15" s="45">
        <v>5000</v>
      </c>
      <c r="E15" s="42"/>
      <c r="F15" s="41"/>
      <c r="G15" s="43">
        <f>'GS&lt;50 (5,000kWh)'!H71</f>
        <v>734.4070695000001</v>
      </c>
      <c r="H15" s="43">
        <f>'GS&lt;50 (5,000kWh)'!L71</f>
        <v>878.0675170000002</v>
      </c>
      <c r="I15" s="43">
        <f>H15-G15</f>
        <v>143.66044750000003</v>
      </c>
      <c r="J15" s="44">
        <f>I15/G15</f>
        <v>0.19561419472419717</v>
      </c>
    </row>
    <row r="16" spans="2:10" ht="15">
      <c r="B16" s="40"/>
      <c r="C16" s="41"/>
      <c r="D16" s="45">
        <v>10000</v>
      </c>
      <c r="E16" s="42"/>
      <c r="F16" s="41"/>
      <c r="G16" s="43">
        <f>'GS&lt;50 (10,000kWh)'!H71</f>
        <v>1445.6992390000005</v>
      </c>
      <c r="H16" s="43">
        <f>'GS&lt;50 (10,000kWh)'!L71</f>
        <v>1730.4501340000004</v>
      </c>
      <c r="I16" s="43">
        <f>H16-G16</f>
        <v>284.7508949999999</v>
      </c>
      <c r="J16" s="44">
        <f>I16/G16</f>
        <v>0.1969641314862723</v>
      </c>
    </row>
    <row r="17" spans="2:10" ht="15">
      <c r="B17" s="40"/>
      <c r="C17" s="41"/>
      <c r="D17" s="45">
        <v>15000</v>
      </c>
      <c r="E17" s="42"/>
      <c r="F17" s="41"/>
      <c r="G17" s="43">
        <f>'GS&lt;50 (15,000kWh)'!H71</f>
        <v>2156.9814085000003</v>
      </c>
      <c r="H17" s="43">
        <f>'GS&lt;50 (15,000kWh)'!L71</f>
        <v>2582.832751000001</v>
      </c>
      <c r="I17" s="43">
        <f>H17-G17</f>
        <v>425.85134250000056</v>
      </c>
      <c r="J17" s="44">
        <f>I17/G17</f>
        <v>0.1974293059837472</v>
      </c>
    </row>
    <row r="18" spans="2:10" ht="15">
      <c r="B18" s="46"/>
      <c r="C18" s="47"/>
      <c r="D18" s="48"/>
      <c r="E18" s="29"/>
      <c r="F18" s="47"/>
      <c r="G18" s="49"/>
      <c r="H18" s="49"/>
      <c r="I18" s="49"/>
      <c r="J18" s="50"/>
    </row>
    <row r="19" spans="2:10" ht="15">
      <c r="B19" s="51"/>
      <c r="C19" s="52"/>
      <c r="D19" s="53"/>
      <c r="E19" s="53"/>
      <c r="F19" s="52"/>
      <c r="G19" s="54"/>
      <c r="H19" s="54"/>
      <c r="I19" s="54"/>
      <c r="J19" s="55"/>
    </row>
    <row r="20" spans="2:10" ht="15">
      <c r="B20" s="500" t="s">
        <v>113</v>
      </c>
      <c r="C20" s="501"/>
      <c r="D20" s="45">
        <v>20000</v>
      </c>
      <c r="E20" s="42">
        <v>60</v>
      </c>
      <c r="F20" s="41"/>
      <c r="G20" s="43">
        <f>'GS 50-4999 (60kW)'!H75</f>
        <v>3257.9150378900003</v>
      </c>
      <c r="H20" s="43">
        <f>'GS 50-4999 (60kW)'!L75</f>
        <v>3409.03403075</v>
      </c>
      <c r="I20" s="43">
        <f>H20-G20</f>
        <v>151.1189928599997</v>
      </c>
      <c r="J20" s="44">
        <f>I20/G20</f>
        <v>0.04638518534168786</v>
      </c>
    </row>
    <row r="21" spans="2:10" ht="15">
      <c r="B21" s="56"/>
      <c r="C21" s="57"/>
      <c r="D21" s="45">
        <v>40000</v>
      </c>
      <c r="E21" s="42">
        <v>100</v>
      </c>
      <c r="F21" s="41"/>
      <c r="G21" s="43">
        <f>'GS 50-4999 (100kW)'!H75</f>
        <v>6235.711493150001</v>
      </c>
      <c r="H21" s="43">
        <f>'GS 50-4999 (100kW)'!L75</f>
        <v>6489.948351249999</v>
      </c>
      <c r="I21" s="43">
        <f>H21-G21</f>
        <v>254.23685809999824</v>
      </c>
      <c r="J21" s="44">
        <f>I21/G21</f>
        <v>0.04077110661378101</v>
      </c>
    </row>
    <row r="22" spans="2:10" ht="15">
      <c r="B22" s="46"/>
      <c r="C22" s="47"/>
      <c r="D22" s="48"/>
      <c r="E22" s="29"/>
      <c r="F22" s="47"/>
      <c r="G22" s="49"/>
      <c r="H22" s="49"/>
      <c r="I22" s="49"/>
      <c r="J22" s="50"/>
    </row>
    <row r="23" spans="2:10" ht="15">
      <c r="B23" s="51"/>
      <c r="C23" s="52"/>
      <c r="D23" s="58"/>
      <c r="E23" s="53"/>
      <c r="F23" s="52"/>
      <c r="G23" s="54"/>
      <c r="H23" s="54"/>
      <c r="I23" s="54"/>
      <c r="J23" s="55"/>
    </row>
    <row r="24" spans="2:10" ht="15">
      <c r="B24" s="500" t="s">
        <v>114</v>
      </c>
      <c r="C24" s="501"/>
      <c r="D24" s="45">
        <v>65</v>
      </c>
      <c r="E24" s="45" t="s">
        <v>116</v>
      </c>
      <c r="F24" s="41">
        <v>1</v>
      </c>
      <c r="G24" s="43">
        <f>Sentinel!H75</f>
        <v>43.35044280849999</v>
      </c>
      <c r="H24" s="43">
        <f>Sentinel!L75</f>
        <v>50.280229083500004</v>
      </c>
      <c r="I24" s="43">
        <f>H24-G24</f>
        <v>6.929786275000012</v>
      </c>
      <c r="J24" s="44">
        <f>I24/G24</f>
        <v>0.15985502860056705</v>
      </c>
    </row>
    <row r="25" spans="2:10" ht="15">
      <c r="B25" s="59"/>
      <c r="C25" s="60"/>
      <c r="D25" s="48"/>
      <c r="E25" s="48"/>
      <c r="F25" s="47"/>
      <c r="G25" s="49"/>
      <c r="H25" s="49"/>
      <c r="I25" s="49"/>
      <c r="J25" s="50"/>
    </row>
    <row r="26" spans="2:10" ht="15">
      <c r="B26" s="51"/>
      <c r="C26" s="52"/>
      <c r="D26" s="53"/>
      <c r="E26" s="53"/>
      <c r="F26" s="52"/>
      <c r="G26" s="54"/>
      <c r="H26" s="54"/>
      <c r="I26" s="54"/>
      <c r="J26" s="55"/>
    </row>
    <row r="27" spans="2:10" ht="15">
      <c r="B27" s="500" t="s">
        <v>107</v>
      </c>
      <c r="C27" s="501"/>
      <c r="D27" s="45">
        <v>800</v>
      </c>
      <c r="E27" s="42"/>
      <c r="F27" s="42">
        <v>1</v>
      </c>
      <c r="G27" s="43">
        <f>'USL (800kWh)'!H74</f>
        <v>136.77755040000002</v>
      </c>
      <c r="H27" s="43">
        <f>'USL (800kWh)'!L74</f>
        <v>142.41277</v>
      </c>
      <c r="I27" s="43">
        <f>H27-G27</f>
        <v>5.635219599999971</v>
      </c>
      <c r="J27" s="44">
        <f>I27/G27</f>
        <v>0.041199886849267404</v>
      </c>
    </row>
    <row r="28" spans="2:10" ht="15">
      <c r="B28" s="59"/>
      <c r="C28" s="60"/>
      <c r="D28" s="48"/>
      <c r="E28" s="29"/>
      <c r="F28" s="29"/>
      <c r="G28" s="49"/>
      <c r="H28" s="49"/>
      <c r="I28" s="49"/>
      <c r="J28" s="50"/>
    </row>
    <row r="29" spans="2:10" ht="15">
      <c r="B29" s="51"/>
      <c r="C29" s="52"/>
      <c r="D29" s="53"/>
      <c r="E29" s="53"/>
      <c r="F29" s="53"/>
      <c r="G29" s="54"/>
      <c r="H29" s="54"/>
      <c r="I29" s="54"/>
      <c r="J29" s="55"/>
    </row>
    <row r="30" spans="2:10" ht="15">
      <c r="B30" s="500" t="s">
        <v>72</v>
      </c>
      <c r="C30" s="501"/>
      <c r="D30" s="42">
        <v>150</v>
      </c>
      <c r="E30" s="42">
        <v>1</v>
      </c>
      <c r="F30" s="42">
        <v>1</v>
      </c>
      <c r="G30" s="43">
        <f>'ST (1kW)'!H74</f>
        <v>74.70920736400001</v>
      </c>
      <c r="H30" s="43">
        <f>'ST (1kW)'!L74</f>
        <v>77.0404612655</v>
      </c>
      <c r="I30" s="43">
        <f>H30-G30</f>
        <v>2.3312539014999913</v>
      </c>
      <c r="J30" s="44">
        <f>I30/G30</f>
        <v>0.031204372041341567</v>
      </c>
    </row>
    <row r="31" spans="2:10" ht="15.75" thickBot="1">
      <c r="B31" s="61"/>
      <c r="C31" s="62"/>
      <c r="D31" s="62"/>
      <c r="E31" s="62"/>
      <c r="F31" s="62"/>
      <c r="G31" s="62"/>
      <c r="H31" s="62"/>
      <c r="I31" s="62"/>
      <c r="J31" s="63"/>
    </row>
  </sheetData>
  <sheetProtection/>
  <mergeCells count="9">
    <mergeCell ref="B24:C24"/>
    <mergeCell ref="B27:C27"/>
    <mergeCell ref="B30:C30"/>
    <mergeCell ref="B2:C2"/>
    <mergeCell ref="B4:C4"/>
    <mergeCell ref="B5:C5"/>
    <mergeCell ref="B13:C13"/>
    <mergeCell ref="B14:C14"/>
    <mergeCell ref="B20:C20"/>
  </mergeCells>
  <printOptions/>
  <pageMargins left="0.7" right="0.7" top="0.75" bottom="0.75" header="0.3" footer="0.3"/>
  <pageSetup fitToHeight="0" fitToWidth="1" horizontalDpi="600" verticalDpi="600" orientation="portrait" scale="86" r:id="rId1"/>
  <rowBreaks count="1" manualBreakCount="1">
    <brk id="31" max="255" man="1"/>
  </rowBreaks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8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59.0039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9.71093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 s="20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8</v>
      </c>
      <c r="O4" s="523"/>
      <c r="P4" s="21"/>
    </row>
    <row r="5" spans="3:16" s="2" customFormat="1" ht="15" customHeight="1">
      <c r="C5" s="7"/>
      <c r="D5" s="7"/>
      <c r="E5" s="7"/>
      <c r="L5" s="3" t="s">
        <v>77</v>
      </c>
      <c r="N5" s="525" t="s">
        <v>84</v>
      </c>
      <c r="O5" s="525"/>
      <c r="P5" s="20"/>
    </row>
    <row r="6" spans="12:16" s="2" customFormat="1" ht="9" customHeight="1">
      <c r="L6" s="3"/>
      <c r="N6" s="543"/>
      <c r="O6" s="543"/>
      <c r="P6" s="23"/>
    </row>
    <row r="7" spans="12:16" s="2" customFormat="1" ht="15">
      <c r="L7" s="3" t="s">
        <v>145</v>
      </c>
      <c r="N7" s="526">
        <v>42412</v>
      </c>
      <c r="O7" s="525"/>
      <c r="P7" s="24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4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68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</v>
      </c>
      <c r="G18" s="14" t="s">
        <v>9</v>
      </c>
    </row>
    <row r="19" ht="15">
      <c r="B19" s="13"/>
    </row>
    <row r="20" spans="2:15" s="252" customFormat="1" ht="15">
      <c r="B20" s="373"/>
      <c r="D20" s="374"/>
      <c r="E20" s="374"/>
      <c r="F20" s="544" t="s">
        <v>10</v>
      </c>
      <c r="G20" s="545"/>
      <c r="H20" s="546"/>
      <c r="J20" s="544" t="s">
        <v>11</v>
      </c>
      <c r="K20" s="545"/>
      <c r="L20" s="546"/>
      <c r="N20" s="544" t="s">
        <v>12</v>
      </c>
      <c r="O20" s="546"/>
    </row>
    <row r="21" spans="2:15" s="252" customFormat="1" ht="15">
      <c r="B21" s="373"/>
      <c r="D21" s="548" t="s">
        <v>13</v>
      </c>
      <c r="E21" s="375"/>
      <c r="F21" s="376" t="s">
        <v>14</v>
      </c>
      <c r="G21" s="376" t="s">
        <v>15</v>
      </c>
      <c r="H21" s="377" t="s">
        <v>16</v>
      </c>
      <c r="J21" s="376" t="s">
        <v>14</v>
      </c>
      <c r="K21" s="378" t="s">
        <v>15</v>
      </c>
      <c r="L21" s="377" t="s">
        <v>16</v>
      </c>
      <c r="N21" s="550" t="s">
        <v>17</v>
      </c>
      <c r="O21" s="552" t="s">
        <v>18</v>
      </c>
    </row>
    <row r="22" spans="2:15" s="252" customFormat="1" ht="15">
      <c r="B22" s="373"/>
      <c r="D22" s="549"/>
      <c r="E22" s="375"/>
      <c r="F22" s="379" t="s">
        <v>19</v>
      </c>
      <c r="G22" s="379"/>
      <c r="H22" s="380" t="s">
        <v>19</v>
      </c>
      <c r="J22" s="379" t="s">
        <v>19</v>
      </c>
      <c r="K22" s="380"/>
      <c r="L22" s="380" t="s">
        <v>19</v>
      </c>
      <c r="N22" s="551"/>
      <c r="O22" s="553"/>
    </row>
    <row r="23" spans="2:15" s="252" customFormat="1" ht="15">
      <c r="B23" s="253" t="s">
        <v>20</v>
      </c>
      <c r="C23" s="253"/>
      <c r="D23" s="254" t="s">
        <v>62</v>
      </c>
      <c r="E23" s="255"/>
      <c r="F23" s="256">
        <v>17.36</v>
      </c>
      <c r="G23" s="257">
        <v>1</v>
      </c>
      <c r="H23" s="258">
        <f>G23*F23</f>
        <v>17.36</v>
      </c>
      <c r="I23" s="259"/>
      <c r="J23" s="264">
        <v>17.36</v>
      </c>
      <c r="K23" s="260">
        <v>1</v>
      </c>
      <c r="L23" s="258">
        <f>K23*J23</f>
        <v>17.36</v>
      </c>
      <c r="M23" s="259"/>
      <c r="N23" s="261">
        <f>L23-H23</f>
        <v>0</v>
      </c>
      <c r="O23" s="262">
        <f>IF((H23)=0,"",(N23/H23))</f>
        <v>0</v>
      </c>
    </row>
    <row r="24" spans="2:15" s="252" customFormat="1" ht="22.5" customHeight="1" hidden="1">
      <c r="B24" s="253" t="s">
        <v>92</v>
      </c>
      <c r="C24" s="253"/>
      <c r="D24" s="254" t="s">
        <v>62</v>
      </c>
      <c r="E24" s="255"/>
      <c r="F24" s="263">
        <v>0</v>
      </c>
      <c r="G24" s="257">
        <v>1</v>
      </c>
      <c r="H24" s="258">
        <f>G24*F24</f>
        <v>0</v>
      </c>
      <c r="I24" s="259"/>
      <c r="J24" s="264">
        <v>0</v>
      </c>
      <c r="K24" s="260">
        <v>1</v>
      </c>
      <c r="L24" s="258">
        <f>K24*J24</f>
        <v>0</v>
      </c>
      <c r="M24" s="259"/>
      <c r="N24" s="261">
        <f>L24-H24</f>
        <v>0</v>
      </c>
      <c r="O24" s="262">
        <f>IF((H24)=0,"",(N24/H24))</f>
      </c>
    </row>
    <row r="25" spans="2:15" s="252" customFormat="1" ht="36.75" customHeight="1" hidden="1">
      <c r="B25" s="265" t="s">
        <v>111</v>
      </c>
      <c r="C25" s="253"/>
      <c r="D25" s="266" t="s">
        <v>62</v>
      </c>
      <c r="E25" s="255"/>
      <c r="F25" s="264">
        <v>0</v>
      </c>
      <c r="G25" s="257">
        <v>1</v>
      </c>
      <c r="H25" s="258">
        <f>G25*F25</f>
        <v>0</v>
      </c>
      <c r="I25" s="259"/>
      <c r="J25" s="267">
        <v>0</v>
      </c>
      <c r="K25" s="260">
        <v>1</v>
      </c>
      <c r="L25" s="258">
        <f>K25*J25</f>
        <v>0</v>
      </c>
      <c r="M25" s="259"/>
      <c r="N25" s="261">
        <f>L25-H25</f>
        <v>0</v>
      </c>
      <c r="O25" s="262">
        <f>IF((H25)=0,"",(N25/H25))</f>
      </c>
    </row>
    <row r="26" spans="2:15" s="252" customFormat="1" ht="30">
      <c r="B26" s="425" t="s">
        <v>64</v>
      </c>
      <c r="C26" s="253"/>
      <c r="D26" s="266" t="s">
        <v>62</v>
      </c>
      <c r="E26" s="269"/>
      <c r="F26" s="264">
        <v>4.33</v>
      </c>
      <c r="G26" s="257">
        <v>1</v>
      </c>
      <c r="H26" s="258">
        <f aca="true" t="shared" si="0" ref="H26:H40">G26*F26</f>
        <v>4.33</v>
      </c>
      <c r="I26" s="259"/>
      <c r="J26" s="264">
        <v>4.33</v>
      </c>
      <c r="K26" s="260">
        <v>1</v>
      </c>
      <c r="L26" s="258">
        <f aca="true" t="shared" si="1" ref="L26:L40">K26*J26</f>
        <v>4.33</v>
      </c>
      <c r="M26" s="259"/>
      <c r="N26" s="261">
        <f aca="true" t="shared" si="2" ref="N26:N71">L26-H26</f>
        <v>0</v>
      </c>
      <c r="O26" s="262">
        <f aca="true" t="shared" si="3" ref="O26:O41">IF((H26)=0,"",(N26/H26))</f>
        <v>0</v>
      </c>
    </row>
    <row r="27" spans="2:15" s="252" customFormat="1" ht="15" hidden="1">
      <c r="B27" s="268" t="s">
        <v>65</v>
      </c>
      <c r="C27" s="253"/>
      <c r="D27" s="254" t="s">
        <v>62</v>
      </c>
      <c r="E27" s="255"/>
      <c r="F27" s="270">
        <v>0</v>
      </c>
      <c r="G27" s="257">
        <v>1</v>
      </c>
      <c r="H27" s="258">
        <f t="shared" si="0"/>
        <v>0</v>
      </c>
      <c r="I27" s="259"/>
      <c r="J27" s="264">
        <v>0</v>
      </c>
      <c r="K27" s="260">
        <v>1</v>
      </c>
      <c r="L27" s="258">
        <f t="shared" si="1"/>
        <v>0</v>
      </c>
      <c r="M27" s="259"/>
      <c r="N27" s="261">
        <f t="shared" si="2"/>
        <v>0</v>
      </c>
      <c r="O27" s="262">
        <f t="shared" si="3"/>
      </c>
    </row>
    <row r="28" spans="2:15" s="252" customFormat="1" ht="15" hidden="1">
      <c r="B28" s="253"/>
      <c r="C28" s="253"/>
      <c r="D28" s="254" t="s">
        <v>63</v>
      </c>
      <c r="E28" s="255"/>
      <c r="F28" s="271">
        <v>0</v>
      </c>
      <c r="G28" s="257">
        <f aca="true" t="shared" si="4" ref="G28:G33">$F$18</f>
        <v>1000</v>
      </c>
      <c r="H28" s="258">
        <f t="shared" si="0"/>
        <v>0</v>
      </c>
      <c r="I28" s="259"/>
      <c r="J28" s="267">
        <v>0</v>
      </c>
      <c r="K28" s="257">
        <f>$F$18</f>
        <v>1000</v>
      </c>
      <c r="L28" s="258">
        <f t="shared" si="1"/>
        <v>0</v>
      </c>
      <c r="M28" s="259"/>
      <c r="N28" s="261">
        <f t="shared" si="2"/>
        <v>0</v>
      </c>
      <c r="O28" s="262">
        <f t="shared" si="3"/>
      </c>
    </row>
    <row r="29" spans="2:15" s="252" customFormat="1" ht="15.75" customHeight="1">
      <c r="B29" s="253" t="s">
        <v>110</v>
      </c>
      <c r="C29" s="253"/>
      <c r="D29" s="254" t="s">
        <v>63</v>
      </c>
      <c r="E29" s="255"/>
      <c r="F29" s="271">
        <v>0</v>
      </c>
      <c r="G29" s="257">
        <f t="shared" si="4"/>
        <v>1000</v>
      </c>
      <c r="H29" s="258">
        <f t="shared" si="0"/>
        <v>0</v>
      </c>
      <c r="I29" s="259"/>
      <c r="J29" s="471"/>
      <c r="K29" s="257">
        <f>$F$18</f>
        <v>1000</v>
      </c>
      <c r="L29" s="258">
        <f t="shared" si="1"/>
        <v>0</v>
      </c>
      <c r="M29" s="259"/>
      <c r="N29" s="261">
        <f t="shared" si="2"/>
        <v>0</v>
      </c>
      <c r="O29" s="262">
        <f t="shared" si="3"/>
      </c>
    </row>
    <row r="30" spans="2:15" s="252" customFormat="1" ht="15" hidden="1">
      <c r="B30" s="381" t="s">
        <v>93</v>
      </c>
      <c r="C30" s="253"/>
      <c r="D30" s="254" t="s">
        <v>63</v>
      </c>
      <c r="E30" s="255"/>
      <c r="F30" s="270">
        <v>0</v>
      </c>
      <c r="G30" s="257">
        <f t="shared" si="4"/>
        <v>1000</v>
      </c>
      <c r="H30" s="258">
        <f t="shared" si="0"/>
        <v>0</v>
      </c>
      <c r="I30" s="259"/>
      <c r="J30" s="267">
        <v>0</v>
      </c>
      <c r="K30" s="257">
        <f>$F$18</f>
        <v>1000</v>
      </c>
      <c r="L30" s="258">
        <f>K30*J30</f>
        <v>0</v>
      </c>
      <c r="M30" s="259"/>
      <c r="N30" s="261">
        <f>L30-H30</f>
        <v>0</v>
      </c>
      <c r="O30" s="262">
        <f>IF((H30)=0,"",(N30/H30))</f>
      </c>
    </row>
    <row r="31" spans="2:15" s="252" customFormat="1" ht="15">
      <c r="B31" s="253" t="s">
        <v>21</v>
      </c>
      <c r="C31" s="253"/>
      <c r="D31" s="254" t="s">
        <v>63</v>
      </c>
      <c r="E31" s="255"/>
      <c r="F31" s="270">
        <v>0.018</v>
      </c>
      <c r="G31" s="257">
        <f t="shared" si="4"/>
        <v>1000</v>
      </c>
      <c r="H31" s="258">
        <f t="shared" si="0"/>
        <v>18</v>
      </c>
      <c r="I31" s="259"/>
      <c r="J31" s="267">
        <v>0.018</v>
      </c>
      <c r="K31" s="257">
        <f>$F$18</f>
        <v>1000</v>
      </c>
      <c r="L31" s="258">
        <f t="shared" si="1"/>
        <v>18</v>
      </c>
      <c r="M31" s="259"/>
      <c r="N31" s="261">
        <f t="shared" si="2"/>
        <v>0</v>
      </c>
      <c r="O31" s="262">
        <f t="shared" si="3"/>
        <v>0</v>
      </c>
    </row>
    <row r="32" spans="2:15" s="252" customFormat="1" ht="15" hidden="1">
      <c r="B32" s="253" t="s">
        <v>22</v>
      </c>
      <c r="C32" s="253"/>
      <c r="D32" s="254"/>
      <c r="E32" s="255"/>
      <c r="F32" s="270"/>
      <c r="G32" s="257">
        <f t="shared" si="4"/>
        <v>1000</v>
      </c>
      <c r="H32" s="258">
        <f t="shared" si="0"/>
        <v>0</v>
      </c>
      <c r="I32" s="259"/>
      <c r="J32" s="267"/>
      <c r="K32" s="257">
        <f aca="true" t="shared" si="5" ref="K32:K40">$F$18</f>
        <v>1000</v>
      </c>
      <c r="L32" s="258">
        <f t="shared" si="1"/>
        <v>0</v>
      </c>
      <c r="M32" s="259"/>
      <c r="N32" s="261">
        <f t="shared" si="2"/>
        <v>0</v>
      </c>
      <c r="O32" s="262">
        <f t="shared" si="3"/>
      </c>
    </row>
    <row r="33" spans="2:15" s="252" customFormat="1" ht="16.5" customHeight="1" hidden="1">
      <c r="B33" s="253" t="s">
        <v>110</v>
      </c>
      <c r="C33" s="253"/>
      <c r="D33" s="254" t="s">
        <v>63</v>
      </c>
      <c r="E33" s="255"/>
      <c r="F33" s="270">
        <v>0</v>
      </c>
      <c r="G33" s="257">
        <f t="shared" si="4"/>
        <v>1000</v>
      </c>
      <c r="H33" s="258">
        <f t="shared" si="0"/>
        <v>0</v>
      </c>
      <c r="I33" s="259"/>
      <c r="J33" s="267">
        <v>0</v>
      </c>
      <c r="K33" s="257">
        <f t="shared" si="5"/>
        <v>1000</v>
      </c>
      <c r="L33" s="258">
        <f t="shared" si="1"/>
        <v>0</v>
      </c>
      <c r="M33" s="259"/>
      <c r="N33" s="261">
        <f t="shared" si="2"/>
        <v>0</v>
      </c>
      <c r="O33" s="262">
        <f t="shared" si="3"/>
      </c>
    </row>
    <row r="34" spans="2:15" s="252" customFormat="1" ht="15" hidden="1">
      <c r="B34" s="273"/>
      <c r="C34" s="253"/>
      <c r="D34" s="254"/>
      <c r="E34" s="255"/>
      <c r="F34" s="270"/>
      <c r="G34" s="257">
        <f aca="true" t="shared" si="6" ref="G34:G40">$F$18</f>
        <v>1000</v>
      </c>
      <c r="H34" s="258">
        <f t="shared" si="0"/>
        <v>0</v>
      </c>
      <c r="I34" s="259"/>
      <c r="J34" s="267"/>
      <c r="K34" s="257">
        <f t="shared" si="5"/>
        <v>1000</v>
      </c>
      <c r="L34" s="258">
        <f t="shared" si="1"/>
        <v>0</v>
      </c>
      <c r="M34" s="259"/>
      <c r="N34" s="272">
        <f t="shared" si="2"/>
        <v>0</v>
      </c>
      <c r="O34" s="262">
        <f t="shared" si="3"/>
      </c>
    </row>
    <row r="35" spans="2:15" s="252" customFormat="1" ht="15" hidden="1">
      <c r="B35" s="273"/>
      <c r="C35" s="253"/>
      <c r="D35" s="254"/>
      <c r="E35" s="255"/>
      <c r="F35" s="270"/>
      <c r="G35" s="257">
        <f t="shared" si="6"/>
        <v>1000</v>
      </c>
      <c r="H35" s="258">
        <f t="shared" si="0"/>
        <v>0</v>
      </c>
      <c r="I35" s="259"/>
      <c r="J35" s="267"/>
      <c r="K35" s="257">
        <f t="shared" si="5"/>
        <v>1000</v>
      </c>
      <c r="L35" s="258">
        <f t="shared" si="1"/>
        <v>0</v>
      </c>
      <c r="M35" s="259"/>
      <c r="N35" s="272">
        <f t="shared" si="2"/>
        <v>0</v>
      </c>
      <c r="O35" s="262">
        <f t="shared" si="3"/>
      </c>
    </row>
    <row r="36" spans="2:15" s="252" customFormat="1" ht="15" hidden="1">
      <c r="B36" s="273"/>
      <c r="C36" s="253"/>
      <c r="D36" s="254"/>
      <c r="E36" s="255"/>
      <c r="F36" s="270"/>
      <c r="G36" s="257">
        <f t="shared" si="6"/>
        <v>1000</v>
      </c>
      <c r="H36" s="258">
        <f t="shared" si="0"/>
        <v>0</v>
      </c>
      <c r="I36" s="259"/>
      <c r="J36" s="267"/>
      <c r="K36" s="257">
        <f t="shared" si="5"/>
        <v>1000</v>
      </c>
      <c r="L36" s="258">
        <f t="shared" si="1"/>
        <v>0</v>
      </c>
      <c r="M36" s="259"/>
      <c r="N36" s="272">
        <f t="shared" si="2"/>
        <v>0</v>
      </c>
      <c r="O36" s="262">
        <f t="shared" si="3"/>
      </c>
    </row>
    <row r="37" spans="2:15" s="252" customFormat="1" ht="15" hidden="1">
      <c r="B37" s="273"/>
      <c r="C37" s="253"/>
      <c r="D37" s="254"/>
      <c r="E37" s="255"/>
      <c r="F37" s="270"/>
      <c r="G37" s="257">
        <f t="shared" si="6"/>
        <v>1000</v>
      </c>
      <c r="H37" s="258">
        <f t="shared" si="0"/>
        <v>0</v>
      </c>
      <c r="I37" s="259"/>
      <c r="J37" s="267"/>
      <c r="K37" s="257">
        <f t="shared" si="5"/>
        <v>1000</v>
      </c>
      <c r="L37" s="258">
        <f t="shared" si="1"/>
        <v>0</v>
      </c>
      <c r="M37" s="259"/>
      <c r="N37" s="272">
        <f t="shared" si="2"/>
        <v>0</v>
      </c>
      <c r="O37" s="262">
        <f t="shared" si="3"/>
      </c>
    </row>
    <row r="38" spans="2:15" s="252" customFormat="1" ht="15" hidden="1">
      <c r="B38" s="273"/>
      <c r="C38" s="253"/>
      <c r="D38" s="254"/>
      <c r="E38" s="255"/>
      <c r="F38" s="270"/>
      <c r="G38" s="257">
        <f t="shared" si="6"/>
        <v>1000</v>
      </c>
      <c r="H38" s="258">
        <f t="shared" si="0"/>
        <v>0</v>
      </c>
      <c r="I38" s="259"/>
      <c r="J38" s="267"/>
      <c r="K38" s="257">
        <f t="shared" si="5"/>
        <v>1000</v>
      </c>
      <c r="L38" s="258">
        <f t="shared" si="1"/>
        <v>0</v>
      </c>
      <c r="M38" s="259"/>
      <c r="N38" s="272">
        <f t="shared" si="2"/>
        <v>0</v>
      </c>
      <c r="O38" s="262">
        <f t="shared" si="3"/>
      </c>
    </row>
    <row r="39" spans="2:15" s="252" customFormat="1" ht="15" hidden="1">
      <c r="B39" s="273"/>
      <c r="C39" s="253"/>
      <c r="D39" s="254"/>
      <c r="E39" s="255"/>
      <c r="F39" s="270"/>
      <c r="G39" s="257">
        <f t="shared" si="6"/>
        <v>1000</v>
      </c>
      <c r="H39" s="258">
        <f t="shared" si="0"/>
        <v>0</v>
      </c>
      <c r="I39" s="259"/>
      <c r="J39" s="267"/>
      <c r="K39" s="257">
        <f t="shared" si="5"/>
        <v>1000</v>
      </c>
      <c r="L39" s="258">
        <f t="shared" si="1"/>
        <v>0</v>
      </c>
      <c r="M39" s="259"/>
      <c r="N39" s="272">
        <f t="shared" si="2"/>
        <v>0</v>
      </c>
      <c r="O39" s="262">
        <f t="shared" si="3"/>
      </c>
    </row>
    <row r="40" spans="2:15" s="252" customFormat="1" ht="15" hidden="1">
      <c r="B40" s="273"/>
      <c r="C40" s="253"/>
      <c r="D40" s="254"/>
      <c r="E40" s="255"/>
      <c r="F40" s="270"/>
      <c r="G40" s="257">
        <f t="shared" si="6"/>
        <v>1000</v>
      </c>
      <c r="H40" s="258">
        <f t="shared" si="0"/>
        <v>0</v>
      </c>
      <c r="I40" s="259"/>
      <c r="J40" s="267"/>
      <c r="K40" s="257">
        <f t="shared" si="5"/>
        <v>1000</v>
      </c>
      <c r="L40" s="258">
        <f t="shared" si="1"/>
        <v>0</v>
      </c>
      <c r="M40" s="259"/>
      <c r="N40" s="272">
        <f t="shared" si="2"/>
        <v>0</v>
      </c>
      <c r="O40" s="262">
        <f t="shared" si="3"/>
      </c>
    </row>
    <row r="41" spans="2:15" s="283" customFormat="1" ht="15">
      <c r="B41" s="382" t="s">
        <v>24</v>
      </c>
      <c r="C41" s="274"/>
      <c r="D41" s="275"/>
      <c r="E41" s="274"/>
      <c r="F41" s="276"/>
      <c r="G41" s="277"/>
      <c r="H41" s="278">
        <f>SUM(H23:H40)</f>
        <v>39.69</v>
      </c>
      <c r="I41" s="279"/>
      <c r="J41" s="280"/>
      <c r="K41" s="281"/>
      <c r="L41" s="278">
        <f>SUM(L23:L40)</f>
        <v>39.69</v>
      </c>
      <c r="M41" s="279"/>
      <c r="N41" s="282">
        <f t="shared" si="2"/>
        <v>0</v>
      </c>
      <c r="O41" s="383">
        <f t="shared" si="3"/>
        <v>0</v>
      </c>
    </row>
    <row r="42" spans="2:15" s="252" customFormat="1" ht="15" hidden="1">
      <c r="B42" s="268"/>
      <c r="C42" s="253"/>
      <c r="D42" s="266" t="s">
        <v>62</v>
      </c>
      <c r="E42" s="255"/>
      <c r="F42" s="270"/>
      <c r="G42" s="257">
        <v>1</v>
      </c>
      <c r="H42" s="258">
        <f>G42*F42</f>
        <v>0</v>
      </c>
      <c r="I42" s="259"/>
      <c r="J42" s="264"/>
      <c r="K42" s="260">
        <v>1</v>
      </c>
      <c r="L42" s="258">
        <f>K42*J42</f>
        <v>0</v>
      </c>
      <c r="M42" s="259"/>
      <c r="N42" s="272">
        <f>L42-H42</f>
        <v>0</v>
      </c>
      <c r="O42" s="262">
        <f>IF((H42)=0,"",(N42/H42))</f>
      </c>
    </row>
    <row r="43" spans="2:15" s="252" customFormat="1" ht="15">
      <c r="B43" s="426" t="s">
        <v>25</v>
      </c>
      <c r="C43" s="253"/>
      <c r="D43" s="266" t="s">
        <v>63</v>
      </c>
      <c r="E43" s="269"/>
      <c r="F43" s="271">
        <v>-0.0071</v>
      </c>
      <c r="G43" s="257">
        <f aca="true" t="shared" si="7" ref="G43:G49">$F$18</f>
        <v>1000</v>
      </c>
      <c r="H43" s="258">
        <f aca="true" t="shared" si="8" ref="H43:H51">G43*F43</f>
        <v>-7.1000000000000005</v>
      </c>
      <c r="I43" s="259"/>
      <c r="J43" s="284">
        <v>0.0021</v>
      </c>
      <c r="K43" s="257">
        <f aca="true" t="shared" si="9" ref="K43:K49">$F$18</f>
        <v>1000</v>
      </c>
      <c r="L43" s="258">
        <f aca="true" t="shared" si="10" ref="L43:L51">K43*J43</f>
        <v>2.1</v>
      </c>
      <c r="M43" s="259"/>
      <c r="N43" s="261">
        <f t="shared" si="2"/>
        <v>9.200000000000001</v>
      </c>
      <c r="O43" s="262">
        <f aca="true" t="shared" si="11" ref="O43:O50">IF((H43)=0,"",(N43/H43))</f>
        <v>-1.295774647887324</v>
      </c>
    </row>
    <row r="44" spans="2:15" s="252" customFormat="1" ht="15" hidden="1">
      <c r="B44" s="426"/>
      <c r="C44" s="253"/>
      <c r="D44" s="254" t="s">
        <v>63</v>
      </c>
      <c r="E44" s="255"/>
      <c r="F44" s="270"/>
      <c r="G44" s="257">
        <f t="shared" si="7"/>
        <v>1000</v>
      </c>
      <c r="H44" s="258">
        <f t="shared" si="8"/>
        <v>0</v>
      </c>
      <c r="I44" s="285"/>
      <c r="J44" s="267"/>
      <c r="K44" s="257">
        <f t="shared" si="9"/>
        <v>1000</v>
      </c>
      <c r="L44" s="258">
        <f t="shared" si="10"/>
        <v>0</v>
      </c>
      <c r="M44" s="286"/>
      <c r="N44" s="261">
        <f t="shared" si="2"/>
        <v>0</v>
      </c>
      <c r="O44" s="262">
        <f t="shared" si="11"/>
      </c>
    </row>
    <row r="45" spans="2:15" s="252" customFormat="1" ht="15" hidden="1">
      <c r="B45" s="426"/>
      <c r="C45" s="253"/>
      <c r="D45" s="254" t="s">
        <v>63</v>
      </c>
      <c r="E45" s="255"/>
      <c r="F45" s="270"/>
      <c r="G45" s="257">
        <f t="shared" si="7"/>
        <v>1000</v>
      </c>
      <c r="H45" s="258">
        <f t="shared" si="8"/>
        <v>0</v>
      </c>
      <c r="I45" s="285"/>
      <c r="J45" s="267"/>
      <c r="K45" s="257">
        <f t="shared" si="9"/>
        <v>1000</v>
      </c>
      <c r="L45" s="258">
        <f t="shared" si="10"/>
        <v>0</v>
      </c>
      <c r="M45" s="286"/>
      <c r="N45" s="261">
        <f t="shared" si="2"/>
        <v>0</v>
      </c>
      <c r="O45" s="262">
        <f t="shared" si="11"/>
      </c>
    </row>
    <row r="46" spans="2:15" s="252" customFormat="1" ht="15" hidden="1">
      <c r="B46" s="426"/>
      <c r="C46" s="253"/>
      <c r="D46" s="254"/>
      <c r="E46" s="255"/>
      <c r="F46" s="270"/>
      <c r="G46" s="257">
        <f t="shared" si="7"/>
        <v>1000</v>
      </c>
      <c r="H46" s="258">
        <f t="shared" si="8"/>
        <v>0</v>
      </c>
      <c r="I46" s="285"/>
      <c r="J46" s="267"/>
      <c r="K46" s="257">
        <f t="shared" si="9"/>
        <v>1000</v>
      </c>
      <c r="L46" s="258">
        <f t="shared" si="10"/>
        <v>0</v>
      </c>
      <c r="M46" s="286"/>
      <c r="N46" s="261">
        <f t="shared" si="2"/>
        <v>0</v>
      </c>
      <c r="O46" s="262">
        <f t="shared" si="11"/>
      </c>
    </row>
    <row r="47" spans="2:15" s="252" customFormat="1" ht="15" hidden="1">
      <c r="B47" s="426" t="s">
        <v>66</v>
      </c>
      <c r="C47" s="253"/>
      <c r="D47" s="254" t="s">
        <v>63</v>
      </c>
      <c r="E47" s="255"/>
      <c r="F47" s="271">
        <v>0</v>
      </c>
      <c r="G47" s="257">
        <f t="shared" si="7"/>
        <v>1000</v>
      </c>
      <c r="H47" s="258">
        <f t="shared" si="8"/>
        <v>0</v>
      </c>
      <c r="I47" s="259"/>
      <c r="J47" s="264"/>
      <c r="K47" s="257">
        <f t="shared" si="9"/>
        <v>1000</v>
      </c>
      <c r="L47" s="258">
        <f t="shared" si="10"/>
        <v>0</v>
      </c>
      <c r="M47" s="259"/>
      <c r="N47" s="261">
        <f>L47-H47</f>
        <v>0</v>
      </c>
      <c r="O47" s="262">
        <f t="shared" si="11"/>
      </c>
    </row>
    <row r="48" spans="2:15" s="252" customFormat="1" ht="15" customHeight="1" hidden="1">
      <c r="B48" s="253"/>
      <c r="C48" s="253"/>
      <c r="D48" s="254" t="s">
        <v>63</v>
      </c>
      <c r="E48" s="255"/>
      <c r="F48" s="270">
        <v>0</v>
      </c>
      <c r="G48" s="257">
        <f t="shared" si="7"/>
        <v>1000</v>
      </c>
      <c r="H48" s="258">
        <f>G48*F48</f>
        <v>0</v>
      </c>
      <c r="I48" s="259"/>
      <c r="J48" s="267"/>
      <c r="K48" s="257">
        <f t="shared" si="9"/>
        <v>1000</v>
      </c>
      <c r="L48" s="258">
        <f>K48*J48</f>
        <v>0</v>
      </c>
      <c r="M48" s="259"/>
      <c r="N48" s="261">
        <f>L48-H48</f>
        <v>0</v>
      </c>
      <c r="O48" s="262">
        <f>IF((H48)=0,"",(N48/H48))</f>
      </c>
    </row>
    <row r="49" spans="2:15" s="252" customFormat="1" ht="15">
      <c r="B49" s="384" t="s">
        <v>26</v>
      </c>
      <c r="C49" s="253"/>
      <c r="D49" s="254" t="s">
        <v>63</v>
      </c>
      <c r="E49" s="255"/>
      <c r="F49" s="270">
        <v>0.0024</v>
      </c>
      <c r="G49" s="257">
        <f t="shared" si="7"/>
        <v>1000</v>
      </c>
      <c r="H49" s="258">
        <f t="shared" si="8"/>
        <v>2.4</v>
      </c>
      <c r="I49" s="259"/>
      <c r="J49" s="267">
        <v>0.0024</v>
      </c>
      <c r="K49" s="257">
        <f t="shared" si="9"/>
        <v>1000</v>
      </c>
      <c r="L49" s="258">
        <f t="shared" si="10"/>
        <v>2.4</v>
      </c>
      <c r="M49" s="259"/>
      <c r="N49" s="261">
        <f t="shared" si="2"/>
        <v>0</v>
      </c>
      <c r="O49" s="262">
        <f t="shared" si="11"/>
        <v>0</v>
      </c>
    </row>
    <row r="50" spans="2:15" s="283" customFormat="1" ht="15">
      <c r="B50" s="385" t="s">
        <v>27</v>
      </c>
      <c r="C50" s="255"/>
      <c r="D50" s="254" t="s">
        <v>63</v>
      </c>
      <c r="E50" s="255"/>
      <c r="F50" s="289">
        <f>IF(ISBLANK(D16)=TRUE,0,IF(D16="TOU",0.64*$F$61+0.18*$F$62+0.18*$F$63,IF(AND(D16="non-TOU",G65&gt;0),F65,F64)))</f>
        <v>0.10214000000000001</v>
      </c>
      <c r="G50" s="257">
        <f>$F$18*(1+$F$80)-$F$18</f>
        <v>49.5</v>
      </c>
      <c r="H50" s="290">
        <f t="shared" si="8"/>
        <v>5.05593</v>
      </c>
      <c r="I50" s="269"/>
      <c r="J50" s="287">
        <f>0.64*$F$61+0.18*$F$62+0.18*$F$63</f>
        <v>0.10214000000000001</v>
      </c>
      <c r="K50" s="257">
        <f>$F$18*(1+$J$80)-$F$18</f>
        <v>49.5</v>
      </c>
      <c r="L50" s="290">
        <f t="shared" si="10"/>
        <v>5.05593</v>
      </c>
      <c r="M50" s="269"/>
      <c r="N50" s="261">
        <f t="shared" si="2"/>
        <v>0</v>
      </c>
      <c r="O50" s="291">
        <f t="shared" si="11"/>
        <v>0</v>
      </c>
    </row>
    <row r="51" spans="2:15" s="252" customFormat="1" ht="15">
      <c r="B51" s="384" t="s">
        <v>28</v>
      </c>
      <c r="C51" s="253"/>
      <c r="D51" s="254" t="s">
        <v>62</v>
      </c>
      <c r="E51" s="255"/>
      <c r="F51" s="256">
        <v>0.79</v>
      </c>
      <c r="G51" s="257">
        <v>1</v>
      </c>
      <c r="H51" s="258">
        <f t="shared" si="8"/>
        <v>0.79</v>
      </c>
      <c r="I51" s="259"/>
      <c r="J51" s="256">
        <v>0.79</v>
      </c>
      <c r="K51" s="257">
        <v>1</v>
      </c>
      <c r="L51" s="258">
        <f t="shared" si="10"/>
        <v>0.79</v>
      </c>
      <c r="M51" s="259"/>
      <c r="N51" s="261">
        <f t="shared" si="2"/>
        <v>0</v>
      </c>
      <c r="O51" s="262"/>
    </row>
    <row r="52" spans="2:15" s="252" customFormat="1" ht="15">
      <c r="B52" s="386" t="s">
        <v>29</v>
      </c>
      <c r="C52" s="293"/>
      <c r="D52" s="293"/>
      <c r="E52" s="293"/>
      <c r="F52" s="84"/>
      <c r="G52" s="294"/>
      <c r="H52" s="295">
        <f>SUM(H42:H51)+H41</f>
        <v>40.83593</v>
      </c>
      <c r="I52" s="279"/>
      <c r="J52" s="294"/>
      <c r="K52" s="296"/>
      <c r="L52" s="295">
        <f>SUM(L42:L51)+L41</f>
        <v>50.03592999999999</v>
      </c>
      <c r="M52" s="279"/>
      <c r="N52" s="282">
        <f t="shared" si="2"/>
        <v>9.199999999999996</v>
      </c>
      <c r="O52" s="383">
        <f aca="true" t="shared" si="12" ref="O52:O71">IF((H52)=0,"",(N52/H52))</f>
        <v>0.22529179572988778</v>
      </c>
    </row>
    <row r="53" spans="2:15" s="252" customFormat="1" ht="15">
      <c r="B53" s="259" t="s">
        <v>30</v>
      </c>
      <c r="C53" s="259"/>
      <c r="D53" s="266" t="s">
        <v>63</v>
      </c>
      <c r="E53" s="269"/>
      <c r="F53" s="267">
        <v>0.0044</v>
      </c>
      <c r="G53" s="485">
        <f>F18*(1+F80)</f>
        <v>1049.5</v>
      </c>
      <c r="H53" s="258">
        <f>G53*F53</f>
        <v>4.6178</v>
      </c>
      <c r="I53" s="259"/>
      <c r="J53" s="267">
        <v>0.0048</v>
      </c>
      <c r="K53" s="486">
        <f>F18*(1+J80)</f>
        <v>1049.5</v>
      </c>
      <c r="L53" s="258">
        <f>K53*J53</f>
        <v>5.037599999999999</v>
      </c>
      <c r="M53" s="259"/>
      <c r="N53" s="261">
        <f t="shared" si="2"/>
        <v>0.4197999999999995</v>
      </c>
      <c r="O53" s="262">
        <f t="shared" si="12"/>
        <v>0.0909090909090908</v>
      </c>
    </row>
    <row r="54" spans="2:15" s="252" customFormat="1" ht="15">
      <c r="B54" s="298" t="s">
        <v>31</v>
      </c>
      <c r="C54" s="259"/>
      <c r="D54" s="266" t="s">
        <v>63</v>
      </c>
      <c r="E54" s="269"/>
      <c r="F54" s="267">
        <v>0.0017</v>
      </c>
      <c r="G54" s="485">
        <f>G53</f>
        <v>1049.5</v>
      </c>
      <c r="H54" s="258">
        <f>G54*F54</f>
        <v>1.78415</v>
      </c>
      <c r="I54" s="259"/>
      <c r="J54" s="267">
        <v>0.0027</v>
      </c>
      <c r="K54" s="486">
        <f>K53</f>
        <v>1049.5</v>
      </c>
      <c r="L54" s="258">
        <f>K54*J54</f>
        <v>2.83365</v>
      </c>
      <c r="M54" s="259"/>
      <c r="N54" s="261">
        <f t="shared" si="2"/>
        <v>1.0495</v>
      </c>
      <c r="O54" s="262">
        <f t="shared" si="12"/>
        <v>0.5882352941176472</v>
      </c>
    </row>
    <row r="55" spans="2:15" s="252" customFormat="1" ht="15">
      <c r="B55" s="386" t="s">
        <v>32</v>
      </c>
      <c r="C55" s="274"/>
      <c r="D55" s="274"/>
      <c r="E55" s="274"/>
      <c r="F55" s="85"/>
      <c r="G55" s="294"/>
      <c r="H55" s="295">
        <f>SUM(H52:H54)</f>
        <v>47.23788</v>
      </c>
      <c r="I55" s="299"/>
      <c r="J55" s="300"/>
      <c r="K55" s="301"/>
      <c r="L55" s="295">
        <f>SUM(L52:L54)</f>
        <v>57.90717999999999</v>
      </c>
      <c r="M55" s="299"/>
      <c r="N55" s="282">
        <f t="shared" si="2"/>
        <v>10.669299999999993</v>
      </c>
      <c r="O55" s="383">
        <f t="shared" si="12"/>
        <v>0.22586322671550868</v>
      </c>
    </row>
    <row r="56" spans="2:15" s="252" customFormat="1" ht="15">
      <c r="B56" s="265" t="s">
        <v>33</v>
      </c>
      <c r="C56" s="253"/>
      <c r="D56" s="254" t="s">
        <v>63</v>
      </c>
      <c r="E56" s="255"/>
      <c r="F56" s="270">
        <v>0.0044</v>
      </c>
      <c r="G56" s="485">
        <f>G54</f>
        <v>1049.5</v>
      </c>
      <c r="H56" s="258">
        <f aca="true" t="shared" si="13" ref="H56:H63">G56*F56</f>
        <v>4.6178</v>
      </c>
      <c r="I56" s="259"/>
      <c r="J56" s="471">
        <v>0.0036</v>
      </c>
      <c r="K56" s="486">
        <f>K54</f>
        <v>1049.5</v>
      </c>
      <c r="L56" s="258">
        <f aca="true" t="shared" si="14" ref="L56:L63">K56*J56</f>
        <v>3.7782</v>
      </c>
      <c r="M56" s="259"/>
      <c r="N56" s="261">
        <f t="shared" si="2"/>
        <v>-0.8395999999999999</v>
      </c>
      <c r="O56" s="262">
        <f t="shared" si="12"/>
        <v>-0.1818181818181818</v>
      </c>
    </row>
    <row r="57" spans="2:15" s="252" customFormat="1" ht="15">
      <c r="B57" s="265" t="s">
        <v>34</v>
      </c>
      <c r="C57" s="253"/>
      <c r="D57" s="254" t="s">
        <v>63</v>
      </c>
      <c r="E57" s="255"/>
      <c r="F57" s="270">
        <v>0.0013</v>
      </c>
      <c r="G57" s="485">
        <f>G54</f>
        <v>1049.5</v>
      </c>
      <c r="H57" s="258">
        <f t="shared" si="13"/>
        <v>1.36435</v>
      </c>
      <c r="I57" s="259"/>
      <c r="J57" s="267">
        <v>0.0013</v>
      </c>
      <c r="K57" s="486">
        <f>K54</f>
        <v>1049.5</v>
      </c>
      <c r="L57" s="258">
        <f t="shared" si="14"/>
        <v>1.36435</v>
      </c>
      <c r="M57" s="259"/>
      <c r="N57" s="261">
        <f t="shared" si="2"/>
        <v>0</v>
      </c>
      <c r="O57" s="262">
        <f t="shared" si="12"/>
        <v>0</v>
      </c>
    </row>
    <row r="58" spans="2:15" s="252" customFormat="1" ht="15">
      <c r="B58" s="265" t="s">
        <v>121</v>
      </c>
      <c r="C58" s="253"/>
      <c r="D58" s="254" t="s">
        <v>63</v>
      </c>
      <c r="E58" s="255"/>
      <c r="F58" s="270">
        <v>0</v>
      </c>
      <c r="G58" s="485">
        <f>G54</f>
        <v>1049.5</v>
      </c>
      <c r="H58" s="258">
        <f t="shared" si="13"/>
        <v>0</v>
      </c>
      <c r="I58" s="259"/>
      <c r="J58" s="471">
        <v>0.0011</v>
      </c>
      <c r="K58" s="486">
        <f>K54</f>
        <v>1049.5</v>
      </c>
      <c r="L58" s="258">
        <f t="shared" si="14"/>
        <v>1.15445</v>
      </c>
      <c r="M58" s="259"/>
      <c r="N58" s="261">
        <f t="shared" si="2"/>
        <v>1.15445</v>
      </c>
      <c r="O58" s="262">
        <f t="shared" si="12"/>
      </c>
    </row>
    <row r="59" spans="2:15" s="252" customFormat="1" ht="15">
      <c r="B59" s="253" t="s">
        <v>35</v>
      </c>
      <c r="C59" s="253"/>
      <c r="D59" s="254" t="s">
        <v>62</v>
      </c>
      <c r="E59" s="255"/>
      <c r="F59" s="256">
        <v>0.25</v>
      </c>
      <c r="G59" s="257">
        <v>1</v>
      </c>
      <c r="H59" s="258">
        <f t="shared" si="13"/>
        <v>0.25</v>
      </c>
      <c r="I59" s="259"/>
      <c r="J59" s="264">
        <v>0.25</v>
      </c>
      <c r="K59" s="260">
        <v>1</v>
      </c>
      <c r="L59" s="258">
        <f t="shared" si="14"/>
        <v>0.25</v>
      </c>
      <c r="M59" s="259"/>
      <c r="N59" s="261">
        <f t="shared" si="2"/>
        <v>0</v>
      </c>
      <c r="O59" s="262">
        <f t="shared" si="12"/>
        <v>0</v>
      </c>
    </row>
    <row r="60" spans="2:15" s="252" customFormat="1" ht="15">
      <c r="B60" s="253" t="s">
        <v>36</v>
      </c>
      <c r="C60" s="253"/>
      <c r="D60" s="254" t="s">
        <v>63</v>
      </c>
      <c r="E60" s="255"/>
      <c r="F60" s="270">
        <v>0.007</v>
      </c>
      <c r="G60" s="302">
        <f>F18</f>
        <v>1000</v>
      </c>
      <c r="H60" s="258">
        <f t="shared" si="13"/>
        <v>7</v>
      </c>
      <c r="I60" s="259"/>
      <c r="J60" s="267">
        <v>0.007</v>
      </c>
      <c r="K60" s="303">
        <f>F18</f>
        <v>1000</v>
      </c>
      <c r="L60" s="258">
        <f t="shared" si="14"/>
        <v>7</v>
      </c>
      <c r="M60" s="259"/>
      <c r="N60" s="261">
        <f t="shared" si="2"/>
        <v>0</v>
      </c>
      <c r="O60" s="262">
        <f t="shared" si="12"/>
        <v>0</v>
      </c>
    </row>
    <row r="61" spans="2:19" s="252" customFormat="1" ht="15">
      <c r="B61" s="384" t="s">
        <v>37</v>
      </c>
      <c r="C61" s="253"/>
      <c r="D61" s="254" t="s">
        <v>63</v>
      </c>
      <c r="E61" s="255"/>
      <c r="F61" s="289">
        <v>0.08</v>
      </c>
      <c r="G61" s="302">
        <f>0.64*$F$18</f>
        <v>640</v>
      </c>
      <c r="H61" s="258">
        <f t="shared" si="13"/>
        <v>51.2</v>
      </c>
      <c r="I61" s="259"/>
      <c r="J61" s="270">
        <v>0.08</v>
      </c>
      <c r="K61" s="302">
        <f>G61</f>
        <v>640</v>
      </c>
      <c r="L61" s="258">
        <f t="shared" si="14"/>
        <v>51.2</v>
      </c>
      <c r="M61" s="259"/>
      <c r="N61" s="261">
        <f t="shared" si="2"/>
        <v>0</v>
      </c>
      <c r="O61" s="262">
        <f t="shared" si="12"/>
        <v>0</v>
      </c>
      <c r="S61" s="304"/>
    </row>
    <row r="62" spans="2:19" s="252" customFormat="1" ht="15">
      <c r="B62" s="384" t="s">
        <v>38</v>
      </c>
      <c r="C62" s="253"/>
      <c r="D62" s="254" t="s">
        <v>63</v>
      </c>
      <c r="E62" s="255"/>
      <c r="F62" s="289">
        <v>0.122</v>
      </c>
      <c r="G62" s="302">
        <f>0.18*$F$18</f>
        <v>180</v>
      </c>
      <c r="H62" s="258">
        <f t="shared" si="13"/>
        <v>21.96</v>
      </c>
      <c r="I62" s="259"/>
      <c r="J62" s="270">
        <v>0.122</v>
      </c>
      <c r="K62" s="302">
        <f>G62</f>
        <v>180</v>
      </c>
      <c r="L62" s="258">
        <f t="shared" si="14"/>
        <v>21.96</v>
      </c>
      <c r="M62" s="259"/>
      <c r="N62" s="261">
        <f t="shared" si="2"/>
        <v>0</v>
      </c>
      <c r="O62" s="262">
        <f t="shared" si="12"/>
        <v>0</v>
      </c>
      <c r="S62" s="304"/>
    </row>
    <row r="63" spans="2:19" s="252" customFormat="1" ht="15">
      <c r="B63" s="373" t="s">
        <v>39</v>
      </c>
      <c r="C63" s="253"/>
      <c r="D63" s="254" t="s">
        <v>63</v>
      </c>
      <c r="E63" s="255"/>
      <c r="F63" s="289">
        <v>0.161</v>
      </c>
      <c r="G63" s="302">
        <f>0.18*$F$18</f>
        <v>180</v>
      </c>
      <c r="H63" s="258">
        <f t="shared" si="13"/>
        <v>28.98</v>
      </c>
      <c r="I63" s="259"/>
      <c r="J63" s="270">
        <v>0.161</v>
      </c>
      <c r="K63" s="302">
        <f>G63</f>
        <v>180</v>
      </c>
      <c r="L63" s="258">
        <f t="shared" si="14"/>
        <v>28.98</v>
      </c>
      <c r="M63" s="259"/>
      <c r="N63" s="261">
        <f t="shared" si="2"/>
        <v>0</v>
      </c>
      <c r="O63" s="262">
        <f t="shared" si="12"/>
        <v>0</v>
      </c>
      <c r="S63" s="304"/>
    </row>
    <row r="64" spans="2:15" s="390" customFormat="1" ht="15">
      <c r="B64" s="387" t="s">
        <v>40</v>
      </c>
      <c r="C64" s="387"/>
      <c r="D64" s="388" t="s">
        <v>63</v>
      </c>
      <c r="E64" s="389"/>
      <c r="F64" s="289">
        <f>0.094</f>
        <v>0.094</v>
      </c>
      <c r="G64" s="305">
        <f>IF(AND($T$1=1,F18&gt;=600),600,IF(AND($T$1=1,AND(F18&lt;600,F18&gt;=0)),F18,IF(AND($T$1=2,F18&gt;=1000),1000,IF(AND($T$1=2,AND(F18&lt;1000,F18&gt;=0)),F18))))</f>
        <v>600</v>
      </c>
      <c r="H64" s="258">
        <f>G64*F64</f>
        <v>56.4</v>
      </c>
      <c r="I64" s="306"/>
      <c r="J64" s="270">
        <v>0.094</v>
      </c>
      <c r="K64" s="305">
        <f>G64</f>
        <v>600</v>
      </c>
      <c r="L64" s="258">
        <f>K64*J64</f>
        <v>56.4</v>
      </c>
      <c r="M64" s="306"/>
      <c r="N64" s="261">
        <f t="shared" si="2"/>
        <v>0</v>
      </c>
      <c r="O64" s="262">
        <f t="shared" si="12"/>
        <v>0</v>
      </c>
    </row>
    <row r="65" spans="2:15" s="390" customFormat="1" ht="15.75" thickBot="1">
      <c r="B65" s="387" t="s">
        <v>41</v>
      </c>
      <c r="C65" s="387"/>
      <c r="D65" s="388" t="s">
        <v>63</v>
      </c>
      <c r="E65" s="389"/>
      <c r="F65" s="289">
        <f>0.11</f>
        <v>0.11</v>
      </c>
      <c r="G65" s="305">
        <f>IF(AND($T$1=1,F18&gt;=600),F18-600,IF(AND($T$1=1,AND(F18&lt;600,F18&gt;=0)),0,IF(AND($T$1=2,F18&gt;=1000),F18-1000,IF(AND($T$1=2,AND(F18&lt;1000,F18&gt;=0)),0))))</f>
        <v>400</v>
      </c>
      <c r="H65" s="258">
        <f>G65*F65</f>
        <v>44</v>
      </c>
      <c r="I65" s="306"/>
      <c r="J65" s="270">
        <v>0.11</v>
      </c>
      <c r="K65" s="305">
        <f>G65</f>
        <v>400</v>
      </c>
      <c r="L65" s="258">
        <f>K65*J65</f>
        <v>44</v>
      </c>
      <c r="M65" s="306"/>
      <c r="N65" s="261">
        <f t="shared" si="2"/>
        <v>0</v>
      </c>
      <c r="O65" s="262">
        <f t="shared" si="12"/>
        <v>0</v>
      </c>
    </row>
    <row r="66" spans="2:15" s="252" customFormat="1" ht="8.25" customHeight="1" thickBot="1">
      <c r="B66" s="391"/>
      <c r="C66" s="307"/>
      <c r="D66" s="308"/>
      <c r="E66" s="307"/>
      <c r="F66" s="309"/>
      <c r="G66" s="310"/>
      <c r="H66" s="311"/>
      <c r="I66" s="312"/>
      <c r="J66" s="309"/>
      <c r="K66" s="313"/>
      <c r="L66" s="311"/>
      <c r="M66" s="312"/>
      <c r="N66" s="314"/>
      <c r="O66" s="315"/>
    </row>
    <row r="67" spans="2:19" s="252" customFormat="1" ht="15">
      <c r="B67" s="392" t="s">
        <v>42</v>
      </c>
      <c r="C67" s="253"/>
      <c r="D67" s="253"/>
      <c r="E67" s="253"/>
      <c r="F67" s="316"/>
      <c r="G67" s="317"/>
      <c r="H67" s="318">
        <f>SUM(H56:H63,H55)</f>
        <v>162.61003000000002</v>
      </c>
      <c r="I67" s="319"/>
      <c r="J67" s="320"/>
      <c r="K67" s="320"/>
      <c r="L67" s="321">
        <f>SUM(L56:L63,L55)</f>
        <v>173.59418</v>
      </c>
      <c r="M67" s="322"/>
      <c r="N67" s="429">
        <f>L67-H67</f>
        <v>10.984149999999971</v>
      </c>
      <c r="O67" s="393">
        <f>IF((H67)=0,"",(N67/H67))</f>
        <v>0.06754903126209355</v>
      </c>
      <c r="S67" s="304"/>
    </row>
    <row r="68" spans="2:19" s="252" customFormat="1" ht="15">
      <c r="B68" s="394" t="s">
        <v>43</v>
      </c>
      <c r="C68" s="253"/>
      <c r="D68" s="253"/>
      <c r="E68" s="253"/>
      <c r="F68" s="324">
        <v>0.13</v>
      </c>
      <c r="G68" s="325"/>
      <c r="H68" s="326">
        <f>H67*F68</f>
        <v>21.139303900000005</v>
      </c>
      <c r="I68" s="327"/>
      <c r="J68" s="328">
        <v>0.13</v>
      </c>
      <c r="K68" s="327"/>
      <c r="L68" s="329">
        <f>L67*J68</f>
        <v>22.5672434</v>
      </c>
      <c r="M68" s="330"/>
      <c r="N68" s="430">
        <f t="shared" si="2"/>
        <v>1.4279394999999937</v>
      </c>
      <c r="O68" s="395">
        <f t="shared" si="12"/>
        <v>0.06754903126209343</v>
      </c>
      <c r="S68" s="304"/>
    </row>
    <row r="69" spans="2:19" s="252" customFormat="1" ht="15">
      <c r="B69" s="396" t="s">
        <v>127</v>
      </c>
      <c r="C69" s="253"/>
      <c r="D69" s="253"/>
      <c r="E69" s="253"/>
      <c r="F69" s="331"/>
      <c r="G69" s="325"/>
      <c r="H69" s="326">
        <f>H67+H68</f>
        <v>183.74933390000004</v>
      </c>
      <c r="I69" s="327"/>
      <c r="J69" s="327"/>
      <c r="K69" s="327"/>
      <c r="L69" s="329">
        <f>L67+L68</f>
        <v>196.1614234</v>
      </c>
      <c r="M69" s="330"/>
      <c r="N69" s="430">
        <f t="shared" si="2"/>
        <v>12.41208949999995</v>
      </c>
      <c r="O69" s="395">
        <f t="shared" si="12"/>
        <v>0.06754903126209345</v>
      </c>
      <c r="S69" s="304"/>
    </row>
    <row r="70" spans="2:15" s="252" customFormat="1" ht="15.75" customHeight="1">
      <c r="B70" s="554" t="s">
        <v>128</v>
      </c>
      <c r="C70" s="554"/>
      <c r="D70" s="554"/>
      <c r="E70" s="253"/>
      <c r="F70" s="331"/>
      <c r="G70" s="325"/>
      <c r="H70" s="431">
        <f>ROUND(-H69*10%,2)</f>
        <v>-18.37</v>
      </c>
      <c r="I70" s="327"/>
      <c r="J70" s="327"/>
      <c r="K70" s="327"/>
      <c r="L70" s="458">
        <v>0</v>
      </c>
      <c r="M70" s="330"/>
      <c r="N70" s="430">
        <f t="shared" si="2"/>
        <v>18.37</v>
      </c>
      <c r="O70" s="395">
        <f t="shared" si="12"/>
        <v>-1</v>
      </c>
    </row>
    <row r="71" spans="2:15" s="252" customFormat="1" ht="15.75" thickBot="1">
      <c r="B71" s="555" t="s">
        <v>46</v>
      </c>
      <c r="C71" s="555"/>
      <c r="D71" s="555"/>
      <c r="E71" s="334"/>
      <c r="F71" s="335"/>
      <c r="G71" s="336"/>
      <c r="H71" s="337">
        <f>H69+H70</f>
        <v>165.37933390000003</v>
      </c>
      <c r="I71" s="338"/>
      <c r="J71" s="338"/>
      <c r="K71" s="338"/>
      <c r="L71" s="339">
        <f>L69+L70</f>
        <v>196.1614234</v>
      </c>
      <c r="M71" s="340"/>
      <c r="N71" s="433">
        <f t="shared" si="2"/>
        <v>30.782089499999955</v>
      </c>
      <c r="O71" s="398">
        <f t="shared" si="12"/>
        <v>0.1861302060789105</v>
      </c>
    </row>
    <row r="72" spans="2:15" s="390" customFormat="1" ht="8.25" customHeight="1" thickBot="1">
      <c r="B72" s="399"/>
      <c r="C72" s="400"/>
      <c r="D72" s="401"/>
      <c r="E72" s="400"/>
      <c r="F72" s="309"/>
      <c r="G72" s="342"/>
      <c r="H72" s="311"/>
      <c r="I72" s="343"/>
      <c r="J72" s="309"/>
      <c r="K72" s="344"/>
      <c r="L72" s="311"/>
      <c r="M72" s="343"/>
      <c r="N72" s="345"/>
      <c r="O72" s="315"/>
    </row>
    <row r="73" spans="2:15" s="390" customFormat="1" ht="15">
      <c r="B73" s="402" t="s">
        <v>47</v>
      </c>
      <c r="C73" s="387"/>
      <c r="D73" s="387"/>
      <c r="E73" s="387"/>
      <c r="F73" s="346"/>
      <c r="G73" s="347"/>
      <c r="H73" s="348">
        <f>SUM(H64:H65,H55,H56:H60)</f>
        <v>160.87002999999999</v>
      </c>
      <c r="I73" s="349"/>
      <c r="J73" s="350"/>
      <c r="K73" s="350"/>
      <c r="L73" s="351">
        <f>SUM(L64:L65,L55,L56:L60)</f>
        <v>171.85417999999999</v>
      </c>
      <c r="M73" s="352"/>
      <c r="N73" s="434">
        <f>L73-H73</f>
        <v>10.98415</v>
      </c>
      <c r="O73" s="393">
        <f>IF((H73)=0,"",(N73/H73))</f>
        <v>0.06827965407851296</v>
      </c>
    </row>
    <row r="74" spans="2:15" s="390" customFormat="1" ht="15">
      <c r="B74" s="403" t="s">
        <v>43</v>
      </c>
      <c r="C74" s="387"/>
      <c r="D74" s="387"/>
      <c r="E74" s="387"/>
      <c r="F74" s="353">
        <v>0.13</v>
      </c>
      <c r="G74" s="347"/>
      <c r="H74" s="354">
        <f>H73*F74</f>
        <v>20.9131039</v>
      </c>
      <c r="I74" s="355"/>
      <c r="J74" s="353">
        <v>0.13</v>
      </c>
      <c r="K74" s="356"/>
      <c r="L74" s="357">
        <f>L73*J74</f>
        <v>22.3410434</v>
      </c>
      <c r="M74" s="358"/>
      <c r="N74" s="435">
        <f>L74-H74</f>
        <v>1.4279395000000008</v>
      </c>
      <c r="O74" s="395">
        <f>IF((H74)=0,"",(N74/H74))</f>
        <v>0.06827965407851298</v>
      </c>
    </row>
    <row r="75" spans="2:15" s="390" customFormat="1" ht="15">
      <c r="B75" s="404" t="s">
        <v>127</v>
      </c>
      <c r="C75" s="387"/>
      <c r="D75" s="387"/>
      <c r="E75" s="387"/>
      <c r="F75" s="359"/>
      <c r="G75" s="358"/>
      <c r="H75" s="354">
        <f>H73+H74</f>
        <v>181.7831339</v>
      </c>
      <c r="I75" s="355"/>
      <c r="J75" s="355"/>
      <c r="K75" s="355"/>
      <c r="L75" s="357">
        <f>L73+L74</f>
        <v>194.19522339999997</v>
      </c>
      <c r="M75" s="358"/>
      <c r="N75" s="435">
        <f>L75-H75</f>
        <v>12.41208949999998</v>
      </c>
      <c r="O75" s="395">
        <f>IF((H75)=0,"",(N75/H75))</f>
        <v>0.06827965407851283</v>
      </c>
    </row>
    <row r="76" spans="2:15" s="390" customFormat="1" ht="15.75" customHeight="1">
      <c r="B76" s="556" t="s">
        <v>128</v>
      </c>
      <c r="C76" s="556"/>
      <c r="D76" s="556"/>
      <c r="E76" s="387"/>
      <c r="F76" s="359"/>
      <c r="G76" s="358"/>
      <c r="H76" s="360">
        <f>ROUND(-H75*10%,2)</f>
        <v>-18.18</v>
      </c>
      <c r="I76" s="355"/>
      <c r="J76" s="355"/>
      <c r="K76" s="355"/>
      <c r="L76" s="454">
        <v>0</v>
      </c>
      <c r="M76" s="358"/>
      <c r="N76" s="435">
        <f>L76-H76</f>
        <v>18.18</v>
      </c>
      <c r="O76" s="395">
        <f>IF((H76)=0,"",(N76/H76))</f>
        <v>-1</v>
      </c>
    </row>
    <row r="77" spans="2:15" s="390" customFormat="1" ht="15.75" thickBot="1">
      <c r="B77" s="547" t="s">
        <v>48</v>
      </c>
      <c r="C77" s="547"/>
      <c r="D77" s="547"/>
      <c r="E77" s="405"/>
      <c r="F77" s="362"/>
      <c r="G77" s="363"/>
      <c r="H77" s="364">
        <f>SUM(H75:H76)</f>
        <v>163.6031339</v>
      </c>
      <c r="I77" s="365"/>
      <c r="J77" s="365"/>
      <c r="K77" s="365"/>
      <c r="L77" s="366">
        <f>SUM(L75:L76)</f>
        <v>194.19522339999997</v>
      </c>
      <c r="M77" s="367"/>
      <c r="N77" s="436">
        <f>L77-H77</f>
        <v>30.592089499999986</v>
      </c>
      <c r="O77" s="406">
        <f>IF((H77)=0,"",(N77/H77))</f>
        <v>0.1869896301540223</v>
      </c>
    </row>
    <row r="78" spans="2:15" s="390" customFormat="1" ht="8.25" customHeight="1" thickBot="1">
      <c r="B78" s="399"/>
      <c r="C78" s="400"/>
      <c r="D78" s="401"/>
      <c r="E78" s="400"/>
      <c r="F78" s="368"/>
      <c r="G78" s="407"/>
      <c r="H78" s="369"/>
      <c r="I78" s="408"/>
      <c r="J78" s="368"/>
      <c r="K78" s="342"/>
      <c r="L78" s="370"/>
      <c r="M78" s="343"/>
      <c r="N78" s="409"/>
      <c r="O78" s="315"/>
    </row>
    <row r="79" s="252" customFormat="1" ht="10.5" customHeight="1">
      <c r="L79" s="304"/>
    </row>
    <row r="80" spans="2:10" s="252" customFormat="1" ht="15">
      <c r="B80" s="410" t="s">
        <v>49</v>
      </c>
      <c r="F80" s="371">
        <v>0.0495</v>
      </c>
      <c r="J80" s="371">
        <v>0.0495</v>
      </c>
    </row>
    <row r="81" s="252" customFormat="1" ht="10.5" customHeight="1"/>
    <row r="82" spans="2:15" s="252" customFormat="1" ht="15">
      <c r="B82" s="470" t="s">
        <v>140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="252" customFormat="1" ht="10.5" customHeight="1"/>
    <row r="84" s="252" customFormat="1" ht="17.25">
      <c r="A84" s="411" t="s">
        <v>129</v>
      </c>
    </row>
    <row r="85" s="252" customFormat="1" ht="10.5" customHeight="1"/>
    <row r="86" s="252" customFormat="1" ht="15">
      <c r="A86" s="252" t="s">
        <v>51</v>
      </c>
    </row>
    <row r="87" s="252" customFormat="1" ht="15">
      <c r="A87" s="252" t="s">
        <v>52</v>
      </c>
    </row>
    <row r="88" s="252" customFormat="1" ht="15"/>
    <row r="89" s="252" customFormat="1" ht="15">
      <c r="A89" s="373" t="s">
        <v>53</v>
      </c>
    </row>
    <row r="90" s="252" customFormat="1" ht="15">
      <c r="A90" s="373" t="s">
        <v>54</v>
      </c>
    </row>
    <row r="91" s="252" customFormat="1" ht="15"/>
    <row r="92" s="252" customFormat="1" ht="15">
      <c r="A92" s="252" t="s">
        <v>55</v>
      </c>
    </row>
    <row r="93" s="252" customFormat="1" ht="15">
      <c r="A93" s="252" t="s">
        <v>56</v>
      </c>
    </row>
    <row r="94" s="252" customFormat="1" ht="15">
      <c r="A94" s="252" t="s">
        <v>57</v>
      </c>
    </row>
    <row r="95" s="252" customFormat="1" ht="15">
      <c r="A95" s="252" t="s">
        <v>58</v>
      </c>
    </row>
    <row r="96" s="252" customFormat="1" ht="15">
      <c r="A96" s="252" t="s">
        <v>59</v>
      </c>
    </row>
    <row r="97" s="252" customFormat="1" ht="15"/>
    <row r="98" spans="1:2" s="252" customFormat="1" ht="15">
      <c r="A98" s="372"/>
      <c r="B98" s="252" t="s">
        <v>60</v>
      </c>
    </row>
    <row r="99" s="252" customFormat="1" ht="15"/>
    <row r="100" s="252" customFormat="1" ht="15"/>
    <row r="101" s="252" customFormat="1" ht="15"/>
    <row r="102" s="252" customFormat="1" ht="15"/>
    <row r="103" s="252" customFormat="1" ht="15"/>
    <row r="104" s="252" customFormat="1" ht="15"/>
    <row r="105" s="252" customFormat="1" ht="15"/>
    <row r="106" s="252" customFormat="1" ht="15"/>
    <row r="107" s="252" customFormat="1" ht="15"/>
    <row r="108" s="252" customFormat="1" ht="15"/>
  </sheetData>
  <sheetProtection/>
  <mergeCells count="21">
    <mergeCell ref="B77:D77"/>
    <mergeCell ref="D21:D22"/>
    <mergeCell ref="N21:N22"/>
    <mergeCell ref="O21:O22"/>
    <mergeCell ref="B70:D70"/>
    <mergeCell ref="B71:D71"/>
    <mergeCell ref="B76:D76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E53:E54 E42:E51 E66 E23:E40 E56:E63">
      <formula1>'GS&lt;50 (1,000kWh)'!#REF!</formula1>
    </dataValidation>
    <dataValidation type="list" allowBlank="1" showInputMessage="1" showErrorMessage="1" prompt="Select Charge Unit - monthly, per kWh, per kW" sqref="D53:D54 D72 D78 D56:D66 D23:D40 D42:D51">
      <formula1>"Monthly, per kWh, per kW"</formula1>
    </dataValidation>
    <dataValidation type="list" allowBlank="1" showInputMessage="1" showErrorMessage="1" sqref="E78 E72 E64:E65">
      <formula1>'GS&lt;50 (1,000kWh)'!#REF!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8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57.8515625" style="8" customWidth="1"/>
    <col min="3" max="3" width="1.28515625" style="8" customWidth="1"/>
    <col min="4" max="4" width="11.28125" style="8" customWidth="1"/>
    <col min="5" max="5" width="1.28515625" style="8" customWidth="1"/>
    <col min="6" max="6" width="9.7109375" style="8" bestFit="1" customWidth="1"/>
    <col min="7" max="7" width="8.00390625" style="8" bestFit="1" customWidth="1"/>
    <col min="8" max="8" width="9.0039062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9.7109375" style="8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9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 s="20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9</v>
      </c>
      <c r="O4" s="523"/>
      <c r="P4" s="21"/>
    </row>
    <row r="5" spans="3:16" s="2" customFormat="1" ht="15" customHeight="1">
      <c r="C5" s="7"/>
      <c r="D5" s="7"/>
      <c r="E5" s="7"/>
      <c r="L5" s="3" t="s">
        <v>77</v>
      </c>
      <c r="N5" s="525" t="s">
        <v>85</v>
      </c>
      <c r="O5" s="525"/>
      <c r="P5" s="20"/>
    </row>
    <row r="6" spans="12:16" s="2" customFormat="1" ht="9" customHeight="1">
      <c r="L6" s="3"/>
      <c r="N6" s="543"/>
      <c r="O6" s="543"/>
      <c r="P6" s="23"/>
    </row>
    <row r="7" spans="12:16" s="2" customFormat="1" ht="15">
      <c r="L7" s="3" t="s">
        <v>145</v>
      </c>
      <c r="N7" s="526">
        <v>42412</v>
      </c>
      <c r="O7" s="525"/>
      <c r="P7" s="24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4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68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2000</v>
      </c>
      <c r="G18" s="14" t="s">
        <v>9</v>
      </c>
    </row>
    <row r="19" ht="16.5" customHeight="1">
      <c r="B19" s="13"/>
    </row>
    <row r="20" spans="2:15" s="252" customFormat="1" ht="15">
      <c r="B20" s="373"/>
      <c r="D20" s="374"/>
      <c r="E20" s="374"/>
      <c r="F20" s="544" t="s">
        <v>10</v>
      </c>
      <c r="G20" s="545"/>
      <c r="H20" s="546"/>
      <c r="J20" s="544" t="s">
        <v>11</v>
      </c>
      <c r="K20" s="545"/>
      <c r="L20" s="546"/>
      <c r="N20" s="544" t="s">
        <v>12</v>
      </c>
      <c r="O20" s="546"/>
    </row>
    <row r="21" spans="2:15" s="252" customFormat="1" ht="15">
      <c r="B21" s="373"/>
      <c r="D21" s="548" t="s">
        <v>13</v>
      </c>
      <c r="E21" s="375"/>
      <c r="F21" s="376" t="s">
        <v>14</v>
      </c>
      <c r="G21" s="376" t="s">
        <v>15</v>
      </c>
      <c r="H21" s="377" t="s">
        <v>16</v>
      </c>
      <c r="J21" s="376" t="s">
        <v>14</v>
      </c>
      <c r="K21" s="378" t="s">
        <v>15</v>
      </c>
      <c r="L21" s="377" t="s">
        <v>16</v>
      </c>
      <c r="N21" s="550" t="s">
        <v>17</v>
      </c>
      <c r="O21" s="552" t="s">
        <v>18</v>
      </c>
    </row>
    <row r="22" spans="2:15" s="252" customFormat="1" ht="15">
      <c r="B22" s="373"/>
      <c r="D22" s="549"/>
      <c r="E22" s="375"/>
      <c r="F22" s="379" t="s">
        <v>19</v>
      </c>
      <c r="G22" s="379"/>
      <c r="H22" s="380" t="s">
        <v>19</v>
      </c>
      <c r="J22" s="379" t="s">
        <v>19</v>
      </c>
      <c r="K22" s="380"/>
      <c r="L22" s="380" t="s">
        <v>19</v>
      </c>
      <c r="N22" s="551"/>
      <c r="O22" s="553"/>
    </row>
    <row r="23" spans="2:15" s="252" customFormat="1" ht="15">
      <c r="B23" s="253" t="s">
        <v>20</v>
      </c>
      <c r="C23" s="253"/>
      <c r="D23" s="254" t="s">
        <v>62</v>
      </c>
      <c r="E23" s="255"/>
      <c r="F23" s="437">
        <f>'GS&lt;50 (1,000kWh)'!F23</f>
        <v>17.36</v>
      </c>
      <c r="G23" s="257">
        <v>1</v>
      </c>
      <c r="H23" s="258">
        <f>G23*F23</f>
        <v>17.36</v>
      </c>
      <c r="I23" s="259"/>
      <c r="J23" s="437">
        <f>'GS&lt;50 (1,000kWh)'!J23</f>
        <v>17.36</v>
      </c>
      <c r="K23" s="260">
        <v>1</v>
      </c>
      <c r="L23" s="258">
        <f>K23*J23</f>
        <v>17.36</v>
      </c>
      <c r="M23" s="259"/>
      <c r="N23" s="261">
        <f>L23-H23</f>
        <v>0</v>
      </c>
      <c r="O23" s="262">
        <f>IF((H23)=0,"",(N23/H23))</f>
        <v>0</v>
      </c>
    </row>
    <row r="24" spans="2:15" s="252" customFormat="1" ht="22.5" customHeight="1" hidden="1">
      <c r="B24" s="253" t="s">
        <v>92</v>
      </c>
      <c r="C24" s="253"/>
      <c r="D24" s="254" t="s">
        <v>62</v>
      </c>
      <c r="E24" s="255"/>
      <c r="F24" s="438">
        <f>'GS&lt;50 (1,000kWh)'!F24</f>
        <v>0</v>
      </c>
      <c r="G24" s="257">
        <v>1</v>
      </c>
      <c r="H24" s="258">
        <f>G24*F24</f>
        <v>0</v>
      </c>
      <c r="I24" s="259"/>
      <c r="J24" s="438">
        <f>'GS&lt;50 (1,000kWh)'!J24</f>
        <v>0</v>
      </c>
      <c r="K24" s="260">
        <v>1</v>
      </c>
      <c r="L24" s="258">
        <f>K24*J24</f>
        <v>0</v>
      </c>
      <c r="M24" s="259"/>
      <c r="N24" s="261">
        <f>L24-H24</f>
        <v>0</v>
      </c>
      <c r="O24" s="262">
        <f>IF((H24)=0,"",(N24/H24))</f>
      </c>
    </row>
    <row r="25" spans="2:15" s="252" customFormat="1" ht="15" customHeight="1" hidden="1">
      <c r="B25" s="425" t="s">
        <v>111</v>
      </c>
      <c r="C25" s="253"/>
      <c r="D25" s="266" t="s">
        <v>62</v>
      </c>
      <c r="E25" s="255"/>
      <c r="F25" s="439">
        <f>'GS&lt;50 (1,000kWh)'!F25</f>
        <v>0</v>
      </c>
      <c r="G25" s="257">
        <v>1</v>
      </c>
      <c r="H25" s="258">
        <f>G25*F25</f>
        <v>0</v>
      </c>
      <c r="I25" s="259"/>
      <c r="J25" s="439">
        <f>'GS&lt;50 (1,000kWh)'!J25</f>
        <v>0</v>
      </c>
      <c r="K25" s="260">
        <v>1</v>
      </c>
      <c r="L25" s="258">
        <f>K25*J25</f>
        <v>0</v>
      </c>
      <c r="M25" s="259"/>
      <c r="N25" s="261">
        <f>L25-H25</f>
        <v>0</v>
      </c>
      <c r="O25" s="262">
        <f>IF((H25)=0,"",(N25/H25))</f>
      </c>
    </row>
    <row r="26" spans="2:15" s="252" customFormat="1" ht="30">
      <c r="B26" s="425" t="s">
        <v>64</v>
      </c>
      <c r="C26" s="253"/>
      <c r="D26" s="266" t="s">
        <v>62</v>
      </c>
      <c r="E26" s="269"/>
      <c r="F26" s="439">
        <f>'GS&lt;50 (1,000kWh)'!F26</f>
        <v>4.33</v>
      </c>
      <c r="G26" s="257">
        <v>1</v>
      </c>
      <c r="H26" s="258">
        <f aca="true" t="shared" si="0" ref="H26:H40">G26*F26</f>
        <v>4.33</v>
      </c>
      <c r="I26" s="259"/>
      <c r="J26" s="439">
        <v>4.33</v>
      </c>
      <c r="K26" s="260">
        <v>1</v>
      </c>
      <c r="L26" s="258">
        <f aca="true" t="shared" si="1" ref="L26:L40">K26*J26</f>
        <v>4.33</v>
      </c>
      <c r="M26" s="259"/>
      <c r="N26" s="261">
        <f aca="true" t="shared" si="2" ref="N26:N71">L26-H26</f>
        <v>0</v>
      </c>
      <c r="O26" s="262">
        <f aca="true" t="shared" si="3" ref="O26:O50">IF((H26)=0,"",(N26/H26))</f>
        <v>0</v>
      </c>
    </row>
    <row r="27" spans="2:15" s="252" customFormat="1" ht="15" hidden="1">
      <c r="B27" s="425" t="s">
        <v>65</v>
      </c>
      <c r="C27" s="253"/>
      <c r="D27" s="254" t="s">
        <v>62</v>
      </c>
      <c r="E27" s="255"/>
      <c r="F27" s="289">
        <f>'GS&lt;50 (1,000kWh)'!F27</f>
        <v>0</v>
      </c>
      <c r="G27" s="257">
        <v>1</v>
      </c>
      <c r="H27" s="258">
        <f t="shared" si="0"/>
        <v>0</v>
      </c>
      <c r="I27" s="259"/>
      <c r="J27" s="289">
        <v>0</v>
      </c>
      <c r="K27" s="260">
        <v>1</v>
      </c>
      <c r="L27" s="258">
        <f t="shared" si="1"/>
        <v>0</v>
      </c>
      <c r="M27" s="259"/>
      <c r="N27" s="261">
        <f t="shared" si="2"/>
        <v>0</v>
      </c>
      <c r="O27" s="262">
        <f t="shared" si="3"/>
      </c>
    </row>
    <row r="28" spans="2:15" s="252" customFormat="1" ht="15" hidden="1">
      <c r="B28" s="426" t="s">
        <v>66</v>
      </c>
      <c r="C28" s="253"/>
      <c r="D28" s="254" t="s">
        <v>63</v>
      </c>
      <c r="E28" s="255"/>
      <c r="F28" s="289">
        <f>'GS&lt;50 (1,000kWh)'!F28</f>
        <v>0</v>
      </c>
      <c r="G28" s="257">
        <v>1</v>
      </c>
      <c r="H28" s="258">
        <f t="shared" si="0"/>
        <v>0</v>
      </c>
      <c r="I28" s="259"/>
      <c r="J28" s="289"/>
      <c r="K28" s="257">
        <v>1</v>
      </c>
      <c r="L28" s="258">
        <f t="shared" si="1"/>
        <v>0</v>
      </c>
      <c r="M28" s="259"/>
      <c r="N28" s="261">
        <f t="shared" si="2"/>
        <v>0</v>
      </c>
      <c r="O28" s="262">
        <f t="shared" si="3"/>
      </c>
    </row>
    <row r="29" spans="2:15" s="252" customFormat="1" ht="15">
      <c r="B29" s="253" t="s">
        <v>110</v>
      </c>
      <c r="C29" s="253"/>
      <c r="D29" s="254" t="s">
        <v>63</v>
      </c>
      <c r="E29" s="255"/>
      <c r="F29" s="440">
        <f>'GS&lt;50 (1,000kWh)'!F29</f>
        <v>0</v>
      </c>
      <c r="G29" s="441">
        <f>F18</f>
        <v>2000</v>
      </c>
      <c r="H29" s="258">
        <f t="shared" si="0"/>
        <v>0</v>
      </c>
      <c r="I29" s="259"/>
      <c r="J29" s="487">
        <f>'GS&lt;50 (1,000kWh)'!J29</f>
        <v>0</v>
      </c>
      <c r="K29" s="257">
        <f>$F$18</f>
        <v>2000</v>
      </c>
      <c r="L29" s="258">
        <f t="shared" si="1"/>
        <v>0</v>
      </c>
      <c r="M29" s="259"/>
      <c r="N29" s="261">
        <f t="shared" si="2"/>
        <v>0</v>
      </c>
      <c r="O29" s="262">
        <f t="shared" si="3"/>
      </c>
    </row>
    <row r="30" spans="2:15" s="252" customFormat="1" ht="15" hidden="1">
      <c r="B30" s="426" t="s">
        <v>93</v>
      </c>
      <c r="C30" s="253"/>
      <c r="D30" s="254" t="s">
        <v>63</v>
      </c>
      <c r="E30" s="255"/>
      <c r="F30" s="289">
        <f>'GS&lt;50 (1,000kWh)'!F30</f>
        <v>0</v>
      </c>
      <c r="G30" s="257">
        <f>$F$18</f>
        <v>2000</v>
      </c>
      <c r="H30" s="258">
        <f t="shared" si="0"/>
        <v>0</v>
      </c>
      <c r="I30" s="259"/>
      <c r="J30" s="289">
        <f>'GS&lt;50 (1,000kWh)'!J30</f>
        <v>0</v>
      </c>
      <c r="K30" s="257">
        <f>$F$18</f>
        <v>2000</v>
      </c>
      <c r="L30" s="258">
        <f>K30*J30</f>
        <v>0</v>
      </c>
      <c r="M30" s="259"/>
      <c r="N30" s="261">
        <f>L30-H30</f>
        <v>0</v>
      </c>
      <c r="O30" s="262">
        <f>IF((H30)=0,"",(N30/H30))</f>
      </c>
    </row>
    <row r="31" spans="2:15" s="252" customFormat="1" ht="15">
      <c r="B31" s="253" t="s">
        <v>21</v>
      </c>
      <c r="C31" s="253"/>
      <c r="D31" s="254" t="s">
        <v>63</v>
      </c>
      <c r="E31" s="255"/>
      <c r="F31" s="289">
        <f>'GS&lt;50 (1,000kWh)'!F31</f>
        <v>0.018</v>
      </c>
      <c r="G31" s="257">
        <f>$F$18</f>
        <v>2000</v>
      </c>
      <c r="H31" s="258">
        <f t="shared" si="0"/>
        <v>36</v>
      </c>
      <c r="I31" s="259"/>
      <c r="J31" s="289">
        <f>'GS&lt;50 (1,000kWh)'!J31</f>
        <v>0.018</v>
      </c>
      <c r="K31" s="257">
        <f>$F$18</f>
        <v>2000</v>
      </c>
      <c r="L31" s="258">
        <f t="shared" si="1"/>
        <v>36</v>
      </c>
      <c r="M31" s="259"/>
      <c r="N31" s="261">
        <f t="shared" si="2"/>
        <v>0</v>
      </c>
      <c r="O31" s="262">
        <f t="shared" si="3"/>
        <v>0</v>
      </c>
    </row>
    <row r="32" spans="2:15" s="252" customFormat="1" ht="15" hidden="1">
      <c r="B32" s="253" t="s">
        <v>22</v>
      </c>
      <c r="C32" s="253"/>
      <c r="D32" s="254"/>
      <c r="E32" s="255"/>
      <c r="F32" s="289">
        <f>'GS&lt;50 (1,000kWh)'!F32</f>
        <v>0</v>
      </c>
      <c r="G32" s="257">
        <f>$F$18</f>
        <v>2000</v>
      </c>
      <c r="H32" s="258">
        <f t="shared" si="0"/>
        <v>0</v>
      </c>
      <c r="I32" s="259"/>
      <c r="J32" s="289"/>
      <c r="K32" s="257">
        <f aca="true" t="shared" si="4" ref="K32:K40">$F$18</f>
        <v>2000</v>
      </c>
      <c r="L32" s="258">
        <f t="shared" si="1"/>
        <v>0</v>
      </c>
      <c r="M32" s="259"/>
      <c r="N32" s="261">
        <f t="shared" si="2"/>
        <v>0</v>
      </c>
      <c r="O32" s="262">
        <f t="shared" si="3"/>
      </c>
    </row>
    <row r="33" spans="2:15" s="252" customFormat="1" ht="15.75" customHeight="1" hidden="1">
      <c r="B33" s="253" t="s">
        <v>110</v>
      </c>
      <c r="C33" s="253"/>
      <c r="D33" s="254" t="s">
        <v>63</v>
      </c>
      <c r="E33" s="255"/>
      <c r="F33" s="289">
        <f>'GS&lt;50 (1,000kWh)'!F33</f>
        <v>0</v>
      </c>
      <c r="G33" s="257">
        <f>$F$18</f>
        <v>2000</v>
      </c>
      <c r="H33" s="258">
        <f t="shared" si="0"/>
        <v>0</v>
      </c>
      <c r="I33" s="259"/>
      <c r="J33" s="289">
        <f>'GS&lt;50 (1,000kWh)'!$J33</f>
        <v>0</v>
      </c>
      <c r="K33" s="257">
        <f t="shared" si="4"/>
        <v>2000</v>
      </c>
      <c r="L33" s="258">
        <f t="shared" si="1"/>
        <v>0</v>
      </c>
      <c r="M33" s="259"/>
      <c r="N33" s="261">
        <f t="shared" si="2"/>
        <v>0</v>
      </c>
      <c r="O33" s="262">
        <f t="shared" si="3"/>
      </c>
    </row>
    <row r="34" spans="2:15" s="252" customFormat="1" ht="15" hidden="1">
      <c r="B34" s="273"/>
      <c r="C34" s="253"/>
      <c r="D34" s="254"/>
      <c r="E34" s="255"/>
      <c r="F34" s="270">
        <f>'GS&lt;50 (1,000kWh)'!F34</f>
        <v>0</v>
      </c>
      <c r="G34" s="257">
        <f aca="true" t="shared" si="5" ref="G34:G40">$F$18</f>
        <v>2000</v>
      </c>
      <c r="H34" s="258">
        <f t="shared" si="0"/>
        <v>0</v>
      </c>
      <c r="I34" s="259"/>
      <c r="J34" s="270"/>
      <c r="K34" s="257">
        <f t="shared" si="4"/>
        <v>2000</v>
      </c>
      <c r="L34" s="258">
        <f t="shared" si="1"/>
        <v>0</v>
      </c>
      <c r="M34" s="259"/>
      <c r="N34" s="272">
        <f t="shared" si="2"/>
        <v>0</v>
      </c>
      <c r="O34" s="262">
        <f t="shared" si="3"/>
      </c>
    </row>
    <row r="35" spans="2:15" s="252" customFormat="1" ht="15" hidden="1">
      <c r="B35" s="273"/>
      <c r="C35" s="253"/>
      <c r="D35" s="254"/>
      <c r="E35" s="255"/>
      <c r="F35" s="270">
        <f>'GS&lt;50 (1,000kWh)'!F35</f>
        <v>0</v>
      </c>
      <c r="G35" s="257">
        <f t="shared" si="5"/>
        <v>2000</v>
      </c>
      <c r="H35" s="258">
        <f t="shared" si="0"/>
        <v>0</v>
      </c>
      <c r="I35" s="259"/>
      <c r="J35" s="270"/>
      <c r="K35" s="257">
        <f t="shared" si="4"/>
        <v>2000</v>
      </c>
      <c r="L35" s="258">
        <f t="shared" si="1"/>
        <v>0</v>
      </c>
      <c r="M35" s="259"/>
      <c r="N35" s="272">
        <f t="shared" si="2"/>
        <v>0</v>
      </c>
      <c r="O35" s="262">
        <f t="shared" si="3"/>
      </c>
    </row>
    <row r="36" spans="2:15" s="252" customFormat="1" ht="15" hidden="1">
      <c r="B36" s="273"/>
      <c r="C36" s="253"/>
      <c r="D36" s="254"/>
      <c r="E36" s="255"/>
      <c r="F36" s="270">
        <f>'GS&lt;50 (1,000kWh)'!F36</f>
        <v>0</v>
      </c>
      <c r="G36" s="257">
        <f t="shared" si="5"/>
        <v>2000</v>
      </c>
      <c r="H36" s="258">
        <f t="shared" si="0"/>
        <v>0</v>
      </c>
      <c r="I36" s="259"/>
      <c r="J36" s="270"/>
      <c r="K36" s="257">
        <f t="shared" si="4"/>
        <v>2000</v>
      </c>
      <c r="L36" s="258">
        <f t="shared" si="1"/>
        <v>0</v>
      </c>
      <c r="M36" s="259"/>
      <c r="N36" s="272">
        <f t="shared" si="2"/>
        <v>0</v>
      </c>
      <c r="O36" s="262">
        <f t="shared" si="3"/>
      </c>
    </row>
    <row r="37" spans="2:15" s="252" customFormat="1" ht="15" hidden="1">
      <c r="B37" s="273"/>
      <c r="C37" s="253"/>
      <c r="D37" s="254"/>
      <c r="E37" s="255"/>
      <c r="F37" s="270">
        <f>'GS&lt;50 (1,000kWh)'!F37</f>
        <v>0</v>
      </c>
      <c r="G37" s="257">
        <f t="shared" si="5"/>
        <v>2000</v>
      </c>
      <c r="H37" s="258">
        <f t="shared" si="0"/>
        <v>0</v>
      </c>
      <c r="I37" s="259"/>
      <c r="J37" s="270"/>
      <c r="K37" s="257">
        <f t="shared" si="4"/>
        <v>2000</v>
      </c>
      <c r="L37" s="258">
        <f t="shared" si="1"/>
        <v>0</v>
      </c>
      <c r="M37" s="259"/>
      <c r="N37" s="272">
        <f t="shared" si="2"/>
        <v>0</v>
      </c>
      <c r="O37" s="262">
        <f t="shared" si="3"/>
      </c>
    </row>
    <row r="38" spans="2:15" s="252" customFormat="1" ht="15" hidden="1">
      <c r="B38" s="273"/>
      <c r="C38" s="253"/>
      <c r="D38" s="254"/>
      <c r="E38" s="255"/>
      <c r="F38" s="270">
        <f>'GS&lt;50 (1,000kWh)'!F38</f>
        <v>0</v>
      </c>
      <c r="G38" s="257">
        <f t="shared" si="5"/>
        <v>2000</v>
      </c>
      <c r="H38" s="258">
        <f t="shared" si="0"/>
        <v>0</v>
      </c>
      <c r="I38" s="259"/>
      <c r="J38" s="270"/>
      <c r="K38" s="257">
        <f t="shared" si="4"/>
        <v>2000</v>
      </c>
      <c r="L38" s="258">
        <f t="shared" si="1"/>
        <v>0</v>
      </c>
      <c r="M38" s="259"/>
      <c r="N38" s="272">
        <f t="shared" si="2"/>
        <v>0</v>
      </c>
      <c r="O38" s="262">
        <f t="shared" si="3"/>
      </c>
    </row>
    <row r="39" spans="2:15" s="252" customFormat="1" ht="15" hidden="1">
      <c r="B39" s="273"/>
      <c r="C39" s="253"/>
      <c r="D39" s="254"/>
      <c r="E39" s="255"/>
      <c r="F39" s="270">
        <f>'GS&lt;50 (1,000kWh)'!F39</f>
        <v>0</v>
      </c>
      <c r="G39" s="257">
        <f t="shared" si="5"/>
        <v>2000</v>
      </c>
      <c r="H39" s="258">
        <f t="shared" si="0"/>
        <v>0</v>
      </c>
      <c r="I39" s="259"/>
      <c r="J39" s="270"/>
      <c r="K39" s="257">
        <f t="shared" si="4"/>
        <v>2000</v>
      </c>
      <c r="L39" s="258">
        <f t="shared" si="1"/>
        <v>0</v>
      </c>
      <c r="M39" s="259"/>
      <c r="N39" s="272">
        <f t="shared" si="2"/>
        <v>0</v>
      </c>
      <c r="O39" s="262">
        <f t="shared" si="3"/>
      </c>
    </row>
    <row r="40" spans="2:15" s="252" customFormat="1" ht="15" hidden="1">
      <c r="B40" s="273"/>
      <c r="C40" s="253"/>
      <c r="D40" s="254"/>
      <c r="E40" s="255"/>
      <c r="F40" s="270">
        <f>'GS&lt;50 (1,000kWh)'!F40</f>
        <v>0</v>
      </c>
      <c r="G40" s="257">
        <f t="shared" si="5"/>
        <v>2000</v>
      </c>
      <c r="H40" s="258">
        <f t="shared" si="0"/>
        <v>0</v>
      </c>
      <c r="I40" s="259"/>
      <c r="J40" s="270"/>
      <c r="K40" s="257">
        <f t="shared" si="4"/>
        <v>2000</v>
      </c>
      <c r="L40" s="258">
        <f t="shared" si="1"/>
        <v>0</v>
      </c>
      <c r="M40" s="259"/>
      <c r="N40" s="272">
        <f t="shared" si="2"/>
        <v>0</v>
      </c>
      <c r="O40" s="262">
        <f t="shared" si="3"/>
      </c>
    </row>
    <row r="41" spans="2:15" s="283" customFormat="1" ht="15">
      <c r="B41" s="382" t="s">
        <v>24</v>
      </c>
      <c r="C41" s="274"/>
      <c r="D41" s="275"/>
      <c r="E41" s="274"/>
      <c r="F41" s="276"/>
      <c r="G41" s="277"/>
      <c r="H41" s="278">
        <f>SUM(H23:H40)</f>
        <v>57.69</v>
      </c>
      <c r="I41" s="279"/>
      <c r="J41" s="276"/>
      <c r="K41" s="281"/>
      <c r="L41" s="278">
        <f>SUM(L23:L40)</f>
        <v>57.69</v>
      </c>
      <c r="M41" s="279"/>
      <c r="N41" s="282">
        <f t="shared" si="2"/>
        <v>0</v>
      </c>
      <c r="O41" s="383">
        <f t="shared" si="3"/>
        <v>0</v>
      </c>
    </row>
    <row r="42" spans="2:15" s="252" customFormat="1" ht="14.25" customHeight="1" hidden="1">
      <c r="B42" s="268"/>
      <c r="C42" s="253"/>
      <c r="D42" s="266" t="s">
        <v>62</v>
      </c>
      <c r="E42" s="255"/>
      <c r="F42" s="270">
        <f>'GS&lt;50 (1,000kWh)'!F42</f>
        <v>0</v>
      </c>
      <c r="G42" s="257">
        <v>1</v>
      </c>
      <c r="H42" s="258">
        <f>G42*F42</f>
        <v>0</v>
      </c>
      <c r="I42" s="259"/>
      <c r="J42" s="270"/>
      <c r="K42" s="260">
        <v>1</v>
      </c>
      <c r="L42" s="258">
        <f>K42*J42</f>
        <v>0</v>
      </c>
      <c r="M42" s="259"/>
      <c r="N42" s="272">
        <f>L42-H42</f>
        <v>0</v>
      </c>
      <c r="O42" s="262">
        <f>IF((H42)=0,"",(N42/H42))</f>
      </c>
    </row>
    <row r="43" spans="2:15" s="252" customFormat="1" ht="15">
      <c r="B43" s="426" t="s">
        <v>25</v>
      </c>
      <c r="C43" s="253"/>
      <c r="D43" s="266" t="s">
        <v>63</v>
      </c>
      <c r="E43" s="269"/>
      <c r="F43" s="442">
        <f>'GS&lt;50 (1,000kWh)'!F43</f>
        <v>-0.0071</v>
      </c>
      <c r="G43" s="257">
        <f>$F$18</f>
        <v>2000</v>
      </c>
      <c r="H43" s="258">
        <f aca="true" t="shared" si="6" ref="H43:H51">G43*F43</f>
        <v>-14.200000000000001</v>
      </c>
      <c r="I43" s="259"/>
      <c r="J43" s="442">
        <f>'GS&lt;50 (1,000kWh)'!J43</f>
        <v>0.0021</v>
      </c>
      <c r="K43" s="257">
        <f>$F$18</f>
        <v>2000</v>
      </c>
      <c r="L43" s="258">
        <f aca="true" t="shared" si="7" ref="L43:L51">K43*J43</f>
        <v>4.2</v>
      </c>
      <c r="M43" s="259"/>
      <c r="N43" s="261">
        <f t="shared" si="2"/>
        <v>18.400000000000002</v>
      </c>
      <c r="O43" s="262">
        <f t="shared" si="3"/>
        <v>-1.295774647887324</v>
      </c>
    </row>
    <row r="44" spans="2:15" s="252" customFormat="1" ht="15" hidden="1">
      <c r="B44" s="426"/>
      <c r="C44" s="253"/>
      <c r="D44" s="254" t="s">
        <v>63</v>
      </c>
      <c r="E44" s="255"/>
      <c r="F44" s="289">
        <f>'GS&lt;50 (1,000kWh)'!F44</f>
        <v>0</v>
      </c>
      <c r="G44" s="257">
        <f>$F$18</f>
        <v>2000</v>
      </c>
      <c r="H44" s="258">
        <f t="shared" si="6"/>
        <v>0</v>
      </c>
      <c r="I44" s="285"/>
      <c r="J44" s="289"/>
      <c r="K44" s="257">
        <f>$F$18</f>
        <v>2000</v>
      </c>
      <c r="L44" s="258">
        <f t="shared" si="7"/>
        <v>0</v>
      </c>
      <c r="M44" s="286"/>
      <c r="N44" s="261">
        <f t="shared" si="2"/>
        <v>0</v>
      </c>
      <c r="O44" s="262">
        <f t="shared" si="3"/>
      </c>
    </row>
    <row r="45" spans="2:15" s="252" customFormat="1" ht="15" hidden="1">
      <c r="B45" s="426"/>
      <c r="C45" s="253"/>
      <c r="D45" s="254" t="s">
        <v>63</v>
      </c>
      <c r="E45" s="255"/>
      <c r="F45" s="289">
        <f>'GS&lt;50 (1,000kWh)'!F45</f>
        <v>0</v>
      </c>
      <c r="G45" s="257">
        <f>$F$18</f>
        <v>2000</v>
      </c>
      <c r="H45" s="258">
        <f t="shared" si="6"/>
        <v>0</v>
      </c>
      <c r="I45" s="285"/>
      <c r="J45" s="289"/>
      <c r="K45" s="257">
        <f>$F$18</f>
        <v>2000</v>
      </c>
      <c r="L45" s="258">
        <f t="shared" si="7"/>
        <v>0</v>
      </c>
      <c r="M45" s="286"/>
      <c r="N45" s="261">
        <f t="shared" si="2"/>
        <v>0</v>
      </c>
      <c r="O45" s="262">
        <f t="shared" si="3"/>
      </c>
    </row>
    <row r="46" spans="2:15" s="252" customFormat="1" ht="15" hidden="1">
      <c r="B46" s="426"/>
      <c r="C46" s="253"/>
      <c r="D46" s="254"/>
      <c r="E46" s="255"/>
      <c r="F46" s="289">
        <f>'GS&lt;50 (1,000kWh)'!F46</f>
        <v>0</v>
      </c>
      <c r="G46" s="257">
        <f>$F$18</f>
        <v>2000</v>
      </c>
      <c r="H46" s="258">
        <f t="shared" si="6"/>
        <v>0</v>
      </c>
      <c r="I46" s="285"/>
      <c r="J46" s="289"/>
      <c r="K46" s="257">
        <f>$F$18</f>
        <v>2000</v>
      </c>
      <c r="L46" s="258">
        <f t="shared" si="7"/>
        <v>0</v>
      </c>
      <c r="M46" s="286"/>
      <c r="N46" s="261">
        <f t="shared" si="2"/>
        <v>0</v>
      </c>
      <c r="O46" s="262">
        <f t="shared" si="3"/>
      </c>
    </row>
    <row r="47" spans="2:15" s="252" customFormat="1" ht="15" hidden="1">
      <c r="B47" s="425" t="s">
        <v>65</v>
      </c>
      <c r="C47" s="253"/>
      <c r="D47" s="254" t="s">
        <v>62</v>
      </c>
      <c r="E47" s="255"/>
      <c r="F47" s="289">
        <f>'GS&lt;50 (1,000kWh)'!F47</f>
        <v>0</v>
      </c>
      <c r="G47" s="257">
        <v>1</v>
      </c>
      <c r="H47" s="258">
        <f t="shared" si="6"/>
        <v>0</v>
      </c>
      <c r="I47" s="259"/>
      <c r="J47" s="289">
        <v>0</v>
      </c>
      <c r="K47" s="260">
        <v>1</v>
      </c>
      <c r="L47" s="258">
        <f t="shared" si="7"/>
        <v>0</v>
      </c>
      <c r="M47" s="259"/>
      <c r="N47" s="261">
        <f>L47-H47</f>
        <v>0</v>
      </c>
      <c r="O47" s="262">
        <f>IF((H47)=0,"",(N47/H47))</f>
      </c>
    </row>
    <row r="48" spans="2:15" s="252" customFormat="1" ht="15" hidden="1">
      <c r="B48" s="253"/>
      <c r="C48" s="253"/>
      <c r="D48" s="254" t="s">
        <v>63</v>
      </c>
      <c r="E48" s="255"/>
      <c r="F48" s="289">
        <f>'GS&lt;50 (1,000kWh)'!F48</f>
        <v>0</v>
      </c>
      <c r="G48" s="257">
        <f>$F$18</f>
        <v>2000</v>
      </c>
      <c r="H48" s="258">
        <f t="shared" si="6"/>
        <v>0</v>
      </c>
      <c r="I48" s="259"/>
      <c r="J48" s="289">
        <f>'GS&lt;50 (1,000kWh)'!$J48</f>
        <v>0</v>
      </c>
      <c r="K48" s="257">
        <f>$F$18</f>
        <v>2000</v>
      </c>
      <c r="L48" s="258">
        <f t="shared" si="7"/>
        <v>0</v>
      </c>
      <c r="M48" s="259"/>
      <c r="N48" s="261">
        <f>L48-H48</f>
        <v>0</v>
      </c>
      <c r="O48" s="262">
        <f>IF((H48)=0,"",(N48/H48))</f>
      </c>
    </row>
    <row r="49" spans="2:15" s="252" customFormat="1" ht="15">
      <c r="B49" s="384" t="s">
        <v>26</v>
      </c>
      <c r="C49" s="253"/>
      <c r="D49" s="254" t="s">
        <v>63</v>
      </c>
      <c r="E49" s="255"/>
      <c r="F49" s="289">
        <f>'GS&lt;50 (1,000kWh)'!F49</f>
        <v>0.0024</v>
      </c>
      <c r="G49" s="257">
        <f>$F$18</f>
        <v>2000</v>
      </c>
      <c r="H49" s="258">
        <f t="shared" si="6"/>
        <v>4.8</v>
      </c>
      <c r="I49" s="259"/>
      <c r="J49" s="289">
        <f>'GS&lt;50 (1,000kWh)'!J49</f>
        <v>0.0024</v>
      </c>
      <c r="K49" s="257">
        <f>$F$18</f>
        <v>2000</v>
      </c>
      <c r="L49" s="258">
        <f t="shared" si="7"/>
        <v>4.8</v>
      </c>
      <c r="M49" s="259"/>
      <c r="N49" s="261">
        <f t="shared" si="2"/>
        <v>0</v>
      </c>
      <c r="O49" s="262">
        <f t="shared" si="3"/>
        <v>0</v>
      </c>
    </row>
    <row r="50" spans="2:15" s="283" customFormat="1" ht="15">
      <c r="B50" s="385" t="s">
        <v>27</v>
      </c>
      <c r="C50" s="255"/>
      <c r="D50" s="254" t="s">
        <v>63</v>
      </c>
      <c r="E50" s="255"/>
      <c r="F50" s="289">
        <f>'GS&lt;50 (1,000kWh)'!F50</f>
        <v>0.10214000000000001</v>
      </c>
      <c r="G50" s="257">
        <f>$F$18*(1+$F$80)-$F$18</f>
        <v>99</v>
      </c>
      <c r="H50" s="290">
        <f t="shared" si="6"/>
        <v>10.11186</v>
      </c>
      <c r="I50" s="269"/>
      <c r="J50" s="289">
        <f>0.64*$F$61+0.18*$F$62+0.18*$F$63</f>
        <v>0.10214000000000001</v>
      </c>
      <c r="K50" s="257">
        <f>$F$18*(1+$J$80)-$F$18</f>
        <v>99</v>
      </c>
      <c r="L50" s="290">
        <f t="shared" si="7"/>
        <v>10.11186</v>
      </c>
      <c r="M50" s="269"/>
      <c r="N50" s="261">
        <f t="shared" si="2"/>
        <v>0</v>
      </c>
      <c r="O50" s="291">
        <f t="shared" si="3"/>
        <v>0</v>
      </c>
    </row>
    <row r="51" spans="2:15" s="252" customFormat="1" ht="15">
      <c r="B51" s="384" t="s">
        <v>28</v>
      </c>
      <c r="C51" s="253"/>
      <c r="D51" s="254" t="s">
        <v>62</v>
      </c>
      <c r="E51" s="255"/>
      <c r="F51" s="292">
        <f>'GS&lt;50 (1,000kWh)'!F51</f>
        <v>0.79</v>
      </c>
      <c r="G51" s="257">
        <v>1</v>
      </c>
      <c r="H51" s="258">
        <f t="shared" si="6"/>
        <v>0.79</v>
      </c>
      <c r="I51" s="259"/>
      <c r="J51" s="292">
        <v>0.79</v>
      </c>
      <c r="K51" s="257">
        <v>1</v>
      </c>
      <c r="L51" s="258">
        <f t="shared" si="7"/>
        <v>0.79</v>
      </c>
      <c r="M51" s="259"/>
      <c r="N51" s="261">
        <f t="shared" si="2"/>
        <v>0</v>
      </c>
      <c r="O51" s="262"/>
    </row>
    <row r="52" spans="2:15" s="252" customFormat="1" ht="15">
      <c r="B52" s="386" t="s">
        <v>29</v>
      </c>
      <c r="C52" s="293"/>
      <c r="D52" s="293"/>
      <c r="E52" s="293"/>
      <c r="F52" s="84"/>
      <c r="G52" s="294"/>
      <c r="H52" s="295">
        <f>SUM(H42:H51)+H41</f>
        <v>59.19186</v>
      </c>
      <c r="I52" s="279"/>
      <c r="J52" s="84"/>
      <c r="K52" s="296"/>
      <c r="L52" s="295">
        <f>SUM(L42:L51)+L41</f>
        <v>77.59186</v>
      </c>
      <c r="M52" s="279"/>
      <c r="N52" s="282">
        <f t="shared" si="2"/>
        <v>18.4</v>
      </c>
      <c r="O52" s="383">
        <f aca="true" t="shared" si="8" ref="O52:O71">IF((H52)=0,"",(N52/H52))</f>
        <v>0.3108535531743723</v>
      </c>
    </row>
    <row r="53" spans="2:15" s="252" customFormat="1" ht="15">
      <c r="B53" s="259" t="s">
        <v>30</v>
      </c>
      <c r="C53" s="259"/>
      <c r="D53" s="266" t="s">
        <v>63</v>
      </c>
      <c r="E53" s="269"/>
      <c r="F53" s="287">
        <f>'GS&lt;50 (1,000kWh)'!F53</f>
        <v>0.0044</v>
      </c>
      <c r="G53" s="485">
        <f>F18*(1+F80)</f>
        <v>2099</v>
      </c>
      <c r="H53" s="258">
        <f>G53*F53</f>
        <v>9.2356</v>
      </c>
      <c r="I53" s="259"/>
      <c r="J53" s="287">
        <f>'GS&lt;50 (1,000kWh)'!J53</f>
        <v>0.0048</v>
      </c>
      <c r="K53" s="486">
        <f>F18*(1+J80)</f>
        <v>2099</v>
      </c>
      <c r="L53" s="258">
        <f>K53*J53</f>
        <v>10.075199999999999</v>
      </c>
      <c r="M53" s="259"/>
      <c r="N53" s="261">
        <f t="shared" si="2"/>
        <v>0.839599999999999</v>
      </c>
      <c r="O53" s="262">
        <f t="shared" si="8"/>
        <v>0.0909090909090908</v>
      </c>
    </row>
    <row r="54" spans="2:15" s="252" customFormat="1" ht="15">
      <c r="B54" s="298" t="s">
        <v>31</v>
      </c>
      <c r="C54" s="259"/>
      <c r="D54" s="266" t="s">
        <v>63</v>
      </c>
      <c r="E54" s="269"/>
      <c r="F54" s="287">
        <f>'GS&lt;50 (1,000kWh)'!F54</f>
        <v>0.0017</v>
      </c>
      <c r="G54" s="485">
        <f>G53</f>
        <v>2099</v>
      </c>
      <c r="H54" s="258">
        <f>G54*F54</f>
        <v>3.5683</v>
      </c>
      <c r="I54" s="259"/>
      <c r="J54" s="287">
        <f>'GS&lt;50 (1,000kWh)'!J54</f>
        <v>0.0027</v>
      </c>
      <c r="K54" s="486">
        <f>K53</f>
        <v>2099</v>
      </c>
      <c r="L54" s="258">
        <f>K54*J54</f>
        <v>5.6673</v>
      </c>
      <c r="M54" s="259"/>
      <c r="N54" s="261">
        <f t="shared" si="2"/>
        <v>2.099</v>
      </c>
      <c r="O54" s="262">
        <f t="shared" si="8"/>
        <v>0.5882352941176472</v>
      </c>
    </row>
    <row r="55" spans="2:15" s="252" customFormat="1" ht="15">
      <c r="B55" s="386" t="s">
        <v>32</v>
      </c>
      <c r="C55" s="274"/>
      <c r="D55" s="274"/>
      <c r="E55" s="274"/>
      <c r="F55" s="85"/>
      <c r="G55" s="294"/>
      <c r="H55" s="295">
        <f>SUM(H52:H54)</f>
        <v>71.99575999999999</v>
      </c>
      <c r="I55" s="299"/>
      <c r="J55" s="85"/>
      <c r="K55" s="301"/>
      <c r="L55" s="295">
        <f>SUM(L52:L54)</f>
        <v>93.33435999999999</v>
      </c>
      <c r="M55" s="299"/>
      <c r="N55" s="282">
        <f t="shared" si="2"/>
        <v>21.3386</v>
      </c>
      <c r="O55" s="383">
        <f t="shared" si="8"/>
        <v>0.29638689833956894</v>
      </c>
    </row>
    <row r="56" spans="2:15" s="252" customFormat="1" ht="15">
      <c r="B56" s="265" t="s">
        <v>33</v>
      </c>
      <c r="C56" s="253"/>
      <c r="D56" s="254" t="s">
        <v>63</v>
      </c>
      <c r="E56" s="255"/>
      <c r="F56" s="289">
        <f>'GS&lt;50 (1,000kWh)'!F56</f>
        <v>0.0044</v>
      </c>
      <c r="G56" s="485">
        <f>G54</f>
        <v>2099</v>
      </c>
      <c r="H56" s="258">
        <f aca="true" t="shared" si="9" ref="H56:H63">G56*F56</f>
        <v>9.2356</v>
      </c>
      <c r="I56" s="259"/>
      <c r="J56" s="476">
        <f>'GS&lt;50 (1,000kWh)'!J56</f>
        <v>0.0036</v>
      </c>
      <c r="K56" s="486">
        <f>K54</f>
        <v>2099</v>
      </c>
      <c r="L56" s="258">
        <f aca="true" t="shared" si="10" ref="L56:L63">K56*J56</f>
        <v>7.5564</v>
      </c>
      <c r="M56" s="259"/>
      <c r="N56" s="261">
        <f t="shared" si="2"/>
        <v>-1.6791999999999998</v>
      </c>
      <c r="O56" s="262">
        <f t="shared" si="8"/>
        <v>-0.1818181818181818</v>
      </c>
    </row>
    <row r="57" spans="2:15" s="252" customFormat="1" ht="15">
      <c r="B57" s="265" t="s">
        <v>34</v>
      </c>
      <c r="C57" s="253"/>
      <c r="D57" s="254" t="s">
        <v>63</v>
      </c>
      <c r="E57" s="255"/>
      <c r="F57" s="289">
        <f>'GS&lt;50 (1,000kWh)'!F57</f>
        <v>0.0013</v>
      </c>
      <c r="G57" s="485">
        <f>G54</f>
        <v>2099</v>
      </c>
      <c r="H57" s="258">
        <f t="shared" si="9"/>
        <v>2.7287</v>
      </c>
      <c r="I57" s="259"/>
      <c r="J57" s="289">
        <f>'GS&lt;50 (1,000kWh)'!J57</f>
        <v>0.0013</v>
      </c>
      <c r="K57" s="486">
        <f>K54</f>
        <v>2099</v>
      </c>
      <c r="L57" s="258">
        <f t="shared" si="10"/>
        <v>2.7287</v>
      </c>
      <c r="M57" s="259"/>
      <c r="N57" s="261">
        <f t="shared" si="2"/>
        <v>0</v>
      </c>
      <c r="O57" s="262">
        <f t="shared" si="8"/>
        <v>0</v>
      </c>
    </row>
    <row r="58" spans="2:15" s="252" customFormat="1" ht="15">
      <c r="B58" s="265" t="s">
        <v>121</v>
      </c>
      <c r="C58" s="253"/>
      <c r="D58" s="254" t="s">
        <v>63</v>
      </c>
      <c r="E58" s="255"/>
      <c r="F58" s="289">
        <f>'GS&lt;50 (1,000kWh)'!F58</f>
        <v>0</v>
      </c>
      <c r="G58" s="485">
        <f>G54</f>
        <v>2099</v>
      </c>
      <c r="H58" s="258">
        <f t="shared" si="9"/>
        <v>0</v>
      </c>
      <c r="I58" s="259"/>
      <c r="J58" s="476">
        <f>'GS&lt;50 (1,000kWh)'!J58</f>
        <v>0.0011</v>
      </c>
      <c r="K58" s="486">
        <f>K54</f>
        <v>2099</v>
      </c>
      <c r="L58" s="258">
        <f t="shared" si="10"/>
        <v>2.3089</v>
      </c>
      <c r="M58" s="259"/>
      <c r="N58" s="261">
        <f t="shared" si="2"/>
        <v>2.3089</v>
      </c>
      <c r="O58" s="262">
        <f t="shared" si="8"/>
      </c>
    </row>
    <row r="59" spans="2:15" s="252" customFormat="1" ht="15">
      <c r="B59" s="253" t="s">
        <v>35</v>
      </c>
      <c r="C59" s="253"/>
      <c r="D59" s="254" t="s">
        <v>62</v>
      </c>
      <c r="E59" s="255"/>
      <c r="F59" s="437">
        <f>'GS&lt;50 (1,000kWh)'!F59</f>
        <v>0.25</v>
      </c>
      <c r="G59" s="257">
        <v>1</v>
      </c>
      <c r="H59" s="258">
        <f t="shared" si="9"/>
        <v>0.25</v>
      </c>
      <c r="I59" s="259"/>
      <c r="J59" s="437">
        <f>'GS&lt;50 (1,000kWh)'!J59</f>
        <v>0.25</v>
      </c>
      <c r="K59" s="260">
        <v>1</v>
      </c>
      <c r="L59" s="258">
        <f t="shared" si="10"/>
        <v>0.25</v>
      </c>
      <c r="M59" s="259"/>
      <c r="N59" s="261">
        <f t="shared" si="2"/>
        <v>0</v>
      </c>
      <c r="O59" s="262">
        <f t="shared" si="8"/>
        <v>0</v>
      </c>
    </row>
    <row r="60" spans="2:15" s="252" customFormat="1" ht="15">
      <c r="B60" s="253" t="s">
        <v>36</v>
      </c>
      <c r="C60" s="253"/>
      <c r="D60" s="254" t="s">
        <v>63</v>
      </c>
      <c r="E60" s="255"/>
      <c r="F60" s="289">
        <f>'GS&lt;50 (1,000kWh)'!F60</f>
        <v>0.007</v>
      </c>
      <c r="G60" s="302">
        <f>F18</f>
        <v>2000</v>
      </c>
      <c r="H60" s="258">
        <f t="shared" si="9"/>
        <v>14</v>
      </c>
      <c r="I60" s="259"/>
      <c r="J60" s="289">
        <f>'GS&lt;50 (1,000kWh)'!J60</f>
        <v>0.007</v>
      </c>
      <c r="K60" s="303">
        <f>F18</f>
        <v>2000</v>
      </c>
      <c r="L60" s="258">
        <f t="shared" si="10"/>
        <v>14</v>
      </c>
      <c r="M60" s="259"/>
      <c r="N60" s="261">
        <f t="shared" si="2"/>
        <v>0</v>
      </c>
      <c r="O60" s="262">
        <f t="shared" si="8"/>
        <v>0</v>
      </c>
    </row>
    <row r="61" spans="2:19" s="252" customFormat="1" ht="15">
      <c r="B61" s="384" t="s">
        <v>37</v>
      </c>
      <c r="C61" s="253"/>
      <c r="D61" s="254" t="s">
        <v>63</v>
      </c>
      <c r="E61" s="255"/>
      <c r="F61" s="289">
        <f>'GS&lt;50 (1,000kWh)'!F61</f>
        <v>0.08</v>
      </c>
      <c r="G61" s="302">
        <f>0.64*$F$18</f>
        <v>1280</v>
      </c>
      <c r="H61" s="258">
        <f t="shared" si="9"/>
        <v>102.4</v>
      </c>
      <c r="I61" s="259"/>
      <c r="J61" s="289">
        <f>'GS&lt;50 (1,000kWh)'!J61</f>
        <v>0.08</v>
      </c>
      <c r="K61" s="302">
        <f>G61</f>
        <v>1280</v>
      </c>
      <c r="L61" s="258">
        <f t="shared" si="10"/>
        <v>102.4</v>
      </c>
      <c r="M61" s="259"/>
      <c r="N61" s="261">
        <f t="shared" si="2"/>
        <v>0</v>
      </c>
      <c r="O61" s="262">
        <f t="shared" si="8"/>
        <v>0</v>
      </c>
      <c r="S61" s="304"/>
    </row>
    <row r="62" spans="2:19" s="252" customFormat="1" ht="15">
      <c r="B62" s="384" t="s">
        <v>38</v>
      </c>
      <c r="C62" s="253"/>
      <c r="D62" s="254" t="s">
        <v>63</v>
      </c>
      <c r="E62" s="255"/>
      <c r="F62" s="289">
        <f>'GS&lt;50 (1,000kWh)'!F62</f>
        <v>0.122</v>
      </c>
      <c r="G62" s="302">
        <f>0.18*$F$18</f>
        <v>360</v>
      </c>
      <c r="H62" s="258">
        <f t="shared" si="9"/>
        <v>43.92</v>
      </c>
      <c r="I62" s="259"/>
      <c r="J62" s="289">
        <f>'GS&lt;50 (1,000kWh)'!J62</f>
        <v>0.122</v>
      </c>
      <c r="K62" s="302">
        <f>G62</f>
        <v>360</v>
      </c>
      <c r="L62" s="258">
        <f t="shared" si="10"/>
        <v>43.92</v>
      </c>
      <c r="M62" s="259"/>
      <c r="N62" s="261">
        <f t="shared" si="2"/>
        <v>0</v>
      </c>
      <c r="O62" s="262">
        <f t="shared" si="8"/>
        <v>0</v>
      </c>
      <c r="S62" s="304"/>
    </row>
    <row r="63" spans="2:19" s="252" customFormat="1" ht="15">
      <c r="B63" s="373" t="s">
        <v>39</v>
      </c>
      <c r="C63" s="253"/>
      <c r="D63" s="254" t="s">
        <v>63</v>
      </c>
      <c r="E63" s="255"/>
      <c r="F63" s="289">
        <f>'GS&lt;50 (1,000kWh)'!F63</f>
        <v>0.161</v>
      </c>
      <c r="G63" s="302">
        <f>0.18*$F$18</f>
        <v>360</v>
      </c>
      <c r="H63" s="258">
        <f t="shared" si="9"/>
        <v>57.96</v>
      </c>
      <c r="I63" s="259"/>
      <c r="J63" s="289">
        <f>'GS&lt;50 (1,000kWh)'!J63</f>
        <v>0.161</v>
      </c>
      <c r="K63" s="302">
        <f>G63</f>
        <v>360</v>
      </c>
      <c r="L63" s="258">
        <f t="shared" si="10"/>
        <v>57.96</v>
      </c>
      <c r="M63" s="259"/>
      <c r="N63" s="261">
        <f t="shared" si="2"/>
        <v>0</v>
      </c>
      <c r="O63" s="262">
        <f t="shared" si="8"/>
        <v>0</v>
      </c>
      <c r="S63" s="304"/>
    </row>
    <row r="64" spans="2:15" s="390" customFormat="1" ht="15">
      <c r="B64" s="387" t="s">
        <v>40</v>
      </c>
      <c r="C64" s="387"/>
      <c r="D64" s="388" t="s">
        <v>63</v>
      </c>
      <c r="E64" s="389"/>
      <c r="F64" s="289">
        <f>'GS&lt;50 (1,000kWh)'!F64</f>
        <v>0.094</v>
      </c>
      <c r="G64" s="305">
        <f>IF(AND($T$1=1,F18&gt;=600),600,IF(AND($T$1=1,AND(F18&lt;600,F18&gt;=0)),F18,IF(AND($T$1=2,F18&gt;=1000),1000,IF(AND($T$1=2,AND(F18&lt;1000,F18&gt;=0)),F18))))</f>
        <v>600</v>
      </c>
      <c r="H64" s="258">
        <f>G64*F64</f>
        <v>56.4</v>
      </c>
      <c r="I64" s="306"/>
      <c r="J64" s="289">
        <f>'GS&lt;50 (1,000kWh)'!J64</f>
        <v>0.094</v>
      </c>
      <c r="K64" s="443">
        <f>G64</f>
        <v>600</v>
      </c>
      <c r="L64" s="258">
        <f>K64*J64</f>
        <v>56.4</v>
      </c>
      <c r="M64" s="306"/>
      <c r="N64" s="261">
        <f t="shared" si="2"/>
        <v>0</v>
      </c>
      <c r="O64" s="262">
        <f t="shared" si="8"/>
        <v>0</v>
      </c>
    </row>
    <row r="65" spans="2:15" s="390" customFormat="1" ht="15.75" thickBot="1">
      <c r="B65" s="387" t="s">
        <v>41</v>
      </c>
      <c r="C65" s="387"/>
      <c r="D65" s="388" t="s">
        <v>63</v>
      </c>
      <c r="E65" s="389"/>
      <c r="F65" s="289">
        <f>'GS&lt;50 (1,000kWh)'!F65</f>
        <v>0.11</v>
      </c>
      <c r="G65" s="305">
        <f>IF(AND($T$1=1,F18&gt;=600),F18-600,IF(AND($T$1=1,AND(F18&lt;600,F18&gt;=0)),0,IF(AND($T$1=2,F18&gt;=1000),F18-1000,IF(AND($T$1=2,AND(F18&lt;1000,F18&gt;=0)),0))))</f>
        <v>1400</v>
      </c>
      <c r="H65" s="258">
        <f>G65*F65</f>
        <v>154</v>
      </c>
      <c r="I65" s="306"/>
      <c r="J65" s="289">
        <f>'GS&lt;50 (1,000kWh)'!J65</f>
        <v>0.11</v>
      </c>
      <c r="K65" s="443">
        <f>G65</f>
        <v>1400</v>
      </c>
      <c r="L65" s="258">
        <f>K65*J65</f>
        <v>154</v>
      </c>
      <c r="M65" s="306"/>
      <c r="N65" s="261">
        <f t="shared" si="2"/>
        <v>0</v>
      </c>
      <c r="O65" s="262">
        <f t="shared" si="8"/>
        <v>0</v>
      </c>
    </row>
    <row r="66" spans="2:15" s="252" customFormat="1" ht="8.25" customHeight="1" thickBot="1">
      <c r="B66" s="391"/>
      <c r="C66" s="307"/>
      <c r="D66" s="308"/>
      <c r="E66" s="307"/>
      <c r="F66" s="309"/>
      <c r="G66" s="310"/>
      <c r="H66" s="311"/>
      <c r="I66" s="312"/>
      <c r="J66" s="309"/>
      <c r="K66" s="313"/>
      <c r="L66" s="311"/>
      <c r="M66" s="312"/>
      <c r="N66" s="314"/>
      <c r="O66" s="315"/>
    </row>
    <row r="67" spans="2:19" s="252" customFormat="1" ht="15">
      <c r="B67" s="392" t="s">
        <v>42</v>
      </c>
      <c r="C67" s="253"/>
      <c r="D67" s="253"/>
      <c r="E67" s="253"/>
      <c r="F67" s="316"/>
      <c r="G67" s="317"/>
      <c r="H67" s="318">
        <f>SUM(H56:H63,H55)</f>
        <v>302.49006</v>
      </c>
      <c r="I67" s="319"/>
      <c r="J67" s="320"/>
      <c r="K67" s="320"/>
      <c r="L67" s="321">
        <f>SUM(L56:L63,L55)</f>
        <v>324.45835999999997</v>
      </c>
      <c r="M67" s="322"/>
      <c r="N67" s="429">
        <f>L67-H67</f>
        <v>21.968299999999942</v>
      </c>
      <c r="O67" s="393">
        <f>IF((H67)=0,"",(N67/H67))</f>
        <v>0.07262486575591919</v>
      </c>
      <c r="S67" s="304"/>
    </row>
    <row r="68" spans="2:19" s="252" customFormat="1" ht="15">
      <c r="B68" s="394" t="s">
        <v>43</v>
      </c>
      <c r="C68" s="253"/>
      <c r="D68" s="253"/>
      <c r="E68" s="253"/>
      <c r="F68" s="324">
        <v>0.13</v>
      </c>
      <c r="G68" s="325"/>
      <c r="H68" s="326">
        <f>H67*F68</f>
        <v>39.32370780000001</v>
      </c>
      <c r="I68" s="327"/>
      <c r="J68" s="328">
        <v>0.13</v>
      </c>
      <c r="K68" s="327"/>
      <c r="L68" s="329">
        <f>L67*J68</f>
        <v>42.179586799999996</v>
      </c>
      <c r="M68" s="330"/>
      <c r="N68" s="430">
        <f t="shared" si="2"/>
        <v>2.8558789999999874</v>
      </c>
      <c r="O68" s="395">
        <f t="shared" si="8"/>
        <v>0.07262486575591905</v>
      </c>
      <c r="S68" s="304"/>
    </row>
    <row r="69" spans="2:19" s="252" customFormat="1" ht="15">
      <c r="B69" s="396" t="s">
        <v>127</v>
      </c>
      <c r="C69" s="253"/>
      <c r="D69" s="253"/>
      <c r="E69" s="253"/>
      <c r="F69" s="331"/>
      <c r="G69" s="325"/>
      <c r="H69" s="326">
        <f>H67+H68</f>
        <v>341.81376780000005</v>
      </c>
      <c r="I69" s="327"/>
      <c r="J69" s="327"/>
      <c r="K69" s="327"/>
      <c r="L69" s="329">
        <f>L67+L68</f>
        <v>366.63794679999995</v>
      </c>
      <c r="M69" s="330"/>
      <c r="N69" s="430">
        <f t="shared" si="2"/>
        <v>24.8241789999999</v>
      </c>
      <c r="O69" s="395">
        <f t="shared" si="8"/>
        <v>0.07262486575591909</v>
      </c>
      <c r="S69" s="304"/>
    </row>
    <row r="70" spans="2:15" s="252" customFormat="1" ht="15.75" customHeight="1">
      <c r="B70" s="554" t="s">
        <v>128</v>
      </c>
      <c r="C70" s="554"/>
      <c r="D70" s="554"/>
      <c r="E70" s="253"/>
      <c r="F70" s="331"/>
      <c r="G70" s="325"/>
      <c r="H70" s="431">
        <f>ROUND(-H69*10%,2)</f>
        <v>-34.18</v>
      </c>
      <c r="I70" s="327"/>
      <c r="J70" s="327"/>
      <c r="K70" s="327"/>
      <c r="L70" s="458">
        <v>0</v>
      </c>
      <c r="M70" s="330"/>
      <c r="N70" s="430">
        <f t="shared" si="2"/>
        <v>34.18</v>
      </c>
      <c r="O70" s="395">
        <f t="shared" si="8"/>
        <v>-1</v>
      </c>
    </row>
    <row r="71" spans="2:15" s="252" customFormat="1" ht="15.75" thickBot="1">
      <c r="B71" s="555" t="s">
        <v>46</v>
      </c>
      <c r="C71" s="555"/>
      <c r="D71" s="555"/>
      <c r="E71" s="334"/>
      <c r="F71" s="335"/>
      <c r="G71" s="336"/>
      <c r="H71" s="337">
        <f>H69+H70</f>
        <v>307.63376780000004</v>
      </c>
      <c r="I71" s="338"/>
      <c r="J71" s="338"/>
      <c r="K71" s="338"/>
      <c r="L71" s="339">
        <f>L69+L70</f>
        <v>366.63794679999995</v>
      </c>
      <c r="M71" s="340"/>
      <c r="N71" s="433">
        <f t="shared" si="2"/>
        <v>59.00417899999991</v>
      </c>
      <c r="O71" s="398">
        <f t="shared" si="8"/>
        <v>0.19180007260568324</v>
      </c>
    </row>
    <row r="72" spans="2:15" s="390" customFormat="1" ht="8.25" customHeight="1" thickBot="1">
      <c r="B72" s="399"/>
      <c r="C72" s="400"/>
      <c r="D72" s="401"/>
      <c r="E72" s="400"/>
      <c r="F72" s="309"/>
      <c r="G72" s="342"/>
      <c r="H72" s="311"/>
      <c r="I72" s="343"/>
      <c r="J72" s="309"/>
      <c r="K72" s="344"/>
      <c r="L72" s="311"/>
      <c r="M72" s="343"/>
      <c r="N72" s="345"/>
      <c r="O72" s="315"/>
    </row>
    <row r="73" spans="2:15" s="390" customFormat="1" ht="15">
      <c r="B73" s="402" t="s">
        <v>47</v>
      </c>
      <c r="C73" s="387"/>
      <c r="D73" s="387"/>
      <c r="E73" s="387"/>
      <c r="F73" s="346"/>
      <c r="G73" s="347"/>
      <c r="H73" s="348">
        <f>SUM(H64:H65,H55,H56:H60)</f>
        <v>308.61006</v>
      </c>
      <c r="I73" s="349"/>
      <c r="J73" s="350"/>
      <c r="K73" s="350"/>
      <c r="L73" s="351">
        <f>SUM(L64:L65,L55,L56:L60)</f>
        <v>330.57836</v>
      </c>
      <c r="M73" s="352"/>
      <c r="N73" s="434">
        <f>L73-H73</f>
        <v>21.9683</v>
      </c>
      <c r="O73" s="393">
        <f>IF((H73)=0,"",(N73/H73))</f>
        <v>0.07118465289174307</v>
      </c>
    </row>
    <row r="74" spans="2:15" s="390" customFormat="1" ht="15">
      <c r="B74" s="403" t="s">
        <v>43</v>
      </c>
      <c r="C74" s="387"/>
      <c r="D74" s="387"/>
      <c r="E74" s="387"/>
      <c r="F74" s="353">
        <v>0.13</v>
      </c>
      <c r="G74" s="347"/>
      <c r="H74" s="354">
        <f>H73*F74</f>
        <v>40.1193078</v>
      </c>
      <c r="I74" s="355"/>
      <c r="J74" s="353">
        <v>0.13</v>
      </c>
      <c r="K74" s="356"/>
      <c r="L74" s="357">
        <f>L73*J74</f>
        <v>42.975186799999996</v>
      </c>
      <c r="M74" s="358"/>
      <c r="N74" s="435">
        <f>L74-H74</f>
        <v>2.8558789999999945</v>
      </c>
      <c r="O74" s="395">
        <f>IF((H74)=0,"",(N74/H74))</f>
        <v>0.07118465289174292</v>
      </c>
    </row>
    <row r="75" spans="2:15" s="390" customFormat="1" ht="15">
      <c r="B75" s="404" t="s">
        <v>127</v>
      </c>
      <c r="C75" s="387"/>
      <c r="D75" s="387"/>
      <c r="E75" s="387"/>
      <c r="F75" s="359"/>
      <c r="G75" s="358"/>
      <c r="H75" s="354">
        <f>H73+H74</f>
        <v>348.7293678</v>
      </c>
      <c r="I75" s="355"/>
      <c r="J75" s="355"/>
      <c r="K75" s="355"/>
      <c r="L75" s="357">
        <f>L73+L74</f>
        <v>373.5535468</v>
      </c>
      <c r="M75" s="358"/>
      <c r="N75" s="435">
        <f>L75-H75</f>
        <v>24.824179000000015</v>
      </c>
      <c r="O75" s="395">
        <f>IF((H75)=0,"",(N75/H75))</f>
        <v>0.07118465289174311</v>
      </c>
    </row>
    <row r="76" spans="2:15" s="390" customFormat="1" ht="15.75" customHeight="1">
      <c r="B76" s="556" t="s">
        <v>128</v>
      </c>
      <c r="C76" s="556"/>
      <c r="D76" s="556"/>
      <c r="E76" s="387"/>
      <c r="F76" s="359"/>
      <c r="G76" s="358"/>
      <c r="H76" s="360">
        <f>ROUND(-H75*10%,2)</f>
        <v>-34.87</v>
      </c>
      <c r="I76" s="355"/>
      <c r="J76" s="355"/>
      <c r="K76" s="355"/>
      <c r="L76" s="454">
        <v>0</v>
      </c>
      <c r="M76" s="358"/>
      <c r="N76" s="435">
        <f>L76-H76</f>
        <v>34.87</v>
      </c>
      <c r="O76" s="395">
        <f>IF((H76)=0,"",(N76/H76))</f>
        <v>-1</v>
      </c>
    </row>
    <row r="77" spans="2:15" s="390" customFormat="1" ht="15.75" thickBot="1">
      <c r="B77" s="547" t="s">
        <v>48</v>
      </c>
      <c r="C77" s="547"/>
      <c r="D77" s="547"/>
      <c r="E77" s="405"/>
      <c r="F77" s="362"/>
      <c r="G77" s="363"/>
      <c r="H77" s="364">
        <f>SUM(H75:H76)</f>
        <v>313.8593678</v>
      </c>
      <c r="I77" s="365"/>
      <c r="J77" s="365"/>
      <c r="K77" s="365"/>
      <c r="L77" s="366">
        <f>SUM(L75:L76)</f>
        <v>373.5535468</v>
      </c>
      <c r="M77" s="367"/>
      <c r="N77" s="436">
        <f>L77-H77</f>
        <v>59.69417900000002</v>
      </c>
      <c r="O77" s="406">
        <f>IF((H77)=0,"",(N77/H77))</f>
        <v>0.19019403313792066</v>
      </c>
    </row>
    <row r="78" spans="2:15" s="390" customFormat="1" ht="8.25" customHeight="1" thickBot="1">
      <c r="B78" s="399"/>
      <c r="C78" s="400"/>
      <c r="D78" s="401"/>
      <c r="E78" s="400"/>
      <c r="F78" s="368"/>
      <c r="G78" s="407"/>
      <c r="H78" s="369"/>
      <c r="I78" s="408"/>
      <c r="J78" s="368"/>
      <c r="K78" s="342"/>
      <c r="L78" s="370"/>
      <c r="M78" s="343"/>
      <c r="N78" s="409"/>
      <c r="O78" s="315"/>
    </row>
    <row r="79" s="252" customFormat="1" ht="10.5" customHeight="1">
      <c r="L79" s="304"/>
    </row>
    <row r="80" spans="2:10" s="252" customFormat="1" ht="15">
      <c r="B80" s="410" t="s">
        <v>49</v>
      </c>
      <c r="F80" s="371">
        <v>0.0495</v>
      </c>
      <c r="J80" s="371">
        <v>0.0495</v>
      </c>
    </row>
    <row r="81" s="252" customFormat="1" ht="10.5" customHeight="1"/>
    <row r="82" spans="2:15" s="252" customFormat="1" ht="15">
      <c r="B82" s="470" t="s">
        <v>140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="252" customFormat="1" ht="10.5" customHeight="1"/>
    <row r="84" s="252" customFormat="1" ht="17.25">
      <c r="A84" s="411" t="s">
        <v>129</v>
      </c>
    </row>
    <row r="85" s="252" customFormat="1" ht="10.5" customHeight="1"/>
    <row r="86" s="252" customFormat="1" ht="15">
      <c r="A86" s="252" t="s">
        <v>51</v>
      </c>
    </row>
    <row r="87" s="252" customFormat="1" ht="15">
      <c r="A87" s="252" t="s">
        <v>52</v>
      </c>
    </row>
    <row r="88" s="252" customFormat="1" ht="15"/>
    <row r="89" s="252" customFormat="1" ht="15">
      <c r="A89" s="373" t="s">
        <v>53</v>
      </c>
    </row>
    <row r="90" s="252" customFormat="1" ht="15">
      <c r="A90" s="373" t="s">
        <v>54</v>
      </c>
    </row>
    <row r="91" s="252" customFormat="1" ht="15"/>
    <row r="92" s="252" customFormat="1" ht="15">
      <c r="A92" s="252" t="s">
        <v>55</v>
      </c>
    </row>
    <row r="93" s="252" customFormat="1" ht="15">
      <c r="A93" s="252" t="s">
        <v>56</v>
      </c>
    </row>
    <row r="94" s="252" customFormat="1" ht="15">
      <c r="A94" s="252" t="s">
        <v>57</v>
      </c>
    </row>
    <row r="95" s="252" customFormat="1" ht="15">
      <c r="A95" s="252" t="s">
        <v>58</v>
      </c>
    </row>
    <row r="96" s="252" customFormat="1" ht="15">
      <c r="A96" s="252" t="s">
        <v>59</v>
      </c>
    </row>
    <row r="97" s="252" customFormat="1" ht="15"/>
    <row r="98" spans="1:2" s="252" customFormat="1" ht="15">
      <c r="A98" s="372"/>
      <c r="B98" s="252" t="s">
        <v>60</v>
      </c>
    </row>
    <row r="99" s="252" customFormat="1" ht="15"/>
    <row r="100" s="252" customFormat="1" ht="15"/>
    <row r="101" s="252" customFormat="1" ht="15"/>
    <row r="102" s="252" customFormat="1" ht="15"/>
    <row r="103" s="252" customFormat="1" ht="15"/>
    <row r="104" s="252" customFormat="1" ht="15"/>
    <row r="105" s="252" customFormat="1" ht="15"/>
    <row r="106" s="252" customFormat="1" ht="15"/>
    <row r="107" s="252" customFormat="1" ht="15"/>
    <row r="108" s="252" customFormat="1" ht="15"/>
    <row r="109" s="252" customFormat="1" ht="15"/>
    <row r="110" s="252" customFormat="1" ht="15"/>
  </sheetData>
  <sheetProtection/>
  <mergeCells count="21">
    <mergeCell ref="B77:D77"/>
    <mergeCell ref="D21:D22"/>
    <mergeCell ref="N21:N22"/>
    <mergeCell ref="O21:O22"/>
    <mergeCell ref="B70:D70"/>
    <mergeCell ref="B71:D71"/>
    <mergeCell ref="B76:D76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8 E72 E64:E65">
      <formula1>'GS&lt;50 (2,000kWh)'!#REF!</formula1>
    </dataValidation>
    <dataValidation type="list" allowBlank="1" showInputMessage="1" showErrorMessage="1" prompt="Select Charge Unit - monthly, per kWh, per kW" sqref="D53:D54 D72 D78 D56:D66 D23:D40 D42:D51">
      <formula1>"Monthly, per kWh, per kW"</formula1>
    </dataValidation>
    <dataValidation type="list" allowBlank="1" showInputMessage="1" showErrorMessage="1" sqref="E53:E54 E42:E51 E66 E23:E40 E56:E63">
      <formula1>'GS&lt;50 (2,000kWh)'!#REF!</formula1>
    </dataValidation>
  </dataValidations>
  <printOptions/>
  <pageMargins left="0.7" right="0.7" top="0.75" bottom="0.75" header="0.3" footer="0.3"/>
  <pageSetup fitToHeight="1" fitToWidth="1" horizontalDpi="600" verticalDpi="600" orientation="portrait" scale="5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8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58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9.7109375" style="8" bestFit="1" customWidth="1"/>
    <col min="7" max="7" width="8.00390625" style="8" bestFit="1" customWidth="1"/>
    <col min="8" max="8" width="9.0039062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9.7109375" style="8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10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 s="20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10</v>
      </c>
      <c r="O4" s="523"/>
      <c r="P4" s="21"/>
    </row>
    <row r="5" spans="3:16" s="2" customFormat="1" ht="15" customHeight="1">
      <c r="C5" s="7"/>
      <c r="D5" s="7"/>
      <c r="E5" s="7"/>
      <c r="L5" s="3" t="s">
        <v>77</v>
      </c>
      <c r="N5" s="525" t="s">
        <v>86</v>
      </c>
      <c r="O5" s="525"/>
      <c r="P5" s="20"/>
    </row>
    <row r="6" spans="12:16" s="2" customFormat="1" ht="9" customHeight="1">
      <c r="L6" s="3"/>
      <c r="N6" s="543"/>
      <c r="O6" s="543"/>
      <c r="P6" s="23"/>
    </row>
    <row r="7" spans="12:16" s="2" customFormat="1" ht="15">
      <c r="L7" s="3" t="s">
        <v>145</v>
      </c>
      <c r="N7" s="526">
        <v>42412</v>
      </c>
      <c r="O7" s="525"/>
      <c r="P7" s="24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4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68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5000</v>
      </c>
      <c r="G18" s="14" t="s">
        <v>9</v>
      </c>
    </row>
    <row r="19" ht="15">
      <c r="B19" s="13"/>
    </row>
    <row r="20" spans="2:15" s="252" customFormat="1" ht="15">
      <c r="B20" s="373"/>
      <c r="D20" s="374"/>
      <c r="E20" s="374"/>
      <c r="F20" s="544" t="s">
        <v>10</v>
      </c>
      <c r="G20" s="545"/>
      <c r="H20" s="546"/>
      <c r="J20" s="544" t="s">
        <v>11</v>
      </c>
      <c r="K20" s="545"/>
      <c r="L20" s="546"/>
      <c r="N20" s="544" t="s">
        <v>12</v>
      </c>
      <c r="O20" s="546"/>
    </row>
    <row r="21" spans="2:15" s="252" customFormat="1" ht="15">
      <c r="B21" s="459"/>
      <c r="D21" s="548" t="s">
        <v>13</v>
      </c>
      <c r="E21" s="375"/>
      <c r="F21" s="376" t="s">
        <v>14</v>
      </c>
      <c r="G21" s="376" t="s">
        <v>15</v>
      </c>
      <c r="H21" s="377" t="s">
        <v>16</v>
      </c>
      <c r="J21" s="376" t="s">
        <v>14</v>
      </c>
      <c r="K21" s="378" t="s">
        <v>15</v>
      </c>
      <c r="L21" s="377" t="s">
        <v>16</v>
      </c>
      <c r="N21" s="550" t="s">
        <v>17</v>
      </c>
      <c r="O21" s="552" t="s">
        <v>18</v>
      </c>
    </row>
    <row r="22" spans="2:15" s="252" customFormat="1" ht="15">
      <c r="B22" s="459"/>
      <c r="D22" s="549"/>
      <c r="E22" s="375"/>
      <c r="F22" s="379" t="s">
        <v>19</v>
      </c>
      <c r="G22" s="379"/>
      <c r="H22" s="380" t="s">
        <v>19</v>
      </c>
      <c r="J22" s="379" t="s">
        <v>19</v>
      </c>
      <c r="K22" s="380"/>
      <c r="L22" s="380" t="s">
        <v>19</v>
      </c>
      <c r="N22" s="551"/>
      <c r="O22" s="553"/>
    </row>
    <row r="23" spans="2:15" s="252" customFormat="1" ht="15">
      <c r="B23" s="255" t="s">
        <v>20</v>
      </c>
      <c r="C23" s="253"/>
      <c r="D23" s="254" t="s">
        <v>62</v>
      </c>
      <c r="E23" s="255"/>
      <c r="F23" s="437">
        <f>'GS&lt;50 (1,000kWh)'!F23</f>
        <v>17.36</v>
      </c>
      <c r="G23" s="257">
        <v>1</v>
      </c>
      <c r="H23" s="258">
        <f>G23*F23</f>
        <v>17.36</v>
      </c>
      <c r="I23" s="259"/>
      <c r="J23" s="439">
        <f>'GS&lt;50 (1,000kWh)'!J23</f>
        <v>17.36</v>
      </c>
      <c r="K23" s="260">
        <v>1</v>
      </c>
      <c r="L23" s="258">
        <f>K23*J23</f>
        <v>17.36</v>
      </c>
      <c r="M23" s="259"/>
      <c r="N23" s="261">
        <f>L23-H23</f>
        <v>0</v>
      </c>
      <c r="O23" s="262">
        <f>IF((H23)=0,"",(N23/H23))</f>
        <v>0</v>
      </c>
    </row>
    <row r="24" spans="2:15" s="252" customFormat="1" ht="22.5" customHeight="1" hidden="1">
      <c r="B24" s="255" t="s">
        <v>92</v>
      </c>
      <c r="C24" s="253"/>
      <c r="D24" s="254" t="s">
        <v>62</v>
      </c>
      <c r="E24" s="255"/>
      <c r="F24" s="438">
        <f>'GS&lt;50 (1,000kWh)'!F24</f>
        <v>0</v>
      </c>
      <c r="G24" s="257">
        <v>1</v>
      </c>
      <c r="H24" s="258">
        <f>G24*F24</f>
        <v>0</v>
      </c>
      <c r="I24" s="259"/>
      <c r="J24" s="439">
        <f>'GS&lt;50 (1,000kWh)'!J24</f>
        <v>0</v>
      </c>
      <c r="K24" s="260">
        <v>1</v>
      </c>
      <c r="L24" s="258">
        <f>K24*J24</f>
        <v>0</v>
      </c>
      <c r="M24" s="259"/>
      <c r="N24" s="261">
        <f>L24-H24</f>
        <v>0</v>
      </c>
      <c r="O24" s="262">
        <f>IF((H24)=0,"",(N24/H24))</f>
      </c>
    </row>
    <row r="25" spans="2:15" s="252" customFormat="1" ht="36.75" customHeight="1" hidden="1">
      <c r="B25" s="425" t="s">
        <v>111</v>
      </c>
      <c r="C25" s="253"/>
      <c r="D25" s="266" t="s">
        <v>62</v>
      </c>
      <c r="E25" s="255"/>
      <c r="F25" s="439">
        <v>0</v>
      </c>
      <c r="G25" s="257">
        <v>1</v>
      </c>
      <c r="H25" s="258">
        <f>G25*F25</f>
        <v>0</v>
      </c>
      <c r="I25" s="259"/>
      <c r="J25" s="287">
        <f>'GS&lt;50 (1,000kWh)'!J25</f>
        <v>0</v>
      </c>
      <c r="K25" s="260">
        <v>1</v>
      </c>
      <c r="L25" s="258">
        <f>K25*J25</f>
        <v>0</v>
      </c>
      <c r="M25" s="259"/>
      <c r="N25" s="261">
        <f>L25-H25</f>
        <v>0</v>
      </c>
      <c r="O25" s="262">
        <f>IF((H25)=0,"",(N25/H25))</f>
      </c>
    </row>
    <row r="26" spans="2:15" s="252" customFormat="1" ht="30">
      <c r="B26" s="425" t="s">
        <v>64</v>
      </c>
      <c r="C26" s="253"/>
      <c r="D26" s="266" t="s">
        <v>62</v>
      </c>
      <c r="E26" s="269"/>
      <c r="F26" s="439">
        <f>'GS&lt;50 (1,000kWh)'!F26</f>
        <v>4.33</v>
      </c>
      <c r="G26" s="257">
        <v>1</v>
      </c>
      <c r="H26" s="258">
        <f aca="true" t="shared" si="0" ref="H26:H40">G26*F26</f>
        <v>4.33</v>
      </c>
      <c r="I26" s="259"/>
      <c r="J26" s="457">
        <f>'GS&lt;50 (1,000kWh)'!J26</f>
        <v>4.33</v>
      </c>
      <c r="K26" s="260">
        <v>1</v>
      </c>
      <c r="L26" s="258">
        <f aca="true" t="shared" si="1" ref="L26:L40">K26*J26</f>
        <v>4.33</v>
      </c>
      <c r="M26" s="259"/>
      <c r="N26" s="261">
        <f aca="true" t="shared" si="2" ref="N26:N71">L26-H26</f>
        <v>0</v>
      </c>
      <c r="O26" s="262">
        <f aca="true" t="shared" si="3" ref="O26:O50">IF((H26)=0,"",(N26/H26))</f>
        <v>0</v>
      </c>
    </row>
    <row r="27" spans="2:15" s="252" customFormat="1" ht="15" hidden="1">
      <c r="B27" s="425" t="s">
        <v>65</v>
      </c>
      <c r="C27" s="253"/>
      <c r="D27" s="254" t="s">
        <v>62</v>
      </c>
      <c r="E27" s="255"/>
      <c r="F27" s="289">
        <f>'GS&lt;50 (1,000kWh)'!F27</f>
        <v>0</v>
      </c>
      <c r="G27" s="257">
        <v>1</v>
      </c>
      <c r="H27" s="258">
        <f t="shared" si="0"/>
        <v>0</v>
      </c>
      <c r="I27" s="259"/>
      <c r="J27" s="439">
        <v>0</v>
      </c>
      <c r="K27" s="260">
        <v>1</v>
      </c>
      <c r="L27" s="258">
        <f t="shared" si="1"/>
        <v>0</v>
      </c>
      <c r="M27" s="259"/>
      <c r="N27" s="261">
        <f t="shared" si="2"/>
        <v>0</v>
      </c>
      <c r="O27" s="262">
        <f t="shared" si="3"/>
      </c>
    </row>
    <row r="28" spans="2:15" s="252" customFormat="1" ht="15" hidden="1">
      <c r="B28" s="426" t="s">
        <v>66</v>
      </c>
      <c r="C28" s="253"/>
      <c r="D28" s="254" t="s">
        <v>63</v>
      </c>
      <c r="E28" s="255"/>
      <c r="F28" s="289">
        <v>0</v>
      </c>
      <c r="G28" s="257">
        <f aca="true" t="shared" si="4" ref="G28:G33">$F$18</f>
        <v>5000</v>
      </c>
      <c r="H28" s="258">
        <f t="shared" si="0"/>
        <v>0</v>
      </c>
      <c r="I28" s="259"/>
      <c r="J28" s="439"/>
      <c r="K28" s="257">
        <f>$F$18</f>
        <v>5000</v>
      </c>
      <c r="L28" s="258">
        <f t="shared" si="1"/>
        <v>0</v>
      </c>
      <c r="M28" s="259"/>
      <c r="N28" s="261">
        <f t="shared" si="2"/>
        <v>0</v>
      </c>
      <c r="O28" s="262">
        <f t="shared" si="3"/>
      </c>
    </row>
    <row r="29" spans="2:15" s="252" customFormat="1" ht="15">
      <c r="B29" s="255" t="s">
        <v>110</v>
      </c>
      <c r="C29" s="253"/>
      <c r="D29" s="254" t="s">
        <v>63</v>
      </c>
      <c r="E29" s="255"/>
      <c r="F29" s="440">
        <f>'GS&lt;50 (1,000kWh)'!F29</f>
        <v>0</v>
      </c>
      <c r="G29" s="257">
        <f t="shared" si="4"/>
        <v>5000</v>
      </c>
      <c r="H29" s="258">
        <f t="shared" si="0"/>
        <v>0</v>
      </c>
      <c r="I29" s="488"/>
      <c r="J29" s="471">
        <f>'GS&lt;50 (1,000kWh)'!J29</f>
        <v>0</v>
      </c>
      <c r="K29" s="257">
        <f>$F$18</f>
        <v>5000</v>
      </c>
      <c r="L29" s="258">
        <f t="shared" si="1"/>
        <v>0</v>
      </c>
      <c r="M29" s="259"/>
      <c r="N29" s="261">
        <f t="shared" si="2"/>
        <v>0</v>
      </c>
      <c r="O29" s="262">
        <f t="shared" si="3"/>
      </c>
    </row>
    <row r="30" spans="2:15" s="252" customFormat="1" ht="15" hidden="1">
      <c r="B30" s="426" t="s">
        <v>93</v>
      </c>
      <c r="C30" s="253"/>
      <c r="D30" s="254" t="s">
        <v>63</v>
      </c>
      <c r="E30" s="255"/>
      <c r="F30" s="289">
        <f>'GS&lt;50 (1,000kWh)'!F30</f>
        <v>0</v>
      </c>
      <c r="G30" s="257">
        <f t="shared" si="4"/>
        <v>5000</v>
      </c>
      <c r="H30" s="258">
        <f t="shared" si="0"/>
        <v>0</v>
      </c>
      <c r="I30" s="259"/>
      <c r="J30" s="287">
        <f>'GS&lt;50 (1,000kWh)'!J30</f>
        <v>0</v>
      </c>
      <c r="K30" s="257">
        <f>$F$18</f>
        <v>5000</v>
      </c>
      <c r="L30" s="258">
        <f>K30*J30</f>
        <v>0</v>
      </c>
      <c r="M30" s="259"/>
      <c r="N30" s="261">
        <f>L30-H30</f>
        <v>0</v>
      </c>
      <c r="O30" s="262">
        <f>IF((H30)=0,"",(N30/H30))</f>
      </c>
    </row>
    <row r="31" spans="2:15" s="252" customFormat="1" ht="15">
      <c r="B31" s="255" t="s">
        <v>21</v>
      </c>
      <c r="C31" s="253"/>
      <c r="D31" s="254" t="s">
        <v>63</v>
      </c>
      <c r="E31" s="255"/>
      <c r="F31" s="289">
        <f>'GS&lt;50 (1,000kWh)'!F31</f>
        <v>0.018</v>
      </c>
      <c r="G31" s="257">
        <f t="shared" si="4"/>
        <v>5000</v>
      </c>
      <c r="H31" s="258">
        <f t="shared" si="0"/>
        <v>90</v>
      </c>
      <c r="I31" s="259"/>
      <c r="J31" s="287">
        <f>'GS&lt;50 (1,000kWh)'!J31</f>
        <v>0.018</v>
      </c>
      <c r="K31" s="257">
        <f>$F$18</f>
        <v>5000</v>
      </c>
      <c r="L31" s="258">
        <f t="shared" si="1"/>
        <v>90</v>
      </c>
      <c r="M31" s="259"/>
      <c r="N31" s="261">
        <f t="shared" si="2"/>
        <v>0</v>
      </c>
      <c r="O31" s="262">
        <f t="shared" si="3"/>
        <v>0</v>
      </c>
    </row>
    <row r="32" spans="2:15" s="252" customFormat="1" ht="15" hidden="1">
      <c r="B32" s="255" t="s">
        <v>22</v>
      </c>
      <c r="C32" s="253"/>
      <c r="D32" s="254"/>
      <c r="E32" s="255"/>
      <c r="F32" s="270"/>
      <c r="G32" s="257">
        <f t="shared" si="4"/>
        <v>5000</v>
      </c>
      <c r="H32" s="258">
        <f t="shared" si="0"/>
        <v>0</v>
      </c>
      <c r="I32" s="259"/>
      <c r="J32" s="267"/>
      <c r="K32" s="257">
        <f aca="true" t="shared" si="5" ref="K32:K40">$F$18</f>
        <v>5000</v>
      </c>
      <c r="L32" s="258">
        <f t="shared" si="1"/>
        <v>0</v>
      </c>
      <c r="M32" s="259"/>
      <c r="N32" s="261">
        <f t="shared" si="2"/>
        <v>0</v>
      </c>
      <c r="O32" s="262">
        <f t="shared" si="3"/>
      </c>
    </row>
    <row r="33" spans="2:15" s="252" customFormat="1" ht="15" hidden="1">
      <c r="B33" s="255" t="s">
        <v>110</v>
      </c>
      <c r="C33" s="253"/>
      <c r="D33" s="254" t="s">
        <v>63</v>
      </c>
      <c r="E33" s="255"/>
      <c r="F33" s="270">
        <v>0</v>
      </c>
      <c r="G33" s="257">
        <f t="shared" si="4"/>
        <v>5000</v>
      </c>
      <c r="H33" s="258">
        <f t="shared" si="0"/>
        <v>0</v>
      </c>
      <c r="I33" s="259"/>
      <c r="J33" s="267">
        <f>'GS&lt;50 (1,000kWh)'!$J33</f>
        <v>0</v>
      </c>
      <c r="K33" s="257">
        <f t="shared" si="5"/>
        <v>5000</v>
      </c>
      <c r="L33" s="258">
        <f t="shared" si="1"/>
        <v>0</v>
      </c>
      <c r="M33" s="259"/>
      <c r="N33" s="261">
        <f t="shared" si="2"/>
        <v>0</v>
      </c>
      <c r="O33" s="262">
        <f t="shared" si="3"/>
      </c>
    </row>
    <row r="34" spans="2:15" s="252" customFormat="1" ht="15" hidden="1">
      <c r="B34" s="288"/>
      <c r="C34" s="253"/>
      <c r="D34" s="254"/>
      <c r="E34" s="255"/>
      <c r="F34" s="270"/>
      <c r="G34" s="257">
        <f aca="true" t="shared" si="6" ref="G34:G40">$F$18</f>
        <v>5000</v>
      </c>
      <c r="H34" s="258">
        <f t="shared" si="0"/>
        <v>0</v>
      </c>
      <c r="I34" s="259"/>
      <c r="J34" s="267"/>
      <c r="K34" s="257">
        <f t="shared" si="5"/>
        <v>5000</v>
      </c>
      <c r="L34" s="258">
        <f t="shared" si="1"/>
        <v>0</v>
      </c>
      <c r="M34" s="259"/>
      <c r="N34" s="272">
        <f t="shared" si="2"/>
        <v>0</v>
      </c>
      <c r="O34" s="262">
        <f t="shared" si="3"/>
      </c>
    </row>
    <row r="35" spans="2:15" s="252" customFormat="1" ht="15" hidden="1">
      <c r="B35" s="288"/>
      <c r="C35" s="253"/>
      <c r="D35" s="254"/>
      <c r="E35" s="255"/>
      <c r="F35" s="270"/>
      <c r="G35" s="257">
        <f t="shared" si="6"/>
        <v>5000</v>
      </c>
      <c r="H35" s="258">
        <f t="shared" si="0"/>
        <v>0</v>
      </c>
      <c r="I35" s="259"/>
      <c r="J35" s="267"/>
      <c r="K35" s="257">
        <f t="shared" si="5"/>
        <v>5000</v>
      </c>
      <c r="L35" s="258">
        <f t="shared" si="1"/>
        <v>0</v>
      </c>
      <c r="M35" s="259"/>
      <c r="N35" s="272">
        <f t="shared" si="2"/>
        <v>0</v>
      </c>
      <c r="O35" s="262">
        <f t="shared" si="3"/>
      </c>
    </row>
    <row r="36" spans="2:15" s="252" customFormat="1" ht="15" hidden="1">
      <c r="B36" s="288"/>
      <c r="C36" s="253"/>
      <c r="D36" s="254"/>
      <c r="E36" s="255"/>
      <c r="F36" s="270"/>
      <c r="G36" s="257">
        <f t="shared" si="6"/>
        <v>5000</v>
      </c>
      <c r="H36" s="258">
        <f t="shared" si="0"/>
        <v>0</v>
      </c>
      <c r="I36" s="259"/>
      <c r="J36" s="267"/>
      <c r="K36" s="257">
        <f t="shared" si="5"/>
        <v>5000</v>
      </c>
      <c r="L36" s="258">
        <f t="shared" si="1"/>
        <v>0</v>
      </c>
      <c r="M36" s="259"/>
      <c r="N36" s="272">
        <f t="shared" si="2"/>
        <v>0</v>
      </c>
      <c r="O36" s="262">
        <f t="shared" si="3"/>
      </c>
    </row>
    <row r="37" spans="2:15" s="252" customFormat="1" ht="15" hidden="1">
      <c r="B37" s="288"/>
      <c r="C37" s="253"/>
      <c r="D37" s="254"/>
      <c r="E37" s="255"/>
      <c r="F37" s="270"/>
      <c r="G37" s="257">
        <f t="shared" si="6"/>
        <v>5000</v>
      </c>
      <c r="H37" s="258">
        <f t="shared" si="0"/>
        <v>0</v>
      </c>
      <c r="I37" s="259"/>
      <c r="J37" s="267"/>
      <c r="K37" s="257">
        <f t="shared" si="5"/>
        <v>5000</v>
      </c>
      <c r="L37" s="258">
        <f t="shared" si="1"/>
        <v>0</v>
      </c>
      <c r="M37" s="259"/>
      <c r="N37" s="272">
        <f t="shared" si="2"/>
        <v>0</v>
      </c>
      <c r="O37" s="262">
        <f t="shared" si="3"/>
      </c>
    </row>
    <row r="38" spans="2:15" s="252" customFormat="1" ht="15" hidden="1">
      <c r="B38" s="288"/>
      <c r="C38" s="253"/>
      <c r="D38" s="254"/>
      <c r="E38" s="255"/>
      <c r="F38" s="270"/>
      <c r="G38" s="257">
        <f t="shared" si="6"/>
        <v>5000</v>
      </c>
      <c r="H38" s="258">
        <f t="shared" si="0"/>
        <v>0</v>
      </c>
      <c r="I38" s="259"/>
      <c r="J38" s="267"/>
      <c r="K38" s="257">
        <f t="shared" si="5"/>
        <v>5000</v>
      </c>
      <c r="L38" s="258">
        <f t="shared" si="1"/>
        <v>0</v>
      </c>
      <c r="M38" s="259"/>
      <c r="N38" s="272">
        <f t="shared" si="2"/>
        <v>0</v>
      </c>
      <c r="O38" s="262">
        <f t="shared" si="3"/>
      </c>
    </row>
    <row r="39" spans="2:15" s="252" customFormat="1" ht="15" hidden="1">
      <c r="B39" s="288"/>
      <c r="C39" s="253"/>
      <c r="D39" s="254"/>
      <c r="E39" s="255"/>
      <c r="F39" s="270"/>
      <c r="G39" s="257">
        <f t="shared" si="6"/>
        <v>5000</v>
      </c>
      <c r="H39" s="258">
        <f t="shared" si="0"/>
        <v>0</v>
      </c>
      <c r="I39" s="259"/>
      <c r="J39" s="267"/>
      <c r="K39" s="257">
        <f t="shared" si="5"/>
        <v>5000</v>
      </c>
      <c r="L39" s="258">
        <f t="shared" si="1"/>
        <v>0</v>
      </c>
      <c r="M39" s="259"/>
      <c r="N39" s="272">
        <f t="shared" si="2"/>
        <v>0</v>
      </c>
      <c r="O39" s="262">
        <f t="shared" si="3"/>
      </c>
    </row>
    <row r="40" spans="2:15" s="252" customFormat="1" ht="15" hidden="1">
      <c r="B40" s="288"/>
      <c r="C40" s="253"/>
      <c r="D40" s="254"/>
      <c r="E40" s="255"/>
      <c r="F40" s="270"/>
      <c r="G40" s="257">
        <f t="shared" si="6"/>
        <v>5000</v>
      </c>
      <c r="H40" s="258">
        <f t="shared" si="0"/>
        <v>0</v>
      </c>
      <c r="I40" s="259"/>
      <c r="J40" s="267"/>
      <c r="K40" s="257">
        <f t="shared" si="5"/>
        <v>5000</v>
      </c>
      <c r="L40" s="258">
        <f t="shared" si="1"/>
        <v>0</v>
      </c>
      <c r="M40" s="259"/>
      <c r="N40" s="272">
        <f t="shared" si="2"/>
        <v>0</v>
      </c>
      <c r="O40" s="262">
        <f t="shared" si="3"/>
      </c>
    </row>
    <row r="41" spans="2:15" s="283" customFormat="1" ht="15">
      <c r="B41" s="456" t="s">
        <v>24</v>
      </c>
      <c r="C41" s="274"/>
      <c r="D41" s="275"/>
      <c r="E41" s="274"/>
      <c r="F41" s="276"/>
      <c r="G41" s="277"/>
      <c r="H41" s="278">
        <f>SUM(H23:H40)</f>
        <v>111.69</v>
      </c>
      <c r="I41" s="279"/>
      <c r="J41" s="280"/>
      <c r="K41" s="281"/>
      <c r="L41" s="278">
        <f>SUM(L23:L40)</f>
        <v>111.69</v>
      </c>
      <c r="M41" s="279"/>
      <c r="N41" s="282">
        <f t="shared" si="2"/>
        <v>0</v>
      </c>
      <c r="O41" s="383">
        <f t="shared" si="3"/>
        <v>0</v>
      </c>
    </row>
    <row r="42" spans="2:15" s="252" customFormat="1" ht="15" hidden="1">
      <c r="B42" s="425"/>
      <c r="C42" s="253"/>
      <c r="D42" s="266" t="s">
        <v>62</v>
      </c>
      <c r="E42" s="255"/>
      <c r="F42" s="270"/>
      <c r="G42" s="257">
        <v>1</v>
      </c>
      <c r="H42" s="258">
        <f>G42*F42</f>
        <v>0</v>
      </c>
      <c r="I42" s="259"/>
      <c r="J42" s="264"/>
      <c r="K42" s="260">
        <v>1</v>
      </c>
      <c r="L42" s="258">
        <f>K42*J42</f>
        <v>0</v>
      </c>
      <c r="M42" s="259"/>
      <c r="N42" s="272">
        <f>L42-H42</f>
        <v>0</v>
      </c>
      <c r="O42" s="262">
        <f>IF((H42)=0,"",(N42/H42))</f>
      </c>
    </row>
    <row r="43" spans="2:15" s="252" customFormat="1" ht="15">
      <c r="B43" s="426" t="s">
        <v>25</v>
      </c>
      <c r="C43" s="253"/>
      <c r="D43" s="266" t="s">
        <v>63</v>
      </c>
      <c r="E43" s="269"/>
      <c r="F43" s="442">
        <f>'GS&lt;50 (1,000kWh)'!F43</f>
        <v>-0.0071</v>
      </c>
      <c r="G43" s="257">
        <f aca="true" t="shared" si="7" ref="G43:G49">$F$18</f>
        <v>5000</v>
      </c>
      <c r="H43" s="258">
        <f aca="true" t="shared" si="8" ref="H43:H51">G43*F43</f>
        <v>-35.5</v>
      </c>
      <c r="I43" s="259"/>
      <c r="J43" s="442">
        <f>'GS&lt;50 (1,000kWh)'!J43</f>
        <v>0.0021</v>
      </c>
      <c r="K43" s="257">
        <f aca="true" t="shared" si="9" ref="K43:K49">$F$18</f>
        <v>5000</v>
      </c>
      <c r="L43" s="258">
        <f aca="true" t="shared" si="10" ref="L43:L51">K43*J43</f>
        <v>10.5</v>
      </c>
      <c r="M43" s="259"/>
      <c r="N43" s="261">
        <f t="shared" si="2"/>
        <v>46</v>
      </c>
      <c r="O43" s="262">
        <f t="shared" si="3"/>
        <v>-1.295774647887324</v>
      </c>
    </row>
    <row r="44" spans="2:15" s="252" customFormat="1" ht="15" hidden="1">
      <c r="B44" s="426"/>
      <c r="C44" s="253"/>
      <c r="D44" s="254" t="s">
        <v>63</v>
      </c>
      <c r="E44" s="255"/>
      <c r="F44" s="289"/>
      <c r="G44" s="257">
        <f t="shared" si="7"/>
        <v>5000</v>
      </c>
      <c r="H44" s="258">
        <f t="shared" si="8"/>
        <v>0</v>
      </c>
      <c r="I44" s="285"/>
      <c r="J44" s="287"/>
      <c r="K44" s="257">
        <f t="shared" si="9"/>
        <v>5000</v>
      </c>
      <c r="L44" s="258">
        <f t="shared" si="10"/>
        <v>0</v>
      </c>
      <c r="M44" s="286"/>
      <c r="N44" s="261">
        <f t="shared" si="2"/>
        <v>0</v>
      </c>
      <c r="O44" s="262">
        <f t="shared" si="3"/>
      </c>
    </row>
    <row r="45" spans="2:15" s="252" customFormat="1" ht="15" hidden="1">
      <c r="B45" s="426"/>
      <c r="C45" s="253"/>
      <c r="D45" s="254" t="s">
        <v>63</v>
      </c>
      <c r="E45" s="255"/>
      <c r="F45" s="289"/>
      <c r="G45" s="257">
        <f t="shared" si="7"/>
        <v>5000</v>
      </c>
      <c r="H45" s="258">
        <f t="shared" si="8"/>
        <v>0</v>
      </c>
      <c r="I45" s="285"/>
      <c r="J45" s="287"/>
      <c r="K45" s="257">
        <f t="shared" si="9"/>
        <v>5000</v>
      </c>
      <c r="L45" s="258">
        <f t="shared" si="10"/>
        <v>0</v>
      </c>
      <c r="M45" s="286"/>
      <c r="N45" s="261">
        <f t="shared" si="2"/>
        <v>0</v>
      </c>
      <c r="O45" s="262">
        <f t="shared" si="3"/>
      </c>
    </row>
    <row r="46" spans="2:15" s="252" customFormat="1" ht="15" hidden="1">
      <c r="B46" s="426"/>
      <c r="C46" s="253"/>
      <c r="D46" s="254"/>
      <c r="E46" s="255"/>
      <c r="F46" s="289"/>
      <c r="G46" s="257">
        <f t="shared" si="7"/>
        <v>5000</v>
      </c>
      <c r="H46" s="258">
        <f t="shared" si="8"/>
        <v>0</v>
      </c>
      <c r="I46" s="285"/>
      <c r="J46" s="287"/>
      <c r="K46" s="257">
        <f t="shared" si="9"/>
        <v>5000</v>
      </c>
      <c r="L46" s="258">
        <f t="shared" si="10"/>
        <v>0</v>
      </c>
      <c r="M46" s="286"/>
      <c r="N46" s="261">
        <f t="shared" si="2"/>
        <v>0</v>
      </c>
      <c r="O46" s="262">
        <f t="shared" si="3"/>
      </c>
    </row>
    <row r="47" spans="2:15" s="252" customFormat="1" ht="15" customHeight="1" hidden="1">
      <c r="B47" s="426" t="s">
        <v>66</v>
      </c>
      <c r="C47" s="253"/>
      <c r="D47" s="254" t="s">
        <v>63</v>
      </c>
      <c r="E47" s="255"/>
      <c r="F47" s="289">
        <v>0</v>
      </c>
      <c r="G47" s="257">
        <f t="shared" si="7"/>
        <v>5000</v>
      </c>
      <c r="H47" s="258">
        <f t="shared" si="8"/>
        <v>0</v>
      </c>
      <c r="I47" s="259"/>
      <c r="J47" s="439"/>
      <c r="K47" s="257">
        <f t="shared" si="9"/>
        <v>5000</v>
      </c>
      <c r="L47" s="258">
        <f t="shared" si="10"/>
        <v>0</v>
      </c>
      <c r="M47" s="259"/>
      <c r="N47" s="261">
        <f>L47-H47</f>
        <v>0</v>
      </c>
      <c r="O47" s="262">
        <f>IF((H47)=0,"",(N47/H47))</f>
      </c>
    </row>
    <row r="48" spans="2:15" s="252" customFormat="1" ht="15" hidden="1">
      <c r="B48" s="255" t="s">
        <v>110</v>
      </c>
      <c r="C48" s="253"/>
      <c r="D48" s="254" t="s">
        <v>63</v>
      </c>
      <c r="E48" s="255"/>
      <c r="F48" s="442">
        <f>'GS&lt;50 (1,000kWh)'!F48</f>
        <v>0</v>
      </c>
      <c r="G48" s="257">
        <f t="shared" si="7"/>
        <v>5000</v>
      </c>
      <c r="H48" s="258">
        <f t="shared" si="8"/>
        <v>0</v>
      </c>
      <c r="I48" s="259"/>
      <c r="J48" s="287">
        <f>'GS&lt;50 (1,000kWh)'!$J48</f>
        <v>0</v>
      </c>
      <c r="K48" s="257">
        <f t="shared" si="9"/>
        <v>5000</v>
      </c>
      <c r="L48" s="258">
        <f t="shared" si="10"/>
        <v>0</v>
      </c>
      <c r="M48" s="259"/>
      <c r="N48" s="261">
        <f>L48-H48</f>
        <v>0</v>
      </c>
      <c r="O48" s="262">
        <f>IF((H48)=0,"",(N48/H48))</f>
      </c>
    </row>
    <row r="49" spans="2:15" s="252" customFormat="1" ht="15">
      <c r="B49" s="385" t="s">
        <v>26</v>
      </c>
      <c r="C49" s="253"/>
      <c r="D49" s="254" t="s">
        <v>63</v>
      </c>
      <c r="E49" s="255"/>
      <c r="F49" s="289">
        <f>'GS&lt;50 (1,000kWh)'!F49</f>
        <v>0.0024</v>
      </c>
      <c r="G49" s="257">
        <f t="shared" si="7"/>
        <v>5000</v>
      </c>
      <c r="H49" s="258">
        <f t="shared" si="8"/>
        <v>11.999999999999998</v>
      </c>
      <c r="I49" s="259"/>
      <c r="J49" s="287">
        <f>'GS&lt;50 (1,000kWh)'!J49</f>
        <v>0.0024</v>
      </c>
      <c r="K49" s="257">
        <f t="shared" si="9"/>
        <v>5000</v>
      </c>
      <c r="L49" s="258">
        <f t="shared" si="10"/>
        <v>11.999999999999998</v>
      </c>
      <c r="M49" s="259"/>
      <c r="N49" s="261">
        <f t="shared" si="2"/>
        <v>0</v>
      </c>
      <c r="O49" s="262">
        <f t="shared" si="3"/>
        <v>0</v>
      </c>
    </row>
    <row r="50" spans="2:15" s="283" customFormat="1" ht="15">
      <c r="B50" s="385" t="s">
        <v>27</v>
      </c>
      <c r="C50" s="255"/>
      <c r="D50" s="266" t="s">
        <v>63</v>
      </c>
      <c r="E50" s="255"/>
      <c r="F50" s="289">
        <f>IF(ISBLANK(D16)=TRUE,0,IF(D16="TOU",0.64*$F$61+0.18*$F$62+0.18*$F$63,IF(AND(D16="non-TOU",G65&gt;0),F65,F64)))</f>
        <v>0.10214000000000001</v>
      </c>
      <c r="G50" s="257">
        <f>$F$18*(1+$F$80)-$F$18</f>
        <v>247.5000000000009</v>
      </c>
      <c r="H50" s="290">
        <f t="shared" si="8"/>
        <v>25.279650000000096</v>
      </c>
      <c r="I50" s="269"/>
      <c r="J50" s="287">
        <f>0.64*$F$61+0.18*$F$62+0.18*$F$63</f>
        <v>0.10214000000000001</v>
      </c>
      <c r="K50" s="257">
        <f>$F$18*(1+$J$80)-$F$18</f>
        <v>247.5000000000009</v>
      </c>
      <c r="L50" s="290">
        <f t="shared" si="10"/>
        <v>25.279650000000096</v>
      </c>
      <c r="M50" s="269"/>
      <c r="N50" s="261">
        <f t="shared" si="2"/>
        <v>0</v>
      </c>
      <c r="O50" s="291">
        <f t="shared" si="3"/>
        <v>0</v>
      </c>
    </row>
    <row r="51" spans="2:15" s="252" customFormat="1" ht="15">
      <c r="B51" s="385" t="s">
        <v>28</v>
      </c>
      <c r="C51" s="253"/>
      <c r="D51" s="254" t="s">
        <v>62</v>
      </c>
      <c r="E51" s="255"/>
      <c r="F51" s="439">
        <f>'GS&lt;50 (1,000kWh)'!F51</f>
        <v>0.79</v>
      </c>
      <c r="G51" s="257">
        <v>1</v>
      </c>
      <c r="H51" s="258">
        <f t="shared" si="8"/>
        <v>0.79</v>
      </c>
      <c r="I51" s="259"/>
      <c r="J51" s="292">
        <f>'GS&lt;50 (1,000kWh)'!J51</f>
        <v>0.79</v>
      </c>
      <c r="K51" s="257">
        <v>1</v>
      </c>
      <c r="L51" s="258">
        <f t="shared" si="10"/>
        <v>0.79</v>
      </c>
      <c r="M51" s="259"/>
      <c r="N51" s="261">
        <f t="shared" si="2"/>
        <v>0</v>
      </c>
      <c r="O51" s="262"/>
    </row>
    <row r="52" spans="2:15" s="252" customFormat="1" ht="15">
      <c r="B52" s="460" t="s">
        <v>29</v>
      </c>
      <c r="C52" s="293"/>
      <c r="D52" s="293"/>
      <c r="E52" s="293"/>
      <c r="F52" s="84"/>
      <c r="G52" s="294"/>
      <c r="H52" s="295">
        <f>SUM(H42:H51)+H41</f>
        <v>114.2596500000001</v>
      </c>
      <c r="I52" s="279"/>
      <c r="J52" s="294"/>
      <c r="K52" s="296"/>
      <c r="L52" s="295">
        <f>SUM(L42:L51)+L41</f>
        <v>160.25965000000008</v>
      </c>
      <c r="M52" s="279"/>
      <c r="N52" s="282">
        <f t="shared" si="2"/>
        <v>45.999999999999986</v>
      </c>
      <c r="O52" s="383">
        <f aca="true" t="shared" si="11" ref="O52:O71">IF((H52)=0,"",(N52/H52))</f>
        <v>0.40259181609605793</v>
      </c>
    </row>
    <row r="53" spans="2:15" s="252" customFormat="1" ht="15">
      <c r="B53" s="269" t="s">
        <v>30</v>
      </c>
      <c r="C53" s="259"/>
      <c r="D53" s="266" t="s">
        <v>63</v>
      </c>
      <c r="E53" s="269"/>
      <c r="F53" s="287">
        <f>'GS&lt;50 (1,000kWh)'!F53</f>
        <v>0.0044</v>
      </c>
      <c r="G53" s="485">
        <f>F18*(1+F80)</f>
        <v>5247.500000000001</v>
      </c>
      <c r="H53" s="258">
        <f>G53*F53</f>
        <v>23.089000000000006</v>
      </c>
      <c r="I53" s="259"/>
      <c r="J53" s="287">
        <f>'GS&lt;50 (1,000kWh)'!J53</f>
        <v>0.0048</v>
      </c>
      <c r="K53" s="486">
        <f>F18*(1+J80)</f>
        <v>5247.500000000001</v>
      </c>
      <c r="L53" s="258">
        <f>K53*J53</f>
        <v>25.188000000000002</v>
      </c>
      <c r="M53" s="259"/>
      <c r="N53" s="261">
        <f t="shared" si="2"/>
        <v>2.0989999999999966</v>
      </c>
      <c r="O53" s="262">
        <f t="shared" si="11"/>
        <v>0.09090909090909075</v>
      </c>
    </row>
    <row r="54" spans="2:15" s="252" customFormat="1" ht="15">
      <c r="B54" s="461" t="s">
        <v>31</v>
      </c>
      <c r="C54" s="259"/>
      <c r="D54" s="266" t="s">
        <v>63</v>
      </c>
      <c r="E54" s="269"/>
      <c r="F54" s="287">
        <f>'GS&lt;50 (1,000kWh)'!F54</f>
        <v>0.0017</v>
      </c>
      <c r="G54" s="485">
        <f>G53</f>
        <v>5247.500000000001</v>
      </c>
      <c r="H54" s="258">
        <f>G54*F54</f>
        <v>8.920750000000002</v>
      </c>
      <c r="I54" s="259"/>
      <c r="J54" s="287">
        <f>'GS&lt;50 (1,000kWh)'!J54</f>
        <v>0.0027</v>
      </c>
      <c r="K54" s="486">
        <f>K53</f>
        <v>5247.500000000001</v>
      </c>
      <c r="L54" s="258">
        <f>K54*J54</f>
        <v>14.168250000000004</v>
      </c>
      <c r="M54" s="259"/>
      <c r="N54" s="261">
        <f t="shared" si="2"/>
        <v>5.247500000000002</v>
      </c>
      <c r="O54" s="262">
        <f t="shared" si="11"/>
        <v>0.5882352941176472</v>
      </c>
    </row>
    <row r="55" spans="2:15" s="252" customFormat="1" ht="15">
      <c r="B55" s="460" t="s">
        <v>32</v>
      </c>
      <c r="C55" s="274"/>
      <c r="D55" s="274"/>
      <c r="E55" s="274"/>
      <c r="F55" s="85"/>
      <c r="G55" s="294"/>
      <c r="H55" s="295">
        <f>SUM(H52:H54)</f>
        <v>146.2694000000001</v>
      </c>
      <c r="I55" s="299"/>
      <c r="J55" s="300"/>
      <c r="K55" s="301"/>
      <c r="L55" s="295">
        <f>SUM(L52:L54)</f>
        <v>199.61590000000007</v>
      </c>
      <c r="M55" s="299"/>
      <c r="N55" s="282">
        <f t="shared" si="2"/>
        <v>53.34649999999996</v>
      </c>
      <c r="O55" s="383">
        <f t="shared" si="11"/>
        <v>0.36471401400429565</v>
      </c>
    </row>
    <row r="56" spans="2:15" s="252" customFormat="1" ht="15">
      <c r="B56" s="425" t="s">
        <v>33</v>
      </c>
      <c r="C56" s="253"/>
      <c r="D56" s="254" t="s">
        <v>63</v>
      </c>
      <c r="E56" s="255"/>
      <c r="F56" s="289">
        <f>'GS&lt;50 (1,000kWh)'!F56</f>
        <v>0.0044</v>
      </c>
      <c r="G56" s="485">
        <f>G54</f>
        <v>5247.500000000001</v>
      </c>
      <c r="H56" s="258">
        <f aca="true" t="shared" si="12" ref="H56:H63">G56*F56</f>
        <v>23.089000000000006</v>
      </c>
      <c r="I56" s="259"/>
      <c r="J56" s="471">
        <f>'GS&lt;50 (1,000kWh)'!J56</f>
        <v>0.0036</v>
      </c>
      <c r="K56" s="486">
        <f>K54</f>
        <v>5247.500000000001</v>
      </c>
      <c r="L56" s="258">
        <f aca="true" t="shared" si="13" ref="L56:L63">K56*J56</f>
        <v>18.891000000000002</v>
      </c>
      <c r="M56" s="259"/>
      <c r="N56" s="261">
        <f t="shared" si="2"/>
        <v>-4.198000000000004</v>
      </c>
      <c r="O56" s="262">
        <f t="shared" si="11"/>
        <v>-0.18181818181818193</v>
      </c>
    </row>
    <row r="57" spans="2:15" s="252" customFormat="1" ht="15">
      <c r="B57" s="425" t="s">
        <v>34</v>
      </c>
      <c r="C57" s="253"/>
      <c r="D57" s="254" t="s">
        <v>63</v>
      </c>
      <c r="E57" s="255"/>
      <c r="F57" s="289">
        <f>'GS&lt;50 (1,000kWh)'!F57</f>
        <v>0.0013</v>
      </c>
      <c r="G57" s="485">
        <f>G54</f>
        <v>5247.500000000001</v>
      </c>
      <c r="H57" s="258">
        <f t="shared" si="12"/>
        <v>6.821750000000001</v>
      </c>
      <c r="I57" s="259"/>
      <c r="J57" s="287">
        <f>'GS&lt;50 (1,000kWh)'!J57</f>
        <v>0.0013</v>
      </c>
      <c r="K57" s="486">
        <f>K54</f>
        <v>5247.500000000001</v>
      </c>
      <c r="L57" s="258">
        <f t="shared" si="13"/>
        <v>6.821750000000001</v>
      </c>
      <c r="M57" s="259"/>
      <c r="N57" s="261">
        <f t="shared" si="2"/>
        <v>0</v>
      </c>
      <c r="O57" s="262">
        <f t="shared" si="11"/>
        <v>0</v>
      </c>
    </row>
    <row r="58" spans="2:15" s="252" customFormat="1" ht="15">
      <c r="B58" s="425" t="s">
        <v>121</v>
      </c>
      <c r="C58" s="253"/>
      <c r="D58" s="254" t="s">
        <v>63</v>
      </c>
      <c r="E58" s="255"/>
      <c r="F58" s="289">
        <f>'GS&lt;50 (1,000kWh)'!F58</f>
        <v>0</v>
      </c>
      <c r="G58" s="485">
        <f>G54</f>
        <v>5247.500000000001</v>
      </c>
      <c r="H58" s="258">
        <f t="shared" si="12"/>
        <v>0</v>
      </c>
      <c r="I58" s="259"/>
      <c r="J58" s="471">
        <f>'GS&lt;50 (1,000kWh)'!J58</f>
        <v>0.0011</v>
      </c>
      <c r="K58" s="486">
        <f>K54</f>
        <v>5247.500000000001</v>
      </c>
      <c r="L58" s="258">
        <f t="shared" si="13"/>
        <v>5.772250000000001</v>
      </c>
      <c r="M58" s="259"/>
      <c r="N58" s="261">
        <f t="shared" si="2"/>
        <v>5.772250000000001</v>
      </c>
      <c r="O58" s="262">
        <f t="shared" si="11"/>
      </c>
    </row>
    <row r="59" spans="2:15" s="252" customFormat="1" ht="15">
      <c r="B59" s="255" t="s">
        <v>35</v>
      </c>
      <c r="C59" s="253"/>
      <c r="D59" s="254" t="s">
        <v>62</v>
      </c>
      <c r="E59" s="255"/>
      <c r="F59" s="437">
        <f>'GS&lt;50 (1,000kWh)'!F59</f>
        <v>0.25</v>
      </c>
      <c r="G59" s="257">
        <v>1</v>
      </c>
      <c r="H59" s="258">
        <f t="shared" si="12"/>
        <v>0.25</v>
      </c>
      <c r="I59" s="259"/>
      <c r="J59" s="439">
        <f>'GS&lt;50 (1,000kWh)'!J59</f>
        <v>0.25</v>
      </c>
      <c r="K59" s="260">
        <v>1</v>
      </c>
      <c r="L59" s="258">
        <f t="shared" si="13"/>
        <v>0.25</v>
      </c>
      <c r="M59" s="259"/>
      <c r="N59" s="261">
        <f t="shared" si="2"/>
        <v>0</v>
      </c>
      <c r="O59" s="262">
        <f t="shared" si="11"/>
        <v>0</v>
      </c>
    </row>
    <row r="60" spans="2:15" s="252" customFormat="1" ht="15">
      <c r="B60" s="255" t="s">
        <v>36</v>
      </c>
      <c r="C60" s="253"/>
      <c r="D60" s="254" t="s">
        <v>63</v>
      </c>
      <c r="E60" s="255"/>
      <c r="F60" s="289">
        <f>'GS&lt;50 (1,000kWh)'!F60</f>
        <v>0.007</v>
      </c>
      <c r="G60" s="302">
        <f>F18</f>
        <v>5000</v>
      </c>
      <c r="H60" s="258">
        <f t="shared" si="12"/>
        <v>35</v>
      </c>
      <c r="I60" s="259"/>
      <c r="J60" s="287">
        <f>'GS&lt;50 (1,000kWh)'!J60</f>
        <v>0.007</v>
      </c>
      <c r="K60" s="303">
        <f>F18</f>
        <v>5000</v>
      </c>
      <c r="L60" s="258">
        <f t="shared" si="13"/>
        <v>35</v>
      </c>
      <c r="M60" s="259"/>
      <c r="N60" s="261">
        <f t="shared" si="2"/>
        <v>0</v>
      </c>
      <c r="O60" s="262">
        <f t="shared" si="11"/>
        <v>0</v>
      </c>
    </row>
    <row r="61" spans="2:19" s="252" customFormat="1" ht="15">
      <c r="B61" s="384" t="s">
        <v>37</v>
      </c>
      <c r="C61" s="253"/>
      <c r="D61" s="254" t="s">
        <v>63</v>
      </c>
      <c r="E61" s="255"/>
      <c r="F61" s="289">
        <f>'GS&lt;50 (1,000kWh)'!F61</f>
        <v>0.08</v>
      </c>
      <c r="G61" s="302">
        <f>0.64*$F$18</f>
        <v>3200</v>
      </c>
      <c r="H61" s="258">
        <f t="shared" si="12"/>
        <v>256</v>
      </c>
      <c r="I61" s="259"/>
      <c r="J61" s="289">
        <f>'GS&lt;50 (1,000kWh)'!J61</f>
        <v>0.08</v>
      </c>
      <c r="K61" s="302">
        <f>G61</f>
        <v>3200</v>
      </c>
      <c r="L61" s="258">
        <f t="shared" si="13"/>
        <v>256</v>
      </c>
      <c r="M61" s="259"/>
      <c r="N61" s="261">
        <f t="shared" si="2"/>
        <v>0</v>
      </c>
      <c r="O61" s="262">
        <f t="shared" si="11"/>
        <v>0</v>
      </c>
      <c r="S61" s="304"/>
    </row>
    <row r="62" spans="2:19" s="252" customFormat="1" ht="15">
      <c r="B62" s="384" t="s">
        <v>38</v>
      </c>
      <c r="C62" s="253"/>
      <c r="D62" s="254" t="s">
        <v>63</v>
      </c>
      <c r="E62" s="255"/>
      <c r="F62" s="289">
        <f>'GS&lt;50 (1,000kWh)'!F62</f>
        <v>0.122</v>
      </c>
      <c r="G62" s="302">
        <f>0.18*$F$18</f>
        <v>900</v>
      </c>
      <c r="H62" s="258">
        <f t="shared" si="12"/>
        <v>109.8</v>
      </c>
      <c r="I62" s="259"/>
      <c r="J62" s="289">
        <f>'GS&lt;50 (1,000kWh)'!J62</f>
        <v>0.122</v>
      </c>
      <c r="K62" s="302">
        <f>G62</f>
        <v>900</v>
      </c>
      <c r="L62" s="258">
        <f t="shared" si="13"/>
        <v>109.8</v>
      </c>
      <c r="M62" s="259"/>
      <c r="N62" s="261">
        <f t="shared" si="2"/>
        <v>0</v>
      </c>
      <c r="O62" s="262">
        <f t="shared" si="11"/>
        <v>0</v>
      </c>
      <c r="S62" s="304"/>
    </row>
    <row r="63" spans="2:19" s="252" customFormat="1" ht="15">
      <c r="B63" s="373" t="s">
        <v>39</v>
      </c>
      <c r="C63" s="253"/>
      <c r="D63" s="254" t="s">
        <v>63</v>
      </c>
      <c r="E63" s="255"/>
      <c r="F63" s="289">
        <f>'GS&lt;50 (1,000kWh)'!F63</f>
        <v>0.161</v>
      </c>
      <c r="G63" s="302">
        <f>0.18*$F$18</f>
        <v>900</v>
      </c>
      <c r="H63" s="258">
        <f t="shared" si="12"/>
        <v>144.9</v>
      </c>
      <c r="I63" s="259"/>
      <c r="J63" s="289">
        <f>'GS&lt;50 (1,000kWh)'!J63</f>
        <v>0.161</v>
      </c>
      <c r="K63" s="302">
        <f>G63</f>
        <v>900</v>
      </c>
      <c r="L63" s="258">
        <f t="shared" si="13"/>
        <v>144.9</v>
      </c>
      <c r="M63" s="259"/>
      <c r="N63" s="261">
        <f t="shared" si="2"/>
        <v>0</v>
      </c>
      <c r="O63" s="262">
        <f t="shared" si="11"/>
        <v>0</v>
      </c>
      <c r="S63" s="304"/>
    </row>
    <row r="64" spans="2:15" s="390" customFormat="1" ht="15">
      <c r="B64" s="387" t="s">
        <v>40</v>
      </c>
      <c r="C64" s="387"/>
      <c r="D64" s="388" t="s">
        <v>63</v>
      </c>
      <c r="E64" s="389"/>
      <c r="F64" s="289">
        <f>'GS&lt;50 (1,000kWh)'!F64</f>
        <v>0.094</v>
      </c>
      <c r="G64" s="305">
        <f>IF(AND($T$1=1,F18&gt;=600),600,IF(AND($T$1=1,AND(F18&lt;600,F18&gt;=0)),F18,IF(AND($T$1=2,F18&gt;=1000),1000,IF(AND($T$1=2,AND(F18&lt;1000,F18&gt;=0)),F18))))</f>
        <v>600</v>
      </c>
      <c r="H64" s="258">
        <f>G64*F64</f>
        <v>56.4</v>
      </c>
      <c r="I64" s="306"/>
      <c r="J64" s="289">
        <f>'GS&lt;50 (1,000kWh)'!J64</f>
        <v>0.094</v>
      </c>
      <c r="K64" s="305">
        <f>G64</f>
        <v>600</v>
      </c>
      <c r="L64" s="258">
        <f>K64*J64</f>
        <v>56.4</v>
      </c>
      <c r="M64" s="306"/>
      <c r="N64" s="261">
        <f t="shared" si="2"/>
        <v>0</v>
      </c>
      <c r="O64" s="262">
        <f t="shared" si="11"/>
        <v>0</v>
      </c>
    </row>
    <row r="65" spans="2:15" s="390" customFormat="1" ht="15.75" thickBot="1">
      <c r="B65" s="387" t="s">
        <v>41</v>
      </c>
      <c r="C65" s="387"/>
      <c r="D65" s="388" t="s">
        <v>63</v>
      </c>
      <c r="E65" s="389"/>
      <c r="F65" s="289">
        <f>'GS&lt;50 (1,000kWh)'!F65</f>
        <v>0.11</v>
      </c>
      <c r="G65" s="305">
        <f>IF(AND($T$1=1,F18&gt;=600),F18-600,IF(AND($T$1=1,AND(F18&lt;600,F18&gt;=0)),0,IF(AND($T$1=2,F18&gt;=1000),F18-1000,IF(AND($T$1=2,AND(F18&lt;1000,F18&gt;=0)),0))))</f>
        <v>4400</v>
      </c>
      <c r="H65" s="258">
        <f>G65*F65</f>
        <v>484</v>
      </c>
      <c r="I65" s="306"/>
      <c r="J65" s="289">
        <f>'GS&lt;50 (1,000kWh)'!J65</f>
        <v>0.11</v>
      </c>
      <c r="K65" s="305">
        <f>G65</f>
        <v>4400</v>
      </c>
      <c r="L65" s="258">
        <f>K65*J65</f>
        <v>484</v>
      </c>
      <c r="M65" s="306"/>
      <c r="N65" s="261">
        <f t="shared" si="2"/>
        <v>0</v>
      </c>
      <c r="O65" s="262">
        <f t="shared" si="11"/>
        <v>0</v>
      </c>
    </row>
    <row r="66" spans="2:15" s="252" customFormat="1" ht="8.25" customHeight="1" thickBot="1">
      <c r="B66" s="391"/>
      <c r="C66" s="307"/>
      <c r="D66" s="308"/>
      <c r="E66" s="307"/>
      <c r="F66" s="309"/>
      <c r="G66" s="310"/>
      <c r="H66" s="311"/>
      <c r="I66" s="312"/>
      <c r="J66" s="309"/>
      <c r="K66" s="313"/>
      <c r="L66" s="311"/>
      <c r="M66" s="312"/>
      <c r="N66" s="314"/>
      <c r="O66" s="315"/>
    </row>
    <row r="67" spans="2:19" s="252" customFormat="1" ht="15">
      <c r="B67" s="392" t="s">
        <v>42</v>
      </c>
      <c r="C67" s="253"/>
      <c r="D67" s="253"/>
      <c r="E67" s="253"/>
      <c r="F67" s="316"/>
      <c r="G67" s="317"/>
      <c r="H67" s="318">
        <f>SUM(H56:H63,H55)</f>
        <v>722.1301500000002</v>
      </c>
      <c r="I67" s="319"/>
      <c r="J67" s="320"/>
      <c r="K67" s="320"/>
      <c r="L67" s="321">
        <f>SUM(L56:L63,L55)</f>
        <v>777.0509000000002</v>
      </c>
      <c r="M67" s="322"/>
      <c r="N67" s="429">
        <f>L67-H67</f>
        <v>54.92075</v>
      </c>
      <c r="O67" s="393">
        <f>IF((H67)=0,"",(N67/H67))</f>
        <v>0.07605381107546885</v>
      </c>
      <c r="S67" s="304"/>
    </row>
    <row r="68" spans="2:19" s="252" customFormat="1" ht="15">
      <c r="B68" s="394" t="s">
        <v>43</v>
      </c>
      <c r="C68" s="253"/>
      <c r="D68" s="253"/>
      <c r="E68" s="253"/>
      <c r="F68" s="324">
        <v>0.13</v>
      </c>
      <c r="G68" s="325"/>
      <c r="H68" s="326">
        <f>H67*F68</f>
        <v>93.87691950000003</v>
      </c>
      <c r="I68" s="327"/>
      <c r="J68" s="328">
        <v>0.13</v>
      </c>
      <c r="K68" s="327"/>
      <c r="L68" s="329">
        <f>L67*J68</f>
        <v>101.01661700000002</v>
      </c>
      <c r="M68" s="330"/>
      <c r="N68" s="430">
        <f t="shared" si="2"/>
        <v>7.139697499999997</v>
      </c>
      <c r="O68" s="395">
        <f t="shared" si="11"/>
        <v>0.07605381107546882</v>
      </c>
      <c r="S68" s="304"/>
    </row>
    <row r="69" spans="2:19" s="252" customFormat="1" ht="15">
      <c r="B69" s="396" t="s">
        <v>127</v>
      </c>
      <c r="C69" s="253"/>
      <c r="D69" s="253"/>
      <c r="E69" s="253"/>
      <c r="F69" s="331"/>
      <c r="G69" s="325"/>
      <c r="H69" s="326">
        <f>H67+H68</f>
        <v>816.0070695000002</v>
      </c>
      <c r="I69" s="327"/>
      <c r="J69" s="327"/>
      <c r="K69" s="327"/>
      <c r="L69" s="329">
        <f>L67+L68</f>
        <v>878.0675170000002</v>
      </c>
      <c r="M69" s="330"/>
      <c r="N69" s="430">
        <f t="shared" si="2"/>
        <v>62.06044750000001</v>
      </c>
      <c r="O69" s="395">
        <f t="shared" si="11"/>
        <v>0.07605381107546887</v>
      </c>
      <c r="S69" s="304"/>
    </row>
    <row r="70" spans="2:15" s="252" customFormat="1" ht="15.75" customHeight="1">
      <c r="B70" s="554" t="s">
        <v>128</v>
      </c>
      <c r="C70" s="554"/>
      <c r="D70" s="554"/>
      <c r="E70" s="253"/>
      <c r="F70" s="331"/>
      <c r="G70" s="325"/>
      <c r="H70" s="431">
        <f>ROUND(-H69*10%,2)</f>
        <v>-81.6</v>
      </c>
      <c r="I70" s="327"/>
      <c r="J70" s="327"/>
      <c r="K70" s="327"/>
      <c r="L70" s="458">
        <v>0</v>
      </c>
      <c r="M70" s="330"/>
      <c r="N70" s="430">
        <f t="shared" si="2"/>
        <v>81.6</v>
      </c>
      <c r="O70" s="395">
        <f t="shared" si="11"/>
        <v>-1</v>
      </c>
    </row>
    <row r="71" spans="2:15" s="252" customFormat="1" ht="15.75" thickBot="1">
      <c r="B71" s="555" t="s">
        <v>46</v>
      </c>
      <c r="C71" s="555"/>
      <c r="D71" s="555"/>
      <c r="E71" s="334"/>
      <c r="F71" s="335"/>
      <c r="G71" s="336"/>
      <c r="H71" s="337">
        <f>H69+H70</f>
        <v>734.4070695000001</v>
      </c>
      <c r="I71" s="338"/>
      <c r="J71" s="338"/>
      <c r="K71" s="338"/>
      <c r="L71" s="339">
        <f>L69+L70</f>
        <v>878.0675170000002</v>
      </c>
      <c r="M71" s="340"/>
      <c r="N71" s="433">
        <f t="shared" si="2"/>
        <v>143.66044750000003</v>
      </c>
      <c r="O71" s="398">
        <f t="shared" si="11"/>
        <v>0.19561419472419717</v>
      </c>
    </row>
    <row r="72" spans="2:15" s="390" customFormat="1" ht="8.25" customHeight="1" thickBot="1">
      <c r="B72" s="399"/>
      <c r="C72" s="400"/>
      <c r="D72" s="401"/>
      <c r="E72" s="400"/>
      <c r="F72" s="309"/>
      <c r="G72" s="342"/>
      <c r="H72" s="311"/>
      <c r="I72" s="343"/>
      <c r="J72" s="309"/>
      <c r="K72" s="344"/>
      <c r="L72" s="311"/>
      <c r="M72" s="343"/>
      <c r="N72" s="345"/>
      <c r="O72" s="315"/>
    </row>
    <row r="73" spans="2:15" s="390" customFormat="1" ht="15">
      <c r="B73" s="402" t="s">
        <v>47</v>
      </c>
      <c r="C73" s="387"/>
      <c r="D73" s="387"/>
      <c r="E73" s="387"/>
      <c r="F73" s="346"/>
      <c r="G73" s="347"/>
      <c r="H73" s="348">
        <f>SUM(H64:H65,H55,H56:H60)</f>
        <v>751.8301500000001</v>
      </c>
      <c r="I73" s="349"/>
      <c r="J73" s="350"/>
      <c r="K73" s="350"/>
      <c r="L73" s="351">
        <f>SUM(L64:L65,L55,L56:L60)</f>
        <v>806.7509</v>
      </c>
      <c r="M73" s="352"/>
      <c r="N73" s="434">
        <f>L73-H73</f>
        <v>54.920749999999884</v>
      </c>
      <c r="O73" s="393">
        <f>IF((H73)=0,"",(N73/H73))</f>
        <v>0.07304941149274191</v>
      </c>
    </row>
    <row r="74" spans="2:15" s="390" customFormat="1" ht="15">
      <c r="B74" s="403" t="s">
        <v>43</v>
      </c>
      <c r="C74" s="387"/>
      <c r="D74" s="387"/>
      <c r="E74" s="387"/>
      <c r="F74" s="353">
        <v>0.13</v>
      </c>
      <c r="G74" s="347"/>
      <c r="H74" s="354">
        <f>H73*F74</f>
        <v>97.73791950000002</v>
      </c>
      <c r="I74" s="355"/>
      <c r="J74" s="353">
        <v>0.13</v>
      </c>
      <c r="K74" s="356"/>
      <c r="L74" s="357">
        <f>L73*J74</f>
        <v>104.877617</v>
      </c>
      <c r="M74" s="358"/>
      <c r="N74" s="435">
        <f>L74-H74</f>
        <v>7.139697499999983</v>
      </c>
      <c r="O74" s="395">
        <f>IF((H74)=0,"",(N74/H74))</f>
        <v>0.07304941149274188</v>
      </c>
    </row>
    <row r="75" spans="2:15" s="390" customFormat="1" ht="15">
      <c r="B75" s="404" t="s">
        <v>127</v>
      </c>
      <c r="C75" s="387"/>
      <c r="D75" s="387"/>
      <c r="E75" s="387"/>
      <c r="F75" s="359"/>
      <c r="G75" s="358"/>
      <c r="H75" s="354">
        <f>H73+H74</f>
        <v>849.5680695000001</v>
      </c>
      <c r="I75" s="355"/>
      <c r="J75" s="355"/>
      <c r="K75" s="355"/>
      <c r="L75" s="357">
        <f>L73+L74</f>
        <v>911.628517</v>
      </c>
      <c r="M75" s="358"/>
      <c r="N75" s="435">
        <f>L75-H75</f>
        <v>62.060447499999896</v>
      </c>
      <c r="O75" s="395">
        <f>IF((H75)=0,"",(N75/H75))</f>
        <v>0.07304941149274195</v>
      </c>
    </row>
    <row r="76" spans="2:15" s="390" customFormat="1" ht="15.75" customHeight="1">
      <c r="B76" s="556" t="s">
        <v>128</v>
      </c>
      <c r="C76" s="556"/>
      <c r="D76" s="556"/>
      <c r="E76" s="387"/>
      <c r="F76" s="359"/>
      <c r="G76" s="358"/>
      <c r="H76" s="360">
        <f>ROUND(-H75*10%,2)</f>
        <v>-84.96</v>
      </c>
      <c r="I76" s="355"/>
      <c r="J76" s="355"/>
      <c r="K76" s="355"/>
      <c r="L76" s="454">
        <v>0</v>
      </c>
      <c r="M76" s="358"/>
      <c r="N76" s="435">
        <f>L76-H76</f>
        <v>84.96</v>
      </c>
      <c r="O76" s="395">
        <f>IF((H76)=0,"",(N76/H76))</f>
        <v>-1</v>
      </c>
    </row>
    <row r="77" spans="2:15" s="390" customFormat="1" ht="15.75" thickBot="1">
      <c r="B77" s="547" t="s">
        <v>48</v>
      </c>
      <c r="C77" s="547"/>
      <c r="D77" s="547"/>
      <c r="E77" s="405"/>
      <c r="F77" s="362"/>
      <c r="G77" s="363"/>
      <c r="H77" s="364">
        <f>SUM(H75:H76)</f>
        <v>764.6080695</v>
      </c>
      <c r="I77" s="365"/>
      <c r="J77" s="365"/>
      <c r="K77" s="365"/>
      <c r="L77" s="366">
        <f>SUM(L75:L76)</f>
        <v>911.628517</v>
      </c>
      <c r="M77" s="367"/>
      <c r="N77" s="436">
        <f>L77-H77</f>
        <v>147.02044749999993</v>
      </c>
      <c r="O77" s="406">
        <f>IF((H77)=0,"",(N77/H77))</f>
        <v>0.19228210290291728</v>
      </c>
    </row>
    <row r="78" spans="2:15" s="390" customFormat="1" ht="8.25" customHeight="1" thickBot="1">
      <c r="B78" s="399"/>
      <c r="C78" s="400"/>
      <c r="D78" s="401"/>
      <c r="E78" s="400"/>
      <c r="F78" s="368"/>
      <c r="G78" s="407"/>
      <c r="H78" s="369"/>
      <c r="I78" s="408"/>
      <c r="J78" s="368"/>
      <c r="K78" s="342"/>
      <c r="L78" s="370"/>
      <c r="M78" s="343"/>
      <c r="N78" s="409"/>
      <c r="O78" s="315"/>
    </row>
    <row r="79" s="252" customFormat="1" ht="10.5" customHeight="1">
      <c r="L79" s="304"/>
    </row>
    <row r="80" spans="2:10" s="252" customFormat="1" ht="15">
      <c r="B80" s="410" t="s">
        <v>49</v>
      </c>
      <c r="F80" s="371">
        <v>0.0495</v>
      </c>
      <c r="J80" s="371">
        <v>0.0495</v>
      </c>
    </row>
    <row r="81" s="252" customFormat="1" ht="10.5" customHeight="1"/>
    <row r="82" spans="2:15" s="252" customFormat="1" ht="15">
      <c r="B82" s="470" t="s">
        <v>140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="252" customFormat="1" ht="10.5" customHeight="1"/>
    <row r="84" s="252" customFormat="1" ht="17.25">
      <c r="A84" s="411" t="s">
        <v>129</v>
      </c>
    </row>
    <row r="85" s="252" customFormat="1" ht="10.5" customHeight="1"/>
    <row r="86" s="252" customFormat="1" ht="15">
      <c r="A86" s="252" t="s">
        <v>51</v>
      </c>
    </row>
    <row r="87" s="252" customFormat="1" ht="15">
      <c r="A87" s="252" t="s">
        <v>52</v>
      </c>
    </row>
    <row r="88" s="252" customFormat="1" ht="15"/>
    <row r="89" s="252" customFormat="1" ht="15">
      <c r="A89" s="373" t="s">
        <v>53</v>
      </c>
    </row>
    <row r="90" s="252" customFormat="1" ht="15">
      <c r="A90" s="373" t="s">
        <v>54</v>
      </c>
    </row>
    <row r="91" s="252" customFormat="1" ht="15"/>
    <row r="92" s="252" customFormat="1" ht="15">
      <c r="A92" s="252" t="s">
        <v>55</v>
      </c>
    </row>
    <row r="93" s="252" customFormat="1" ht="15">
      <c r="A93" s="252" t="s">
        <v>56</v>
      </c>
    </row>
    <row r="94" s="252" customFormat="1" ht="15">
      <c r="A94" s="252" t="s">
        <v>57</v>
      </c>
    </row>
    <row r="95" s="252" customFormat="1" ht="15">
      <c r="A95" s="252" t="s">
        <v>58</v>
      </c>
    </row>
    <row r="96" s="252" customFormat="1" ht="15">
      <c r="A96" s="252" t="s">
        <v>59</v>
      </c>
    </row>
    <row r="97" s="252" customFormat="1" ht="15"/>
    <row r="98" spans="1:2" s="252" customFormat="1" ht="15">
      <c r="A98" s="372"/>
      <c r="B98" s="252" t="s">
        <v>60</v>
      </c>
    </row>
    <row r="99" s="252" customFormat="1" ht="15"/>
    <row r="100" s="252" customFormat="1" ht="15"/>
    <row r="101" s="252" customFormat="1" ht="15"/>
    <row r="102" s="252" customFormat="1" ht="15"/>
    <row r="103" s="252" customFormat="1" ht="15"/>
    <row r="104" s="252" customFormat="1" ht="15"/>
    <row r="105" s="252" customFormat="1" ht="15"/>
    <row r="106" s="252" customFormat="1" ht="15"/>
    <row r="107" s="252" customFormat="1" ht="15"/>
  </sheetData>
  <sheetProtection/>
  <mergeCells count="21">
    <mergeCell ref="B77:D77"/>
    <mergeCell ref="D21:D22"/>
    <mergeCell ref="N21:N22"/>
    <mergeCell ref="O21:O22"/>
    <mergeCell ref="B70:D70"/>
    <mergeCell ref="B71:D71"/>
    <mergeCell ref="B76:D76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E53:E54 E42:E51 E66 E23:E40 E56:E63">
      <formula1>'GS&lt;50 (5,000kWh)'!#REF!</formula1>
    </dataValidation>
    <dataValidation type="list" allowBlank="1" showInputMessage="1" showErrorMessage="1" prompt="Select Charge Unit - monthly, per kWh, per kW" sqref="D53:D54 D72 D78 D56:D66 D23:D40 D42:D51">
      <formula1>"Monthly, per kWh, per kW"</formula1>
    </dataValidation>
    <dataValidation type="list" allowBlank="1" showInputMessage="1" showErrorMessage="1" sqref="E78 E72 E64:E65">
      <formula1>'GS&lt;50 (5,000kWh)'!#REF!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8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58.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9.00390625" style="8" bestFit="1" customWidth="1"/>
    <col min="7" max="7" width="8.57421875" style="8" customWidth="1"/>
    <col min="8" max="8" width="10.5742187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10.57421875" style="8" bestFit="1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11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 s="20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11</v>
      </c>
      <c r="O4" s="523"/>
      <c r="P4" s="21"/>
    </row>
    <row r="5" spans="3:16" s="2" customFormat="1" ht="15" customHeight="1">
      <c r="C5" s="7"/>
      <c r="D5" s="7"/>
      <c r="E5" s="7"/>
      <c r="L5" s="3" t="s">
        <v>77</v>
      </c>
      <c r="N5" s="525" t="s">
        <v>87</v>
      </c>
      <c r="O5" s="525"/>
      <c r="P5" s="20"/>
    </row>
    <row r="6" spans="12:16" s="2" customFormat="1" ht="9" customHeight="1">
      <c r="L6" s="3"/>
      <c r="N6" s="543"/>
      <c r="O6" s="543"/>
      <c r="P6" s="23"/>
    </row>
    <row r="7" spans="12:16" s="2" customFormat="1" ht="15">
      <c r="L7" s="3" t="s">
        <v>145</v>
      </c>
      <c r="N7" s="526">
        <v>42412</v>
      </c>
      <c r="O7" s="525"/>
      <c r="P7" s="24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4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68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10000</v>
      </c>
      <c r="G18" s="14" t="s">
        <v>9</v>
      </c>
    </row>
    <row r="19" ht="15">
      <c r="B19" s="13"/>
    </row>
    <row r="20" spans="2:15" s="252" customFormat="1" ht="15">
      <c r="B20" s="373"/>
      <c r="D20" s="374"/>
      <c r="E20" s="374"/>
      <c r="F20" s="544" t="s">
        <v>10</v>
      </c>
      <c r="G20" s="545"/>
      <c r="H20" s="546"/>
      <c r="J20" s="544" t="s">
        <v>11</v>
      </c>
      <c r="K20" s="545"/>
      <c r="L20" s="546"/>
      <c r="N20" s="544" t="s">
        <v>12</v>
      </c>
      <c r="O20" s="546"/>
    </row>
    <row r="21" spans="2:15" s="252" customFormat="1" ht="15">
      <c r="B21" s="373"/>
      <c r="D21" s="548" t="s">
        <v>13</v>
      </c>
      <c r="E21" s="375"/>
      <c r="F21" s="376" t="s">
        <v>14</v>
      </c>
      <c r="G21" s="376" t="s">
        <v>15</v>
      </c>
      <c r="H21" s="377" t="s">
        <v>16</v>
      </c>
      <c r="J21" s="376" t="s">
        <v>14</v>
      </c>
      <c r="K21" s="378" t="s">
        <v>15</v>
      </c>
      <c r="L21" s="377" t="s">
        <v>16</v>
      </c>
      <c r="N21" s="550" t="s">
        <v>17</v>
      </c>
      <c r="O21" s="552" t="s">
        <v>18</v>
      </c>
    </row>
    <row r="22" spans="2:15" s="252" customFormat="1" ht="15">
      <c r="B22" s="373"/>
      <c r="D22" s="549"/>
      <c r="E22" s="375"/>
      <c r="F22" s="379" t="s">
        <v>19</v>
      </c>
      <c r="G22" s="379"/>
      <c r="H22" s="380" t="s">
        <v>19</v>
      </c>
      <c r="J22" s="379" t="s">
        <v>19</v>
      </c>
      <c r="K22" s="380"/>
      <c r="L22" s="380" t="s">
        <v>19</v>
      </c>
      <c r="N22" s="551"/>
      <c r="O22" s="553"/>
    </row>
    <row r="23" spans="2:15" s="252" customFormat="1" ht="13.5" customHeight="1">
      <c r="B23" s="253" t="s">
        <v>20</v>
      </c>
      <c r="C23" s="253"/>
      <c r="D23" s="254" t="s">
        <v>62</v>
      </c>
      <c r="E23" s="255"/>
      <c r="F23" s="437">
        <f>'GS&lt;50 (1,000kWh)'!F23</f>
        <v>17.36</v>
      </c>
      <c r="G23" s="257">
        <v>1</v>
      </c>
      <c r="H23" s="258">
        <f>G23*F23</f>
        <v>17.36</v>
      </c>
      <c r="I23" s="259"/>
      <c r="J23" s="437">
        <f>'GS&lt;50 (1,000kWh)'!J23</f>
        <v>17.36</v>
      </c>
      <c r="K23" s="260">
        <v>1</v>
      </c>
      <c r="L23" s="258">
        <f>K23*J23</f>
        <v>17.36</v>
      </c>
      <c r="M23" s="259"/>
      <c r="N23" s="261">
        <f>L23-H23</f>
        <v>0</v>
      </c>
      <c r="O23" s="262">
        <f>IF((H23)=0,"",(N23/H23))</f>
        <v>0</v>
      </c>
    </row>
    <row r="24" spans="2:15" s="252" customFormat="1" ht="22.5" customHeight="1" hidden="1">
      <c r="B24" s="253" t="s">
        <v>92</v>
      </c>
      <c r="C24" s="253"/>
      <c r="D24" s="254" t="s">
        <v>62</v>
      </c>
      <c r="E24" s="255"/>
      <c r="F24" s="438">
        <f>'GS&lt;50 (1,000kWh)'!F24</f>
        <v>0</v>
      </c>
      <c r="G24" s="257">
        <v>1</v>
      </c>
      <c r="H24" s="258">
        <f>G24*F24</f>
        <v>0</v>
      </c>
      <c r="I24" s="259"/>
      <c r="J24" s="438">
        <f>'GS&lt;50 (1,000kWh)'!J24</f>
        <v>0</v>
      </c>
      <c r="K24" s="260">
        <v>1</v>
      </c>
      <c r="L24" s="258">
        <f>K24*J24</f>
        <v>0</v>
      </c>
      <c r="M24" s="259"/>
      <c r="N24" s="261">
        <f>L24-H24</f>
        <v>0</v>
      </c>
      <c r="O24" s="262">
        <f>IF((H24)=0,"",(N24/H24))</f>
      </c>
    </row>
    <row r="25" spans="2:15" s="252" customFormat="1" ht="36.75" customHeight="1" hidden="1">
      <c r="B25" s="265" t="s">
        <v>111</v>
      </c>
      <c r="C25" s="253"/>
      <c r="D25" s="266" t="s">
        <v>62</v>
      </c>
      <c r="E25" s="255"/>
      <c r="F25" s="439">
        <v>0</v>
      </c>
      <c r="G25" s="257">
        <v>1</v>
      </c>
      <c r="H25" s="258">
        <f>G25*F25</f>
        <v>0</v>
      </c>
      <c r="I25" s="259"/>
      <c r="J25" s="439">
        <f>'GS&lt;50 (1,000kWh)'!J25</f>
        <v>0</v>
      </c>
      <c r="K25" s="260">
        <v>1</v>
      </c>
      <c r="L25" s="258">
        <f>K25*J25</f>
        <v>0</v>
      </c>
      <c r="M25" s="259"/>
      <c r="N25" s="261">
        <f>L25-H25</f>
        <v>0</v>
      </c>
      <c r="O25" s="262">
        <f>IF((H25)=0,"",(N25/H25))</f>
      </c>
    </row>
    <row r="26" spans="2:15" s="252" customFormat="1" ht="30">
      <c r="B26" s="425" t="s">
        <v>64</v>
      </c>
      <c r="C26" s="253"/>
      <c r="D26" s="266" t="s">
        <v>62</v>
      </c>
      <c r="E26" s="269"/>
      <c r="F26" s="439">
        <f>'GS&lt;50 (1,000kWh)'!F26</f>
        <v>4.33</v>
      </c>
      <c r="G26" s="257">
        <v>1</v>
      </c>
      <c r="H26" s="258">
        <f aca="true" t="shared" si="0" ref="H26:H40">G26*F26</f>
        <v>4.33</v>
      </c>
      <c r="I26" s="259"/>
      <c r="J26" s="439">
        <v>4.33</v>
      </c>
      <c r="K26" s="260">
        <v>1</v>
      </c>
      <c r="L26" s="258">
        <f aca="true" t="shared" si="1" ref="L26:L40">K26*J26</f>
        <v>4.33</v>
      </c>
      <c r="M26" s="259"/>
      <c r="N26" s="261">
        <f aca="true" t="shared" si="2" ref="N26:N71">L26-H26</f>
        <v>0</v>
      </c>
      <c r="O26" s="262">
        <f aca="true" t="shared" si="3" ref="O26:O50">IF((H26)=0,"",(N26/H26))</f>
        <v>0</v>
      </c>
    </row>
    <row r="27" spans="2:15" s="252" customFormat="1" ht="16.5" customHeight="1" hidden="1">
      <c r="B27" s="425" t="s">
        <v>65</v>
      </c>
      <c r="C27" s="253"/>
      <c r="D27" s="254" t="s">
        <v>62</v>
      </c>
      <c r="E27" s="255"/>
      <c r="F27" s="289">
        <f>'GS&lt;50 (1,000kWh)'!F27</f>
        <v>0</v>
      </c>
      <c r="G27" s="257">
        <v>1</v>
      </c>
      <c r="H27" s="258">
        <f t="shared" si="0"/>
        <v>0</v>
      </c>
      <c r="I27" s="259"/>
      <c r="J27" s="289">
        <v>0</v>
      </c>
      <c r="K27" s="260">
        <v>1</v>
      </c>
      <c r="L27" s="258">
        <f t="shared" si="1"/>
        <v>0</v>
      </c>
      <c r="M27" s="259"/>
      <c r="N27" s="261">
        <f t="shared" si="2"/>
        <v>0</v>
      </c>
      <c r="O27" s="262">
        <f t="shared" si="3"/>
      </c>
    </row>
    <row r="28" spans="2:15" s="252" customFormat="1" ht="15" hidden="1">
      <c r="B28" s="426" t="s">
        <v>66</v>
      </c>
      <c r="C28" s="253"/>
      <c r="D28" s="254" t="s">
        <v>63</v>
      </c>
      <c r="E28" s="255"/>
      <c r="F28" s="289">
        <v>0</v>
      </c>
      <c r="G28" s="257">
        <f aca="true" t="shared" si="4" ref="G28:G33">$F$18</f>
        <v>10000</v>
      </c>
      <c r="H28" s="258">
        <f t="shared" si="0"/>
        <v>0</v>
      </c>
      <c r="I28" s="259"/>
      <c r="J28" s="289"/>
      <c r="K28" s="257">
        <f>$F$18</f>
        <v>10000</v>
      </c>
      <c r="L28" s="258">
        <f t="shared" si="1"/>
        <v>0</v>
      </c>
      <c r="M28" s="259"/>
      <c r="N28" s="261">
        <f t="shared" si="2"/>
        <v>0</v>
      </c>
      <c r="O28" s="262">
        <f t="shared" si="3"/>
      </c>
    </row>
    <row r="29" spans="2:15" s="252" customFormat="1" ht="15">
      <c r="B29" s="253" t="s">
        <v>110</v>
      </c>
      <c r="C29" s="253"/>
      <c r="D29" s="254" t="s">
        <v>63</v>
      </c>
      <c r="E29" s="255"/>
      <c r="F29" s="440">
        <f>'GS&lt;50 (1,000kWh)'!F29</f>
        <v>0</v>
      </c>
      <c r="G29" s="257">
        <f t="shared" si="4"/>
        <v>10000</v>
      </c>
      <c r="H29" s="258">
        <f t="shared" si="0"/>
        <v>0</v>
      </c>
      <c r="I29" s="259"/>
      <c r="J29" s="487">
        <f>'GS&lt;50 (1,000kWh)'!J29</f>
        <v>0</v>
      </c>
      <c r="K29" s="257">
        <f>$F$18</f>
        <v>10000</v>
      </c>
      <c r="L29" s="258">
        <f t="shared" si="1"/>
        <v>0</v>
      </c>
      <c r="M29" s="259"/>
      <c r="N29" s="261">
        <f t="shared" si="2"/>
        <v>0</v>
      </c>
      <c r="O29" s="262">
        <f t="shared" si="3"/>
      </c>
    </row>
    <row r="30" spans="2:15" s="252" customFormat="1" ht="15" hidden="1">
      <c r="B30" s="426" t="s">
        <v>93</v>
      </c>
      <c r="C30" s="253"/>
      <c r="D30" s="254" t="s">
        <v>63</v>
      </c>
      <c r="E30" s="255"/>
      <c r="F30" s="289">
        <f>'GS&lt;50 (1,000kWh)'!F30</f>
        <v>0</v>
      </c>
      <c r="G30" s="257">
        <f t="shared" si="4"/>
        <v>10000</v>
      </c>
      <c r="H30" s="258">
        <f t="shared" si="0"/>
        <v>0</v>
      </c>
      <c r="I30" s="259"/>
      <c r="J30" s="289">
        <f>'GS&lt;50 (1,000kWh)'!J30</f>
        <v>0</v>
      </c>
      <c r="K30" s="257">
        <f>$F$18</f>
        <v>10000</v>
      </c>
      <c r="L30" s="258">
        <f t="shared" si="1"/>
        <v>0</v>
      </c>
      <c r="M30" s="259"/>
      <c r="N30" s="261">
        <f>L30-H30</f>
        <v>0</v>
      </c>
      <c r="O30" s="262">
        <f t="shared" si="3"/>
      </c>
    </row>
    <row r="31" spans="2:15" s="252" customFormat="1" ht="15">
      <c r="B31" s="255" t="s">
        <v>21</v>
      </c>
      <c r="C31" s="253"/>
      <c r="D31" s="254" t="s">
        <v>63</v>
      </c>
      <c r="E31" s="255"/>
      <c r="F31" s="289">
        <f>'GS&lt;50 (1,000kWh)'!F31</f>
        <v>0.018</v>
      </c>
      <c r="G31" s="257">
        <f t="shared" si="4"/>
        <v>10000</v>
      </c>
      <c r="H31" s="258">
        <f t="shared" si="0"/>
        <v>180</v>
      </c>
      <c r="I31" s="259"/>
      <c r="J31" s="289">
        <f>'GS&lt;50 (1,000kWh)'!J31</f>
        <v>0.018</v>
      </c>
      <c r="K31" s="257">
        <f>$F$18</f>
        <v>10000</v>
      </c>
      <c r="L31" s="258">
        <f t="shared" si="1"/>
        <v>180</v>
      </c>
      <c r="M31" s="259"/>
      <c r="N31" s="261">
        <f t="shared" si="2"/>
        <v>0</v>
      </c>
      <c r="O31" s="262">
        <f t="shared" si="3"/>
        <v>0</v>
      </c>
    </row>
    <row r="32" spans="2:15" s="252" customFormat="1" ht="15" hidden="1">
      <c r="B32" s="253" t="s">
        <v>22</v>
      </c>
      <c r="C32" s="253"/>
      <c r="D32" s="254"/>
      <c r="E32" s="255"/>
      <c r="F32" s="289"/>
      <c r="G32" s="257">
        <f t="shared" si="4"/>
        <v>10000</v>
      </c>
      <c r="H32" s="258">
        <f t="shared" si="0"/>
        <v>0</v>
      </c>
      <c r="I32" s="259"/>
      <c r="J32" s="289"/>
      <c r="K32" s="257">
        <f aca="true" t="shared" si="5" ref="K32:K40">$F$18</f>
        <v>10000</v>
      </c>
      <c r="L32" s="258">
        <f t="shared" si="1"/>
        <v>0</v>
      </c>
      <c r="M32" s="259"/>
      <c r="N32" s="261">
        <f t="shared" si="2"/>
        <v>0</v>
      </c>
      <c r="O32" s="262">
        <f t="shared" si="3"/>
      </c>
    </row>
    <row r="33" spans="2:15" s="252" customFormat="1" ht="15" hidden="1">
      <c r="B33" s="253" t="s">
        <v>110</v>
      </c>
      <c r="C33" s="253"/>
      <c r="D33" s="254" t="s">
        <v>63</v>
      </c>
      <c r="E33" s="255"/>
      <c r="F33" s="289">
        <v>0</v>
      </c>
      <c r="G33" s="257">
        <f t="shared" si="4"/>
        <v>10000</v>
      </c>
      <c r="H33" s="258">
        <f t="shared" si="0"/>
        <v>0</v>
      </c>
      <c r="I33" s="259"/>
      <c r="J33" s="289">
        <f>'GS&lt;50 (1,000kWh)'!$J33</f>
        <v>0</v>
      </c>
      <c r="K33" s="257">
        <f t="shared" si="5"/>
        <v>10000</v>
      </c>
      <c r="L33" s="258">
        <f t="shared" si="1"/>
        <v>0</v>
      </c>
      <c r="M33" s="259"/>
      <c r="N33" s="261">
        <f t="shared" si="2"/>
        <v>0</v>
      </c>
      <c r="O33" s="262">
        <f t="shared" si="3"/>
      </c>
    </row>
    <row r="34" spans="2:15" s="252" customFormat="1" ht="15" hidden="1">
      <c r="B34" s="273"/>
      <c r="C34" s="253"/>
      <c r="D34" s="254"/>
      <c r="E34" s="255"/>
      <c r="F34" s="270"/>
      <c r="G34" s="257">
        <f aca="true" t="shared" si="6" ref="G34:G40">$F$18</f>
        <v>10000</v>
      </c>
      <c r="H34" s="258">
        <f t="shared" si="0"/>
        <v>0</v>
      </c>
      <c r="I34" s="259"/>
      <c r="J34" s="270"/>
      <c r="K34" s="257">
        <f t="shared" si="5"/>
        <v>10000</v>
      </c>
      <c r="L34" s="258">
        <f t="shared" si="1"/>
        <v>0</v>
      </c>
      <c r="M34" s="259"/>
      <c r="N34" s="272">
        <f t="shared" si="2"/>
        <v>0</v>
      </c>
      <c r="O34" s="262">
        <f t="shared" si="3"/>
      </c>
    </row>
    <row r="35" spans="2:15" s="252" customFormat="1" ht="15" hidden="1">
      <c r="B35" s="273"/>
      <c r="C35" s="253"/>
      <c r="D35" s="254"/>
      <c r="E35" s="255"/>
      <c r="F35" s="270"/>
      <c r="G35" s="257">
        <f t="shared" si="6"/>
        <v>10000</v>
      </c>
      <c r="H35" s="258">
        <f t="shared" si="0"/>
        <v>0</v>
      </c>
      <c r="I35" s="259"/>
      <c r="J35" s="270"/>
      <c r="K35" s="257">
        <f t="shared" si="5"/>
        <v>10000</v>
      </c>
      <c r="L35" s="258">
        <f t="shared" si="1"/>
        <v>0</v>
      </c>
      <c r="M35" s="259"/>
      <c r="N35" s="272">
        <f t="shared" si="2"/>
        <v>0</v>
      </c>
      <c r="O35" s="262">
        <f t="shared" si="3"/>
      </c>
    </row>
    <row r="36" spans="2:15" s="252" customFormat="1" ht="15" hidden="1">
      <c r="B36" s="273"/>
      <c r="C36" s="253"/>
      <c r="D36" s="254"/>
      <c r="E36" s="255"/>
      <c r="F36" s="270"/>
      <c r="G36" s="257">
        <f t="shared" si="6"/>
        <v>10000</v>
      </c>
      <c r="H36" s="258">
        <f t="shared" si="0"/>
        <v>0</v>
      </c>
      <c r="I36" s="259"/>
      <c r="J36" s="270"/>
      <c r="K36" s="257">
        <f t="shared" si="5"/>
        <v>10000</v>
      </c>
      <c r="L36" s="258">
        <f t="shared" si="1"/>
        <v>0</v>
      </c>
      <c r="M36" s="259"/>
      <c r="N36" s="272">
        <f t="shared" si="2"/>
        <v>0</v>
      </c>
      <c r="O36" s="262">
        <f t="shared" si="3"/>
      </c>
    </row>
    <row r="37" spans="2:15" s="252" customFormat="1" ht="15" hidden="1">
      <c r="B37" s="273"/>
      <c r="C37" s="253"/>
      <c r="D37" s="254"/>
      <c r="E37" s="255"/>
      <c r="F37" s="270"/>
      <c r="G37" s="257">
        <f t="shared" si="6"/>
        <v>10000</v>
      </c>
      <c r="H37" s="258">
        <f t="shared" si="0"/>
        <v>0</v>
      </c>
      <c r="I37" s="259"/>
      <c r="J37" s="270"/>
      <c r="K37" s="257">
        <f t="shared" si="5"/>
        <v>10000</v>
      </c>
      <c r="L37" s="258">
        <f t="shared" si="1"/>
        <v>0</v>
      </c>
      <c r="M37" s="259"/>
      <c r="N37" s="272">
        <f t="shared" si="2"/>
        <v>0</v>
      </c>
      <c r="O37" s="262">
        <f t="shared" si="3"/>
      </c>
    </row>
    <row r="38" spans="2:15" s="252" customFormat="1" ht="15" hidden="1">
      <c r="B38" s="273"/>
      <c r="C38" s="253"/>
      <c r="D38" s="254"/>
      <c r="E38" s="255"/>
      <c r="F38" s="270"/>
      <c r="G38" s="257">
        <f t="shared" si="6"/>
        <v>10000</v>
      </c>
      <c r="H38" s="258">
        <f t="shared" si="0"/>
        <v>0</v>
      </c>
      <c r="I38" s="259"/>
      <c r="J38" s="270"/>
      <c r="K38" s="257">
        <f t="shared" si="5"/>
        <v>10000</v>
      </c>
      <c r="L38" s="258">
        <f t="shared" si="1"/>
        <v>0</v>
      </c>
      <c r="M38" s="259"/>
      <c r="N38" s="272">
        <f t="shared" si="2"/>
        <v>0</v>
      </c>
      <c r="O38" s="262">
        <f t="shared" si="3"/>
      </c>
    </row>
    <row r="39" spans="2:15" s="252" customFormat="1" ht="15" hidden="1">
      <c r="B39" s="273"/>
      <c r="C39" s="253"/>
      <c r="D39" s="254"/>
      <c r="E39" s="255"/>
      <c r="F39" s="270"/>
      <c r="G39" s="257">
        <f t="shared" si="6"/>
        <v>10000</v>
      </c>
      <c r="H39" s="258">
        <f t="shared" si="0"/>
        <v>0</v>
      </c>
      <c r="I39" s="259"/>
      <c r="J39" s="270"/>
      <c r="K39" s="257">
        <f t="shared" si="5"/>
        <v>10000</v>
      </c>
      <c r="L39" s="258">
        <f t="shared" si="1"/>
        <v>0</v>
      </c>
      <c r="M39" s="259"/>
      <c r="N39" s="272">
        <f t="shared" si="2"/>
        <v>0</v>
      </c>
      <c r="O39" s="262">
        <f t="shared" si="3"/>
      </c>
    </row>
    <row r="40" spans="2:15" s="252" customFormat="1" ht="15">
      <c r="B40" s="273"/>
      <c r="C40" s="253"/>
      <c r="D40" s="254"/>
      <c r="E40" s="255"/>
      <c r="F40" s="270"/>
      <c r="G40" s="257">
        <f t="shared" si="6"/>
        <v>10000</v>
      </c>
      <c r="H40" s="258">
        <f t="shared" si="0"/>
        <v>0</v>
      </c>
      <c r="I40" s="259"/>
      <c r="J40" s="270"/>
      <c r="K40" s="257">
        <f t="shared" si="5"/>
        <v>10000</v>
      </c>
      <c r="L40" s="258">
        <f t="shared" si="1"/>
        <v>0</v>
      </c>
      <c r="M40" s="259"/>
      <c r="N40" s="272">
        <f t="shared" si="2"/>
        <v>0</v>
      </c>
      <c r="O40" s="262">
        <f t="shared" si="3"/>
      </c>
    </row>
    <row r="41" spans="2:15" s="283" customFormat="1" ht="15">
      <c r="B41" s="382" t="s">
        <v>24</v>
      </c>
      <c r="C41" s="274"/>
      <c r="D41" s="275"/>
      <c r="E41" s="274"/>
      <c r="F41" s="276"/>
      <c r="G41" s="277"/>
      <c r="H41" s="278">
        <f>SUM(H23:H40)</f>
        <v>201.69</v>
      </c>
      <c r="I41" s="279"/>
      <c r="J41" s="276"/>
      <c r="K41" s="281"/>
      <c r="L41" s="278">
        <f>SUM(L23:L40)</f>
        <v>201.69</v>
      </c>
      <c r="M41" s="279"/>
      <c r="N41" s="282">
        <f t="shared" si="2"/>
        <v>0</v>
      </c>
      <c r="O41" s="383">
        <f t="shared" si="3"/>
        <v>0</v>
      </c>
    </row>
    <row r="42" spans="2:15" s="252" customFormat="1" ht="15" hidden="1">
      <c r="B42" s="268"/>
      <c r="C42" s="253"/>
      <c r="D42" s="266" t="s">
        <v>62</v>
      </c>
      <c r="E42" s="255"/>
      <c r="F42" s="270"/>
      <c r="G42" s="257">
        <v>1</v>
      </c>
      <c r="H42" s="258">
        <f>G42*F42</f>
        <v>0</v>
      </c>
      <c r="I42" s="259"/>
      <c r="J42" s="270"/>
      <c r="K42" s="260">
        <v>1</v>
      </c>
      <c r="L42" s="258">
        <f>K42*J42</f>
        <v>0</v>
      </c>
      <c r="M42" s="259"/>
      <c r="N42" s="272">
        <f>L42-H42</f>
        <v>0</v>
      </c>
      <c r="O42" s="262">
        <f>IF((H42)=0,"",(N42/H42))</f>
      </c>
    </row>
    <row r="43" spans="2:15" s="252" customFormat="1" ht="15">
      <c r="B43" s="426" t="s">
        <v>25</v>
      </c>
      <c r="C43" s="253"/>
      <c r="D43" s="266" t="s">
        <v>63</v>
      </c>
      <c r="E43" s="269"/>
      <c r="F43" s="462">
        <f>'GS&lt;50 (1,000kWh)'!F43</f>
        <v>-0.0071</v>
      </c>
      <c r="G43" s="257">
        <f aca="true" t="shared" si="7" ref="G43:G49">$F$18</f>
        <v>10000</v>
      </c>
      <c r="H43" s="258">
        <f aca="true" t="shared" si="8" ref="H43:H51">G43*F43</f>
        <v>-71</v>
      </c>
      <c r="I43" s="259"/>
      <c r="J43" s="442">
        <f>'GS&lt;50 (1,000kWh)'!J43</f>
        <v>0.0021</v>
      </c>
      <c r="K43" s="257">
        <f aca="true" t="shared" si="9" ref="K43:K49">$F$18</f>
        <v>10000</v>
      </c>
      <c r="L43" s="258">
        <f aca="true" t="shared" si="10" ref="L43:L51">K43*J43</f>
        <v>21</v>
      </c>
      <c r="M43" s="259"/>
      <c r="N43" s="261">
        <f t="shared" si="2"/>
        <v>92</v>
      </c>
      <c r="O43" s="262">
        <f t="shared" si="3"/>
        <v>-1.295774647887324</v>
      </c>
    </row>
    <row r="44" spans="2:15" s="252" customFormat="1" ht="14.25" customHeight="1" hidden="1">
      <c r="B44" s="426"/>
      <c r="C44" s="253"/>
      <c r="D44" s="254" t="s">
        <v>63</v>
      </c>
      <c r="E44" s="255"/>
      <c r="F44" s="289"/>
      <c r="G44" s="257">
        <f t="shared" si="7"/>
        <v>10000</v>
      </c>
      <c r="H44" s="258">
        <f t="shared" si="8"/>
        <v>0</v>
      </c>
      <c r="I44" s="285"/>
      <c r="J44" s="289"/>
      <c r="K44" s="257">
        <f t="shared" si="9"/>
        <v>10000</v>
      </c>
      <c r="L44" s="258">
        <f t="shared" si="10"/>
        <v>0</v>
      </c>
      <c r="M44" s="286"/>
      <c r="N44" s="261">
        <f t="shared" si="2"/>
        <v>0</v>
      </c>
      <c r="O44" s="262">
        <f t="shared" si="3"/>
      </c>
    </row>
    <row r="45" spans="2:15" s="252" customFormat="1" ht="15" hidden="1">
      <c r="B45" s="426"/>
      <c r="C45" s="253"/>
      <c r="D45" s="254" t="s">
        <v>63</v>
      </c>
      <c r="E45" s="255"/>
      <c r="F45" s="289"/>
      <c r="G45" s="257">
        <f t="shared" si="7"/>
        <v>10000</v>
      </c>
      <c r="H45" s="258">
        <f t="shared" si="8"/>
        <v>0</v>
      </c>
      <c r="I45" s="285"/>
      <c r="J45" s="289"/>
      <c r="K45" s="257">
        <f t="shared" si="9"/>
        <v>10000</v>
      </c>
      <c r="L45" s="258">
        <f t="shared" si="10"/>
        <v>0</v>
      </c>
      <c r="M45" s="286"/>
      <c r="N45" s="261">
        <f t="shared" si="2"/>
        <v>0</v>
      </c>
      <c r="O45" s="262">
        <f t="shared" si="3"/>
      </c>
    </row>
    <row r="46" spans="2:15" s="252" customFormat="1" ht="15" hidden="1">
      <c r="B46" s="426"/>
      <c r="C46" s="253"/>
      <c r="D46" s="254"/>
      <c r="E46" s="255"/>
      <c r="F46" s="289"/>
      <c r="G46" s="257">
        <f t="shared" si="7"/>
        <v>10000</v>
      </c>
      <c r="H46" s="258">
        <f t="shared" si="8"/>
        <v>0</v>
      </c>
      <c r="I46" s="285"/>
      <c r="J46" s="289"/>
      <c r="K46" s="257">
        <f t="shared" si="9"/>
        <v>10000</v>
      </c>
      <c r="L46" s="258">
        <f t="shared" si="10"/>
        <v>0</v>
      </c>
      <c r="M46" s="286"/>
      <c r="N46" s="261">
        <f t="shared" si="2"/>
        <v>0</v>
      </c>
      <c r="O46" s="262">
        <f t="shared" si="3"/>
      </c>
    </row>
    <row r="47" spans="2:15" s="252" customFormat="1" ht="15" hidden="1">
      <c r="B47" s="426" t="s">
        <v>66</v>
      </c>
      <c r="C47" s="253"/>
      <c r="D47" s="254" t="s">
        <v>63</v>
      </c>
      <c r="E47" s="255"/>
      <c r="F47" s="289">
        <f>'GS&lt;50 (1,000kWh)'!F47</f>
        <v>0</v>
      </c>
      <c r="G47" s="257">
        <f t="shared" si="7"/>
        <v>10000</v>
      </c>
      <c r="H47" s="258">
        <f t="shared" si="8"/>
        <v>0</v>
      </c>
      <c r="I47" s="259"/>
      <c r="J47" s="289">
        <v>0</v>
      </c>
      <c r="K47" s="257">
        <f t="shared" si="9"/>
        <v>10000</v>
      </c>
      <c r="L47" s="258">
        <f t="shared" si="10"/>
        <v>0</v>
      </c>
      <c r="M47" s="259"/>
      <c r="N47" s="261">
        <f>L47-H47</f>
        <v>0</v>
      </c>
      <c r="O47" s="262">
        <f>IF((H47)=0,"",(N47/H47))</f>
      </c>
    </row>
    <row r="48" spans="2:15" s="252" customFormat="1" ht="15" hidden="1">
      <c r="B48" s="253" t="s">
        <v>110</v>
      </c>
      <c r="C48" s="253"/>
      <c r="D48" s="254" t="s">
        <v>63</v>
      </c>
      <c r="E48" s="255"/>
      <c r="F48" s="289">
        <f>'GS&lt;50 (1,000kWh)'!F48</f>
        <v>0</v>
      </c>
      <c r="G48" s="257">
        <f t="shared" si="7"/>
        <v>10000</v>
      </c>
      <c r="H48" s="258">
        <f t="shared" si="8"/>
        <v>0</v>
      </c>
      <c r="I48" s="259"/>
      <c r="J48" s="289">
        <f>'GS&lt;50 (1,000kWh)'!$J48</f>
        <v>0</v>
      </c>
      <c r="K48" s="257">
        <f t="shared" si="9"/>
        <v>10000</v>
      </c>
      <c r="L48" s="258">
        <f t="shared" si="10"/>
        <v>0</v>
      </c>
      <c r="M48" s="259"/>
      <c r="N48" s="261">
        <f>L48-H48</f>
        <v>0</v>
      </c>
      <c r="O48" s="262">
        <f t="shared" si="3"/>
      </c>
    </row>
    <row r="49" spans="2:15" s="252" customFormat="1" ht="15">
      <c r="B49" s="384" t="s">
        <v>26</v>
      </c>
      <c r="C49" s="253"/>
      <c r="D49" s="254" t="s">
        <v>63</v>
      </c>
      <c r="E49" s="255"/>
      <c r="F49" s="289">
        <f>'GS&lt;50 (1,000kWh)'!F49</f>
        <v>0.0024</v>
      </c>
      <c r="G49" s="257">
        <f t="shared" si="7"/>
        <v>10000</v>
      </c>
      <c r="H49" s="258">
        <f t="shared" si="8"/>
        <v>23.999999999999996</v>
      </c>
      <c r="I49" s="259"/>
      <c r="J49" s="289">
        <f>'GS&lt;50 (1,000kWh)'!J49</f>
        <v>0.0024</v>
      </c>
      <c r="K49" s="257">
        <f t="shared" si="9"/>
        <v>10000</v>
      </c>
      <c r="L49" s="258">
        <f t="shared" si="10"/>
        <v>23.999999999999996</v>
      </c>
      <c r="M49" s="259"/>
      <c r="N49" s="261">
        <f t="shared" si="2"/>
        <v>0</v>
      </c>
      <c r="O49" s="262">
        <f t="shared" si="3"/>
        <v>0</v>
      </c>
    </row>
    <row r="50" spans="2:15" s="283" customFormat="1" ht="15">
      <c r="B50" s="385" t="s">
        <v>27</v>
      </c>
      <c r="C50" s="255"/>
      <c r="D50" s="254" t="s">
        <v>63</v>
      </c>
      <c r="E50" s="255"/>
      <c r="F50" s="289">
        <f>IF(ISBLANK(D16)=TRUE,0,IF(D16="TOU",0.64*$F$61+0.18*$F$62+0.18*$F$63,IF(AND(D16="non-TOU",G65&gt;0),F65,F64)))</f>
        <v>0.10214000000000001</v>
      </c>
      <c r="G50" s="257">
        <f>$F$18*(1+$F$80)-$F$18</f>
        <v>495.0000000000018</v>
      </c>
      <c r="H50" s="290">
        <f t="shared" si="8"/>
        <v>50.55930000000019</v>
      </c>
      <c r="I50" s="269"/>
      <c r="J50" s="289">
        <f>0.64*$F$61+0.18*$F$62+0.18*$F$63</f>
        <v>0.10214000000000001</v>
      </c>
      <c r="K50" s="257">
        <f>$F$18*(1+$J$80)-$F$18</f>
        <v>495.0000000000018</v>
      </c>
      <c r="L50" s="290">
        <f t="shared" si="10"/>
        <v>50.55930000000019</v>
      </c>
      <c r="M50" s="269"/>
      <c r="N50" s="261">
        <f t="shared" si="2"/>
        <v>0</v>
      </c>
      <c r="O50" s="291">
        <f t="shared" si="3"/>
        <v>0</v>
      </c>
    </row>
    <row r="51" spans="2:15" s="252" customFormat="1" ht="15">
      <c r="B51" s="384" t="s">
        <v>28</v>
      </c>
      <c r="C51" s="253"/>
      <c r="D51" s="254" t="s">
        <v>62</v>
      </c>
      <c r="E51" s="255"/>
      <c r="F51" s="437">
        <f>'GS&lt;50 (1,000kWh)'!F51</f>
        <v>0.79</v>
      </c>
      <c r="G51" s="257">
        <v>1</v>
      </c>
      <c r="H51" s="258">
        <f t="shared" si="8"/>
        <v>0.79</v>
      </c>
      <c r="I51" s="259"/>
      <c r="J51" s="292">
        <v>0.79</v>
      </c>
      <c r="K51" s="257">
        <v>1</v>
      </c>
      <c r="L51" s="258">
        <f t="shared" si="10"/>
        <v>0.79</v>
      </c>
      <c r="M51" s="259"/>
      <c r="N51" s="261">
        <f t="shared" si="2"/>
        <v>0</v>
      </c>
      <c r="O51" s="262"/>
    </row>
    <row r="52" spans="2:15" s="252" customFormat="1" ht="15">
      <c r="B52" s="386" t="s">
        <v>29</v>
      </c>
      <c r="C52" s="293"/>
      <c r="D52" s="293"/>
      <c r="E52" s="293"/>
      <c r="F52" s="463"/>
      <c r="G52" s="294"/>
      <c r="H52" s="295">
        <f>SUM(H42:H51)+H41</f>
        <v>206.0393000000002</v>
      </c>
      <c r="I52" s="279"/>
      <c r="J52" s="84"/>
      <c r="K52" s="296"/>
      <c r="L52" s="295">
        <f>SUM(L42:L51)+L41</f>
        <v>298.0393000000002</v>
      </c>
      <c r="M52" s="279"/>
      <c r="N52" s="282">
        <f t="shared" si="2"/>
        <v>92</v>
      </c>
      <c r="O52" s="383">
        <f aca="true" t="shared" si="11" ref="O52:O71">IF((H52)=0,"",(N52/H52))</f>
        <v>0.4465167567546575</v>
      </c>
    </row>
    <row r="53" spans="2:15" s="252" customFormat="1" ht="15">
      <c r="B53" s="259" t="s">
        <v>30</v>
      </c>
      <c r="C53" s="259"/>
      <c r="D53" s="266" t="s">
        <v>63</v>
      </c>
      <c r="E53" s="269"/>
      <c r="F53" s="287">
        <f>'GS&lt;50 (1,000kWh)'!F53</f>
        <v>0.0044</v>
      </c>
      <c r="G53" s="485">
        <f>F18*(1+F80)</f>
        <v>10495.000000000002</v>
      </c>
      <c r="H53" s="258">
        <f>G53*F53</f>
        <v>46.17800000000001</v>
      </c>
      <c r="I53" s="259"/>
      <c r="J53" s="287">
        <f>'GS&lt;50 (1,000kWh)'!J53</f>
        <v>0.0048</v>
      </c>
      <c r="K53" s="486">
        <f>F18*(1+J80)</f>
        <v>10495.000000000002</v>
      </c>
      <c r="L53" s="258">
        <f>K53*J53</f>
        <v>50.376000000000005</v>
      </c>
      <c r="M53" s="259"/>
      <c r="N53" s="261">
        <f t="shared" si="2"/>
        <v>4.197999999999993</v>
      </c>
      <c r="O53" s="262">
        <f t="shared" si="11"/>
        <v>0.09090909090909075</v>
      </c>
    </row>
    <row r="54" spans="2:15" s="252" customFormat="1" ht="15">
      <c r="B54" s="298" t="s">
        <v>31</v>
      </c>
      <c r="C54" s="259"/>
      <c r="D54" s="266" t="s">
        <v>63</v>
      </c>
      <c r="E54" s="269"/>
      <c r="F54" s="287">
        <f>'GS&lt;50 (1,000kWh)'!F54</f>
        <v>0.0017</v>
      </c>
      <c r="G54" s="485">
        <f>G53</f>
        <v>10495.000000000002</v>
      </c>
      <c r="H54" s="258">
        <f>G54*F54</f>
        <v>17.841500000000003</v>
      </c>
      <c r="I54" s="259"/>
      <c r="J54" s="287">
        <f>'GS&lt;50 (1,000kWh)'!J54</f>
        <v>0.0027</v>
      </c>
      <c r="K54" s="486">
        <f>K53</f>
        <v>10495.000000000002</v>
      </c>
      <c r="L54" s="258">
        <f>K54*J54</f>
        <v>28.336500000000008</v>
      </c>
      <c r="M54" s="259"/>
      <c r="N54" s="261">
        <f t="shared" si="2"/>
        <v>10.495000000000005</v>
      </c>
      <c r="O54" s="262">
        <f t="shared" si="11"/>
        <v>0.5882352941176472</v>
      </c>
    </row>
    <row r="55" spans="2:15" s="252" customFormat="1" ht="15">
      <c r="B55" s="386" t="s">
        <v>32</v>
      </c>
      <c r="C55" s="274"/>
      <c r="D55" s="274"/>
      <c r="E55" s="274"/>
      <c r="F55" s="464"/>
      <c r="G55" s="294"/>
      <c r="H55" s="295">
        <f>SUM(H52:H54)</f>
        <v>270.0588000000002</v>
      </c>
      <c r="I55" s="299"/>
      <c r="J55" s="85"/>
      <c r="K55" s="301"/>
      <c r="L55" s="295">
        <f>SUM(L52:L54)</f>
        <v>376.75180000000023</v>
      </c>
      <c r="M55" s="299"/>
      <c r="N55" s="282">
        <f t="shared" si="2"/>
        <v>106.69300000000004</v>
      </c>
      <c r="O55" s="383">
        <f t="shared" si="11"/>
        <v>0.3950732210911104</v>
      </c>
    </row>
    <row r="56" spans="2:15" s="252" customFormat="1" ht="15">
      <c r="B56" s="265" t="s">
        <v>33</v>
      </c>
      <c r="C56" s="253"/>
      <c r="D56" s="254" t="s">
        <v>63</v>
      </c>
      <c r="E56" s="255"/>
      <c r="F56" s="289">
        <f>'GS&lt;50 (1,000kWh)'!F56</f>
        <v>0.0044</v>
      </c>
      <c r="G56" s="485">
        <f>G54</f>
        <v>10495.000000000002</v>
      </c>
      <c r="H56" s="258">
        <f aca="true" t="shared" si="12" ref="H56:H63">G56*F56</f>
        <v>46.17800000000001</v>
      </c>
      <c r="I56" s="259"/>
      <c r="J56" s="476">
        <f>'GS&lt;50 (1,000kWh)'!J56</f>
        <v>0.0036</v>
      </c>
      <c r="K56" s="486">
        <f>K54</f>
        <v>10495.000000000002</v>
      </c>
      <c r="L56" s="258">
        <f aca="true" t="shared" si="13" ref="L56:L63">K56*J56</f>
        <v>37.782000000000004</v>
      </c>
      <c r="M56" s="259"/>
      <c r="N56" s="261">
        <f t="shared" si="2"/>
        <v>-8.396000000000008</v>
      </c>
      <c r="O56" s="262">
        <f t="shared" si="11"/>
        <v>-0.18181818181818193</v>
      </c>
    </row>
    <row r="57" spans="2:15" s="252" customFormat="1" ht="15">
      <c r="B57" s="265" t="s">
        <v>34</v>
      </c>
      <c r="C57" s="253"/>
      <c r="D57" s="254" t="s">
        <v>63</v>
      </c>
      <c r="E57" s="255"/>
      <c r="F57" s="289">
        <f>'GS&lt;50 (1,000kWh)'!F57</f>
        <v>0.0013</v>
      </c>
      <c r="G57" s="485">
        <f>G54</f>
        <v>10495.000000000002</v>
      </c>
      <c r="H57" s="258">
        <f t="shared" si="12"/>
        <v>13.643500000000001</v>
      </c>
      <c r="I57" s="259"/>
      <c r="J57" s="289">
        <f>'GS&lt;50 (1,000kWh)'!J57</f>
        <v>0.0013</v>
      </c>
      <c r="K57" s="486">
        <f>K54</f>
        <v>10495.000000000002</v>
      </c>
      <c r="L57" s="258">
        <f t="shared" si="13"/>
        <v>13.643500000000001</v>
      </c>
      <c r="M57" s="259"/>
      <c r="N57" s="261">
        <f t="shared" si="2"/>
        <v>0</v>
      </c>
      <c r="O57" s="262">
        <f t="shared" si="11"/>
        <v>0</v>
      </c>
    </row>
    <row r="58" spans="2:15" s="252" customFormat="1" ht="15">
      <c r="B58" s="265" t="s">
        <v>121</v>
      </c>
      <c r="C58" s="253"/>
      <c r="D58" s="254" t="s">
        <v>63</v>
      </c>
      <c r="E58" s="255"/>
      <c r="F58" s="289">
        <f>'GS&lt;50 (1,000kWh)'!F58</f>
        <v>0</v>
      </c>
      <c r="G58" s="485">
        <f>G54</f>
        <v>10495.000000000002</v>
      </c>
      <c r="H58" s="258">
        <f t="shared" si="12"/>
        <v>0</v>
      </c>
      <c r="I58" s="259"/>
      <c r="J58" s="476">
        <f>'GS&lt;50 (1,000kWh)'!J58</f>
        <v>0.0011</v>
      </c>
      <c r="K58" s="486">
        <f>K54</f>
        <v>10495.000000000002</v>
      </c>
      <c r="L58" s="258">
        <f t="shared" si="13"/>
        <v>11.544500000000003</v>
      </c>
      <c r="M58" s="259"/>
      <c r="N58" s="261">
        <f t="shared" si="2"/>
        <v>11.544500000000003</v>
      </c>
      <c r="O58" s="262">
        <f t="shared" si="11"/>
      </c>
    </row>
    <row r="59" spans="2:15" s="252" customFormat="1" ht="15">
      <c r="B59" s="253" t="s">
        <v>35</v>
      </c>
      <c r="C59" s="253"/>
      <c r="D59" s="254" t="s">
        <v>62</v>
      </c>
      <c r="E59" s="255"/>
      <c r="F59" s="437">
        <f>'GS&lt;50 (1,000kWh)'!F59</f>
        <v>0.25</v>
      </c>
      <c r="G59" s="257">
        <v>1</v>
      </c>
      <c r="H59" s="258">
        <f t="shared" si="12"/>
        <v>0.25</v>
      </c>
      <c r="I59" s="259"/>
      <c r="J59" s="437">
        <f>'GS&lt;50 (1,000kWh)'!J59</f>
        <v>0.25</v>
      </c>
      <c r="K59" s="260">
        <v>1</v>
      </c>
      <c r="L59" s="258">
        <f t="shared" si="13"/>
        <v>0.25</v>
      </c>
      <c r="M59" s="259"/>
      <c r="N59" s="261">
        <f t="shared" si="2"/>
        <v>0</v>
      </c>
      <c r="O59" s="262">
        <f t="shared" si="11"/>
        <v>0</v>
      </c>
    </row>
    <row r="60" spans="2:15" s="252" customFormat="1" ht="15">
      <c r="B60" s="253" t="s">
        <v>36</v>
      </c>
      <c r="C60" s="253"/>
      <c r="D60" s="254" t="s">
        <v>63</v>
      </c>
      <c r="E60" s="255"/>
      <c r="F60" s="289">
        <f>'GS&lt;50 (1,000kWh)'!F60</f>
        <v>0.007</v>
      </c>
      <c r="G60" s="302">
        <f>F18</f>
        <v>10000</v>
      </c>
      <c r="H60" s="258">
        <f t="shared" si="12"/>
        <v>70</v>
      </c>
      <c r="I60" s="259"/>
      <c r="J60" s="289">
        <f>'GS&lt;50 (1,000kWh)'!J60</f>
        <v>0.007</v>
      </c>
      <c r="K60" s="303">
        <f>F18</f>
        <v>10000</v>
      </c>
      <c r="L60" s="258">
        <f t="shared" si="13"/>
        <v>70</v>
      </c>
      <c r="M60" s="259"/>
      <c r="N60" s="261">
        <f t="shared" si="2"/>
        <v>0</v>
      </c>
      <c r="O60" s="262">
        <f t="shared" si="11"/>
        <v>0</v>
      </c>
    </row>
    <row r="61" spans="2:19" s="252" customFormat="1" ht="15">
      <c r="B61" s="384" t="s">
        <v>37</v>
      </c>
      <c r="C61" s="253"/>
      <c r="D61" s="254" t="s">
        <v>63</v>
      </c>
      <c r="E61" s="255"/>
      <c r="F61" s="289">
        <f>'GS&lt;50 (1,000kWh)'!F61</f>
        <v>0.08</v>
      </c>
      <c r="G61" s="302">
        <f>0.64*$F$18</f>
        <v>6400</v>
      </c>
      <c r="H61" s="258">
        <f t="shared" si="12"/>
        <v>512</v>
      </c>
      <c r="I61" s="259"/>
      <c r="J61" s="289">
        <f>'GS&lt;50 (1,000kWh)'!J61</f>
        <v>0.08</v>
      </c>
      <c r="K61" s="302">
        <f>G61</f>
        <v>6400</v>
      </c>
      <c r="L61" s="258">
        <f t="shared" si="13"/>
        <v>512</v>
      </c>
      <c r="M61" s="259"/>
      <c r="N61" s="261">
        <f t="shared" si="2"/>
        <v>0</v>
      </c>
      <c r="O61" s="262">
        <f t="shared" si="11"/>
        <v>0</v>
      </c>
      <c r="S61" s="304"/>
    </row>
    <row r="62" spans="2:19" s="252" customFormat="1" ht="15">
      <c r="B62" s="384" t="s">
        <v>38</v>
      </c>
      <c r="C62" s="253"/>
      <c r="D62" s="254" t="s">
        <v>63</v>
      </c>
      <c r="E62" s="255"/>
      <c r="F62" s="289">
        <f>'GS&lt;50 (1,000kWh)'!F62</f>
        <v>0.122</v>
      </c>
      <c r="G62" s="302">
        <f>0.18*$F$18</f>
        <v>1800</v>
      </c>
      <c r="H62" s="258">
        <f t="shared" si="12"/>
        <v>219.6</v>
      </c>
      <c r="I62" s="259"/>
      <c r="J62" s="289">
        <f>'GS&lt;50 (1,000kWh)'!J62</f>
        <v>0.122</v>
      </c>
      <c r="K62" s="302">
        <f>G62</f>
        <v>1800</v>
      </c>
      <c r="L62" s="258">
        <f t="shared" si="13"/>
        <v>219.6</v>
      </c>
      <c r="M62" s="259"/>
      <c r="N62" s="261">
        <f t="shared" si="2"/>
        <v>0</v>
      </c>
      <c r="O62" s="262">
        <f t="shared" si="11"/>
        <v>0</v>
      </c>
      <c r="S62" s="304"/>
    </row>
    <row r="63" spans="2:19" s="252" customFormat="1" ht="15">
      <c r="B63" s="373" t="s">
        <v>39</v>
      </c>
      <c r="C63" s="253"/>
      <c r="D63" s="254" t="s">
        <v>63</v>
      </c>
      <c r="E63" s="255"/>
      <c r="F63" s="289">
        <f>'GS&lt;50 (1,000kWh)'!F63</f>
        <v>0.161</v>
      </c>
      <c r="G63" s="302">
        <f>0.18*$F$18</f>
        <v>1800</v>
      </c>
      <c r="H63" s="258">
        <f t="shared" si="12"/>
        <v>289.8</v>
      </c>
      <c r="I63" s="259"/>
      <c r="J63" s="289">
        <f>'GS&lt;50 (1,000kWh)'!J63</f>
        <v>0.161</v>
      </c>
      <c r="K63" s="302">
        <f>G63</f>
        <v>1800</v>
      </c>
      <c r="L63" s="258">
        <f t="shared" si="13"/>
        <v>289.8</v>
      </c>
      <c r="M63" s="259"/>
      <c r="N63" s="261">
        <f t="shared" si="2"/>
        <v>0</v>
      </c>
      <c r="O63" s="262">
        <f t="shared" si="11"/>
        <v>0</v>
      </c>
      <c r="S63" s="304"/>
    </row>
    <row r="64" spans="2:15" s="390" customFormat="1" ht="15">
      <c r="B64" s="387" t="s">
        <v>40</v>
      </c>
      <c r="C64" s="387"/>
      <c r="D64" s="388" t="s">
        <v>63</v>
      </c>
      <c r="E64" s="389"/>
      <c r="F64" s="289">
        <f>'GS&lt;50 (1,000kWh)'!F64</f>
        <v>0.094</v>
      </c>
      <c r="G64" s="305">
        <f>IF(AND($T$1=1,F18&gt;=600),600,IF(AND($T$1=1,AND(F18&lt;600,F18&gt;=0)),F18,IF(AND($T$1=2,F18&gt;=1000),1000,IF(AND($T$1=2,AND(F18&lt;1000,F18&gt;=0)),F18))))</f>
        <v>600</v>
      </c>
      <c r="H64" s="258">
        <f>G64*F64</f>
        <v>56.4</v>
      </c>
      <c r="I64" s="306"/>
      <c r="J64" s="289">
        <f>'GS&lt;50 (1,000kWh)'!J64</f>
        <v>0.094</v>
      </c>
      <c r="K64" s="305">
        <f>G64</f>
        <v>600</v>
      </c>
      <c r="L64" s="258">
        <f>K64*J64</f>
        <v>56.4</v>
      </c>
      <c r="M64" s="306"/>
      <c r="N64" s="261">
        <f t="shared" si="2"/>
        <v>0</v>
      </c>
      <c r="O64" s="262">
        <f t="shared" si="11"/>
        <v>0</v>
      </c>
    </row>
    <row r="65" spans="2:15" s="390" customFormat="1" ht="15.75" thickBot="1">
      <c r="B65" s="387" t="s">
        <v>41</v>
      </c>
      <c r="C65" s="387"/>
      <c r="D65" s="388" t="s">
        <v>63</v>
      </c>
      <c r="E65" s="389"/>
      <c r="F65" s="289">
        <f>'GS&lt;50 (1,000kWh)'!F65</f>
        <v>0.11</v>
      </c>
      <c r="G65" s="305">
        <f>IF(AND($T$1=1,F18&gt;=600),F18-600,IF(AND($T$1=1,AND(F18&lt;600,F18&gt;=0)),0,IF(AND($T$1=2,F18&gt;=1000),F18-1000,IF(AND($T$1=2,AND(F18&lt;1000,F18&gt;=0)),0))))</f>
        <v>9400</v>
      </c>
      <c r="H65" s="258">
        <f>G65*F65</f>
        <v>1034</v>
      </c>
      <c r="I65" s="306"/>
      <c r="J65" s="289">
        <f>'GS&lt;50 (1,000kWh)'!J65</f>
        <v>0.11</v>
      </c>
      <c r="K65" s="305">
        <f>G65</f>
        <v>9400</v>
      </c>
      <c r="L65" s="258">
        <f>K65*J65</f>
        <v>1034</v>
      </c>
      <c r="M65" s="306"/>
      <c r="N65" s="261">
        <f t="shared" si="2"/>
        <v>0</v>
      </c>
      <c r="O65" s="262">
        <f t="shared" si="11"/>
        <v>0</v>
      </c>
    </row>
    <row r="66" spans="2:15" s="252" customFormat="1" ht="8.25" customHeight="1" thickBot="1">
      <c r="B66" s="391"/>
      <c r="C66" s="307"/>
      <c r="D66" s="308"/>
      <c r="E66" s="307"/>
      <c r="F66" s="309"/>
      <c r="G66" s="310"/>
      <c r="H66" s="311"/>
      <c r="I66" s="312"/>
      <c r="J66" s="309"/>
      <c r="K66" s="313"/>
      <c r="L66" s="311"/>
      <c r="M66" s="312"/>
      <c r="N66" s="314"/>
      <c r="O66" s="315"/>
    </row>
    <row r="67" spans="2:19" s="252" customFormat="1" ht="15">
      <c r="B67" s="392" t="s">
        <v>42</v>
      </c>
      <c r="C67" s="253"/>
      <c r="D67" s="253"/>
      <c r="E67" s="253"/>
      <c r="F67" s="316"/>
      <c r="G67" s="317"/>
      <c r="H67" s="318">
        <f>SUM(H56:H63,H55)</f>
        <v>1421.5303000000004</v>
      </c>
      <c r="I67" s="319"/>
      <c r="J67" s="320"/>
      <c r="K67" s="320"/>
      <c r="L67" s="321">
        <f>SUM(L56:L63,L55)</f>
        <v>1531.3718000000003</v>
      </c>
      <c r="M67" s="322"/>
      <c r="N67" s="429">
        <f>L67-H67</f>
        <v>109.8415</v>
      </c>
      <c r="O67" s="393">
        <f>IF((H67)=0,"",(N67/H67))</f>
        <v>0.0772698970961083</v>
      </c>
      <c r="S67" s="304"/>
    </row>
    <row r="68" spans="2:19" s="252" customFormat="1" ht="15">
      <c r="B68" s="394" t="s">
        <v>43</v>
      </c>
      <c r="C68" s="253"/>
      <c r="D68" s="253"/>
      <c r="E68" s="253"/>
      <c r="F68" s="324">
        <v>0.13</v>
      </c>
      <c r="G68" s="325"/>
      <c r="H68" s="326">
        <f>H67*F68</f>
        <v>184.79893900000005</v>
      </c>
      <c r="I68" s="327"/>
      <c r="J68" s="328">
        <v>0.13</v>
      </c>
      <c r="K68" s="327"/>
      <c r="L68" s="329">
        <f>L67*J68</f>
        <v>199.07833400000004</v>
      </c>
      <c r="M68" s="330"/>
      <c r="N68" s="430">
        <f t="shared" si="2"/>
        <v>14.279394999999994</v>
      </c>
      <c r="O68" s="395">
        <f t="shared" si="11"/>
        <v>0.07726989709610828</v>
      </c>
      <c r="S68" s="304"/>
    </row>
    <row r="69" spans="2:19" s="252" customFormat="1" ht="15">
      <c r="B69" s="396" t="s">
        <v>127</v>
      </c>
      <c r="C69" s="253"/>
      <c r="D69" s="253"/>
      <c r="E69" s="253"/>
      <c r="F69" s="331"/>
      <c r="G69" s="325"/>
      <c r="H69" s="326">
        <f>H67+H68</f>
        <v>1606.3292390000004</v>
      </c>
      <c r="I69" s="327"/>
      <c r="J69" s="327"/>
      <c r="K69" s="327"/>
      <c r="L69" s="329">
        <f>L67+L68</f>
        <v>1730.4501340000004</v>
      </c>
      <c r="M69" s="330"/>
      <c r="N69" s="430">
        <f t="shared" si="2"/>
        <v>124.12089500000002</v>
      </c>
      <c r="O69" s="395">
        <f t="shared" si="11"/>
        <v>0.07726989709610832</v>
      </c>
      <c r="S69" s="304"/>
    </row>
    <row r="70" spans="2:15" s="252" customFormat="1" ht="15.75" customHeight="1">
      <c r="B70" s="554" t="s">
        <v>128</v>
      </c>
      <c r="C70" s="554"/>
      <c r="D70" s="554"/>
      <c r="E70" s="253"/>
      <c r="F70" s="331"/>
      <c r="G70" s="325"/>
      <c r="H70" s="431">
        <f>ROUND(-H69*10%,2)</f>
        <v>-160.63</v>
      </c>
      <c r="I70" s="327"/>
      <c r="J70" s="327"/>
      <c r="K70" s="327"/>
      <c r="L70" s="458">
        <v>0</v>
      </c>
      <c r="M70" s="330"/>
      <c r="N70" s="430">
        <f t="shared" si="2"/>
        <v>160.63</v>
      </c>
      <c r="O70" s="395">
        <f t="shared" si="11"/>
        <v>-1</v>
      </c>
    </row>
    <row r="71" spans="2:15" s="252" customFormat="1" ht="15.75" thickBot="1">
      <c r="B71" s="555" t="s">
        <v>46</v>
      </c>
      <c r="C71" s="555"/>
      <c r="D71" s="555"/>
      <c r="E71" s="334"/>
      <c r="F71" s="335"/>
      <c r="G71" s="336"/>
      <c r="H71" s="337">
        <f>H69+H70</f>
        <v>1445.6992390000005</v>
      </c>
      <c r="I71" s="338"/>
      <c r="J71" s="338"/>
      <c r="K71" s="338"/>
      <c r="L71" s="339">
        <f>L69+L70</f>
        <v>1730.4501340000004</v>
      </c>
      <c r="M71" s="340"/>
      <c r="N71" s="433">
        <f t="shared" si="2"/>
        <v>284.7508949999999</v>
      </c>
      <c r="O71" s="398">
        <f t="shared" si="11"/>
        <v>0.1969641314862723</v>
      </c>
    </row>
    <row r="72" spans="2:15" s="390" customFormat="1" ht="8.25" customHeight="1" thickBot="1">
      <c r="B72" s="399"/>
      <c r="C72" s="400"/>
      <c r="D72" s="401"/>
      <c r="E72" s="400"/>
      <c r="F72" s="309"/>
      <c r="G72" s="342"/>
      <c r="H72" s="311"/>
      <c r="I72" s="343"/>
      <c r="J72" s="309"/>
      <c r="K72" s="344"/>
      <c r="L72" s="311"/>
      <c r="M72" s="343"/>
      <c r="N72" s="345"/>
      <c r="O72" s="315"/>
    </row>
    <row r="73" spans="2:15" s="390" customFormat="1" ht="15">
      <c r="B73" s="402" t="s">
        <v>47</v>
      </c>
      <c r="C73" s="387"/>
      <c r="D73" s="387"/>
      <c r="E73" s="387"/>
      <c r="F73" s="346"/>
      <c r="G73" s="347"/>
      <c r="H73" s="348">
        <f>SUM(H64:H65,H55,H56:H60)</f>
        <v>1490.5303000000004</v>
      </c>
      <c r="I73" s="349"/>
      <c r="J73" s="350"/>
      <c r="K73" s="350"/>
      <c r="L73" s="351">
        <f>SUM(L64:L65,L55,L56:L60)</f>
        <v>1600.3718000000001</v>
      </c>
      <c r="M73" s="352"/>
      <c r="N73" s="434">
        <f>L73-H73</f>
        <v>109.84149999999977</v>
      </c>
      <c r="O73" s="393">
        <f>IF((H73)=0,"",(N73/H73))</f>
        <v>0.0736928997686258</v>
      </c>
    </row>
    <row r="74" spans="2:15" s="390" customFormat="1" ht="15">
      <c r="B74" s="403" t="s">
        <v>43</v>
      </c>
      <c r="C74" s="387"/>
      <c r="D74" s="387"/>
      <c r="E74" s="387"/>
      <c r="F74" s="353">
        <v>0.13</v>
      </c>
      <c r="G74" s="347"/>
      <c r="H74" s="354">
        <f>H73*F74</f>
        <v>193.76893900000005</v>
      </c>
      <c r="I74" s="355"/>
      <c r="J74" s="353">
        <v>0.13</v>
      </c>
      <c r="K74" s="356"/>
      <c r="L74" s="357">
        <f>L73*J74</f>
        <v>208.048334</v>
      </c>
      <c r="M74" s="358"/>
      <c r="N74" s="435">
        <f>L74-H74</f>
        <v>14.279394999999965</v>
      </c>
      <c r="O74" s="395">
        <f>IF((H74)=0,"",(N74/H74))</f>
        <v>0.07369289976862578</v>
      </c>
    </row>
    <row r="75" spans="2:15" s="390" customFormat="1" ht="15">
      <c r="B75" s="404" t="s">
        <v>127</v>
      </c>
      <c r="C75" s="387"/>
      <c r="D75" s="387"/>
      <c r="E75" s="387"/>
      <c r="F75" s="359"/>
      <c r="G75" s="358"/>
      <c r="H75" s="354">
        <f>H73+H74</f>
        <v>1684.2992390000004</v>
      </c>
      <c r="I75" s="355"/>
      <c r="J75" s="355"/>
      <c r="K75" s="355"/>
      <c r="L75" s="357">
        <f>L73+L74</f>
        <v>1808.4201340000002</v>
      </c>
      <c r="M75" s="358"/>
      <c r="N75" s="435">
        <f>L75-H75</f>
        <v>124.12089499999979</v>
      </c>
      <c r="O75" s="395">
        <f>IF((H75)=0,"",(N75/H75))</f>
        <v>0.07369289976862584</v>
      </c>
    </row>
    <row r="76" spans="2:15" s="390" customFormat="1" ht="15.75" customHeight="1">
      <c r="B76" s="556" t="s">
        <v>128</v>
      </c>
      <c r="C76" s="556"/>
      <c r="D76" s="556"/>
      <c r="E76" s="387"/>
      <c r="F76" s="359"/>
      <c r="G76" s="358"/>
      <c r="H76" s="360">
        <f>ROUND(-H75*10%,2)</f>
        <v>-168.43</v>
      </c>
      <c r="I76" s="355"/>
      <c r="J76" s="355"/>
      <c r="K76" s="355"/>
      <c r="L76" s="454">
        <v>0</v>
      </c>
      <c r="M76" s="358"/>
      <c r="N76" s="435">
        <f>L76-H76</f>
        <v>168.43</v>
      </c>
      <c r="O76" s="395">
        <f>IF((H76)=0,"",(N76/H76))</f>
        <v>-1</v>
      </c>
    </row>
    <row r="77" spans="2:15" s="390" customFormat="1" ht="15.75" thickBot="1">
      <c r="B77" s="547" t="s">
        <v>48</v>
      </c>
      <c r="C77" s="547"/>
      <c r="D77" s="547"/>
      <c r="E77" s="405"/>
      <c r="F77" s="362"/>
      <c r="G77" s="363"/>
      <c r="H77" s="364">
        <f>SUM(H75:H76)</f>
        <v>1515.8692390000003</v>
      </c>
      <c r="I77" s="365"/>
      <c r="J77" s="365"/>
      <c r="K77" s="365"/>
      <c r="L77" s="366">
        <f>SUM(L75:L76)</f>
        <v>1808.4201340000002</v>
      </c>
      <c r="M77" s="367"/>
      <c r="N77" s="436">
        <f>L77-H77</f>
        <v>292.55089499999985</v>
      </c>
      <c r="O77" s="406">
        <f>IF((H77)=0,"",(N77/H77))</f>
        <v>0.19299217074488031</v>
      </c>
    </row>
    <row r="78" spans="2:15" s="390" customFormat="1" ht="8.25" customHeight="1" thickBot="1">
      <c r="B78" s="399"/>
      <c r="C78" s="400"/>
      <c r="D78" s="401"/>
      <c r="E78" s="400"/>
      <c r="F78" s="368"/>
      <c r="G78" s="407"/>
      <c r="H78" s="369"/>
      <c r="I78" s="408"/>
      <c r="J78" s="368"/>
      <c r="K78" s="342"/>
      <c r="L78" s="370"/>
      <c r="M78" s="343"/>
      <c r="N78" s="409"/>
      <c r="O78" s="315"/>
    </row>
    <row r="79" s="252" customFormat="1" ht="10.5" customHeight="1">
      <c r="L79" s="304"/>
    </row>
    <row r="80" spans="2:10" s="252" customFormat="1" ht="15">
      <c r="B80" s="410" t="s">
        <v>49</v>
      </c>
      <c r="F80" s="371">
        <v>0.0495</v>
      </c>
      <c r="J80" s="371">
        <v>0.0495</v>
      </c>
    </row>
    <row r="81" s="252" customFormat="1" ht="10.5" customHeight="1"/>
    <row r="82" spans="2:15" s="252" customFormat="1" ht="15">
      <c r="B82" s="470" t="s">
        <v>133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="252" customFormat="1" ht="10.5" customHeight="1"/>
    <row r="84" s="252" customFormat="1" ht="17.25">
      <c r="A84" s="411" t="s">
        <v>129</v>
      </c>
    </row>
    <row r="85" s="252" customFormat="1" ht="10.5" customHeight="1"/>
    <row r="86" s="252" customFormat="1" ht="15">
      <c r="A86" s="252" t="s">
        <v>51</v>
      </c>
    </row>
    <row r="87" s="252" customFormat="1" ht="15">
      <c r="A87" s="252" t="s">
        <v>52</v>
      </c>
    </row>
    <row r="88" s="252" customFormat="1" ht="15"/>
    <row r="89" s="252" customFormat="1" ht="15">
      <c r="A89" s="373" t="s">
        <v>53</v>
      </c>
    </row>
    <row r="90" s="252" customFormat="1" ht="15">
      <c r="A90" s="373" t="s">
        <v>54</v>
      </c>
    </row>
    <row r="91" s="252" customFormat="1" ht="15"/>
    <row r="92" s="252" customFormat="1" ht="15">
      <c r="A92" s="252" t="s">
        <v>55</v>
      </c>
    </row>
    <row r="93" s="252" customFormat="1" ht="15">
      <c r="A93" s="252" t="s">
        <v>56</v>
      </c>
    </row>
    <row r="94" s="252" customFormat="1" ht="15">
      <c r="A94" s="252" t="s">
        <v>57</v>
      </c>
    </row>
    <row r="95" s="252" customFormat="1" ht="15">
      <c r="A95" s="252" t="s">
        <v>58</v>
      </c>
    </row>
    <row r="96" s="252" customFormat="1" ht="15">
      <c r="A96" s="252" t="s">
        <v>59</v>
      </c>
    </row>
    <row r="97" s="252" customFormat="1" ht="15"/>
    <row r="98" spans="1:2" s="252" customFormat="1" ht="15">
      <c r="A98" s="372"/>
      <c r="B98" s="252" t="s">
        <v>60</v>
      </c>
    </row>
    <row r="99" s="252" customFormat="1" ht="15"/>
    <row r="100" s="252" customFormat="1" ht="15"/>
    <row r="101" s="252" customFormat="1" ht="15"/>
    <row r="102" s="252" customFormat="1" ht="15"/>
  </sheetData>
  <sheetProtection/>
  <mergeCells count="21">
    <mergeCell ref="B77:D77"/>
    <mergeCell ref="D21:D22"/>
    <mergeCell ref="N21:N22"/>
    <mergeCell ref="O21:O22"/>
    <mergeCell ref="B70:D70"/>
    <mergeCell ref="B71:D71"/>
    <mergeCell ref="B76:D76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8 E72 E64:E65">
      <formula1>'GS&lt;50 (10,000kWh)'!#REF!</formula1>
    </dataValidation>
    <dataValidation type="list" allowBlank="1" showInputMessage="1" showErrorMessage="1" prompt="Select Charge Unit - monthly, per kWh, per kW" sqref="D53:D54 D72 D78 D56:D66 D23:D40 D42:D51">
      <formula1>"Monthly, per kWh, per kW"</formula1>
    </dataValidation>
    <dataValidation type="list" allowBlank="1" showInputMessage="1" showErrorMessage="1" sqref="E53:E54 E42:E51 E66 E23:E40 E56:E63">
      <formula1>'GS&lt;50 (10,000kWh)'!#REF!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9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58.14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9.00390625" style="8" bestFit="1" customWidth="1"/>
    <col min="7" max="7" width="8.57421875" style="8" customWidth="1"/>
    <col min="8" max="8" width="10.5742187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10.57421875" style="8" bestFit="1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11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 s="20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12</v>
      </c>
      <c r="O4" s="523"/>
      <c r="P4" s="21"/>
    </row>
    <row r="5" spans="3:16" s="2" customFormat="1" ht="15" customHeight="1">
      <c r="C5" s="7"/>
      <c r="D5" s="7"/>
      <c r="E5" s="7"/>
      <c r="L5" s="3" t="s">
        <v>77</v>
      </c>
      <c r="N5" s="525" t="s">
        <v>88</v>
      </c>
      <c r="O5" s="525"/>
      <c r="P5" s="20"/>
    </row>
    <row r="6" spans="12:16" s="2" customFormat="1" ht="9" customHeight="1">
      <c r="L6" s="3"/>
      <c r="N6" s="543"/>
      <c r="O6" s="543"/>
      <c r="P6" s="23"/>
    </row>
    <row r="7" spans="12:16" s="2" customFormat="1" ht="15">
      <c r="L7" s="3" t="s">
        <v>145</v>
      </c>
      <c r="N7" s="526">
        <v>42412</v>
      </c>
      <c r="O7" s="525"/>
      <c r="P7" s="24"/>
    </row>
    <row r="8" spans="14:16" s="2" customFormat="1" ht="15" customHeight="1">
      <c r="N8" s="8"/>
      <c r="O8"/>
      <c r="P8" s="23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4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68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15000</v>
      </c>
      <c r="G18" s="14" t="s">
        <v>9</v>
      </c>
    </row>
    <row r="19" ht="15">
      <c r="B19" s="13"/>
    </row>
    <row r="20" spans="2:15" s="252" customFormat="1" ht="15">
      <c r="B20" s="373"/>
      <c r="D20" s="374"/>
      <c r="E20" s="374"/>
      <c r="F20" s="544" t="s">
        <v>10</v>
      </c>
      <c r="G20" s="545"/>
      <c r="H20" s="546"/>
      <c r="J20" s="544" t="s">
        <v>11</v>
      </c>
      <c r="K20" s="545"/>
      <c r="L20" s="546"/>
      <c r="N20" s="544" t="s">
        <v>12</v>
      </c>
      <c r="O20" s="546"/>
    </row>
    <row r="21" spans="2:15" s="252" customFormat="1" ht="15">
      <c r="B21" s="459"/>
      <c r="D21" s="548" t="s">
        <v>13</v>
      </c>
      <c r="E21" s="375"/>
      <c r="F21" s="376" t="s">
        <v>14</v>
      </c>
      <c r="G21" s="376" t="s">
        <v>15</v>
      </c>
      <c r="H21" s="377" t="s">
        <v>16</v>
      </c>
      <c r="J21" s="376" t="s">
        <v>14</v>
      </c>
      <c r="K21" s="378" t="s">
        <v>15</v>
      </c>
      <c r="L21" s="377" t="s">
        <v>16</v>
      </c>
      <c r="N21" s="550" t="s">
        <v>17</v>
      </c>
      <c r="O21" s="552" t="s">
        <v>18</v>
      </c>
    </row>
    <row r="22" spans="2:15" s="252" customFormat="1" ht="15">
      <c r="B22" s="459"/>
      <c r="D22" s="549"/>
      <c r="E22" s="375"/>
      <c r="F22" s="379" t="s">
        <v>19</v>
      </c>
      <c r="G22" s="379"/>
      <c r="H22" s="380" t="s">
        <v>19</v>
      </c>
      <c r="J22" s="379" t="s">
        <v>19</v>
      </c>
      <c r="K22" s="380"/>
      <c r="L22" s="380" t="s">
        <v>19</v>
      </c>
      <c r="N22" s="551"/>
      <c r="O22" s="553"/>
    </row>
    <row r="23" spans="2:15" s="252" customFormat="1" ht="15">
      <c r="B23" s="255" t="s">
        <v>20</v>
      </c>
      <c r="C23" s="253"/>
      <c r="D23" s="254" t="s">
        <v>62</v>
      </c>
      <c r="E23" s="255"/>
      <c r="F23" s="437">
        <f>'GS&lt;50 (1,000kWh)'!F23</f>
        <v>17.36</v>
      </c>
      <c r="G23" s="257">
        <v>1</v>
      </c>
      <c r="H23" s="258">
        <f>G23*F23</f>
        <v>17.36</v>
      </c>
      <c r="I23" s="259"/>
      <c r="J23" s="437">
        <f>'GS&lt;50 (1,000kWh)'!J23</f>
        <v>17.36</v>
      </c>
      <c r="K23" s="260">
        <v>1</v>
      </c>
      <c r="L23" s="258">
        <f>K23*J23</f>
        <v>17.36</v>
      </c>
      <c r="M23" s="259"/>
      <c r="N23" s="261">
        <f>L23-H23</f>
        <v>0</v>
      </c>
      <c r="O23" s="262">
        <f>IF((H23)=0,"",(N23/H23))</f>
        <v>0</v>
      </c>
    </row>
    <row r="24" spans="2:15" s="252" customFormat="1" ht="22.5" customHeight="1" hidden="1">
      <c r="B24" s="255" t="s">
        <v>92</v>
      </c>
      <c r="C24" s="253"/>
      <c r="D24" s="254" t="s">
        <v>62</v>
      </c>
      <c r="E24" s="255"/>
      <c r="F24" s="438">
        <f>'GS&lt;50 (1,000kWh)'!F24</f>
        <v>0</v>
      </c>
      <c r="G24" s="257">
        <v>1</v>
      </c>
      <c r="H24" s="258">
        <f>G24*F24</f>
        <v>0</v>
      </c>
      <c r="I24" s="259"/>
      <c r="J24" s="438">
        <f>'GS&lt;50 (1,000kWh)'!J24</f>
        <v>0</v>
      </c>
      <c r="K24" s="260">
        <v>1</v>
      </c>
      <c r="L24" s="258">
        <f>K24*J24</f>
        <v>0</v>
      </c>
      <c r="M24" s="259"/>
      <c r="N24" s="261">
        <f>L24-H24</f>
        <v>0</v>
      </c>
      <c r="O24" s="262">
        <f>IF((H24)=0,"",(N24/H24))</f>
      </c>
    </row>
    <row r="25" spans="2:15" s="252" customFormat="1" ht="36.75" customHeight="1" hidden="1">
      <c r="B25" s="425" t="s">
        <v>111</v>
      </c>
      <c r="C25" s="253"/>
      <c r="D25" s="266" t="s">
        <v>62</v>
      </c>
      <c r="E25" s="255"/>
      <c r="F25" s="439">
        <v>0</v>
      </c>
      <c r="G25" s="257">
        <v>1</v>
      </c>
      <c r="H25" s="258">
        <f>G25*F25</f>
        <v>0</v>
      </c>
      <c r="I25" s="259"/>
      <c r="J25" s="439">
        <f>'GS&lt;50 (1,000kWh)'!J25</f>
        <v>0</v>
      </c>
      <c r="K25" s="260">
        <v>1</v>
      </c>
      <c r="L25" s="258">
        <f>K25*J25</f>
        <v>0</v>
      </c>
      <c r="M25" s="259"/>
      <c r="N25" s="261">
        <f>L25-H25</f>
        <v>0</v>
      </c>
      <c r="O25" s="262">
        <f>IF((H25)=0,"",(N25/H25))</f>
      </c>
    </row>
    <row r="26" spans="2:15" s="252" customFormat="1" ht="30">
      <c r="B26" s="425" t="s">
        <v>64</v>
      </c>
      <c r="C26" s="253"/>
      <c r="D26" s="266" t="s">
        <v>62</v>
      </c>
      <c r="E26" s="269"/>
      <c r="F26" s="475">
        <f>'GS&lt;50 (1,000kWh)'!F26</f>
        <v>4.33</v>
      </c>
      <c r="G26" s="257">
        <v>1</v>
      </c>
      <c r="H26" s="258">
        <f aca="true" t="shared" si="0" ref="H26:H40">G26*F26</f>
        <v>4.33</v>
      </c>
      <c r="I26" s="259"/>
      <c r="J26" s="439">
        <v>4.33</v>
      </c>
      <c r="K26" s="260">
        <v>1</v>
      </c>
      <c r="L26" s="258">
        <f aca="true" t="shared" si="1" ref="L26:L40">K26*J26</f>
        <v>4.33</v>
      </c>
      <c r="M26" s="259"/>
      <c r="N26" s="261">
        <f aca="true" t="shared" si="2" ref="N26:N71">L26-H26</f>
        <v>0</v>
      </c>
      <c r="O26" s="262">
        <f aca="true" t="shared" si="3" ref="O26:O50">IF((H26)=0,"",(N26/H26))</f>
        <v>0</v>
      </c>
    </row>
    <row r="27" spans="2:15" s="252" customFormat="1" ht="10.5" customHeight="1" hidden="1">
      <c r="B27" s="268" t="s">
        <v>65</v>
      </c>
      <c r="C27" s="253"/>
      <c r="D27" s="254" t="s">
        <v>62</v>
      </c>
      <c r="E27" s="255"/>
      <c r="F27" s="289">
        <f>'GS&lt;50 (1,000kWh)'!F27</f>
        <v>0</v>
      </c>
      <c r="G27" s="257">
        <v>1</v>
      </c>
      <c r="H27" s="258">
        <f t="shared" si="0"/>
        <v>0</v>
      </c>
      <c r="I27" s="259"/>
      <c r="J27" s="289">
        <v>0</v>
      </c>
      <c r="K27" s="260">
        <v>1</v>
      </c>
      <c r="L27" s="258">
        <f t="shared" si="1"/>
        <v>0</v>
      </c>
      <c r="M27" s="259"/>
      <c r="N27" s="261">
        <f t="shared" si="2"/>
        <v>0</v>
      </c>
      <c r="O27" s="262">
        <f t="shared" si="3"/>
      </c>
    </row>
    <row r="28" spans="2:15" s="252" customFormat="1" ht="15" hidden="1">
      <c r="B28" s="381" t="s">
        <v>66</v>
      </c>
      <c r="C28" s="253"/>
      <c r="D28" s="254" t="s">
        <v>63</v>
      </c>
      <c r="E28" s="255"/>
      <c r="F28" s="289">
        <v>0</v>
      </c>
      <c r="G28" s="257">
        <f aca="true" t="shared" si="4" ref="G28:G33">$F$18</f>
        <v>15000</v>
      </c>
      <c r="H28" s="258">
        <f t="shared" si="0"/>
        <v>0</v>
      </c>
      <c r="I28" s="259"/>
      <c r="J28" s="289"/>
      <c r="K28" s="257">
        <f>$F$18</f>
        <v>15000</v>
      </c>
      <c r="L28" s="258">
        <f t="shared" si="1"/>
        <v>0</v>
      </c>
      <c r="M28" s="259"/>
      <c r="N28" s="261">
        <f t="shared" si="2"/>
        <v>0</v>
      </c>
      <c r="O28" s="262">
        <f t="shared" si="3"/>
      </c>
    </row>
    <row r="29" spans="2:15" s="252" customFormat="1" ht="15">
      <c r="B29" s="253" t="s">
        <v>110</v>
      </c>
      <c r="C29" s="253"/>
      <c r="D29" s="254" t="s">
        <v>63</v>
      </c>
      <c r="E29" s="255"/>
      <c r="F29" s="440">
        <f>'GS&lt;50 (1,000kWh)'!F29</f>
        <v>0</v>
      </c>
      <c r="G29" s="257">
        <f t="shared" si="4"/>
        <v>15000</v>
      </c>
      <c r="H29" s="258">
        <f t="shared" si="0"/>
        <v>0</v>
      </c>
      <c r="I29" s="259"/>
      <c r="J29" s="487">
        <f>'GS&lt;50 (1,000kWh)'!J29</f>
        <v>0</v>
      </c>
      <c r="K29" s="257">
        <f>$F$18</f>
        <v>15000</v>
      </c>
      <c r="L29" s="258">
        <f t="shared" si="1"/>
        <v>0</v>
      </c>
      <c r="M29" s="259"/>
      <c r="N29" s="261">
        <f t="shared" si="2"/>
        <v>0</v>
      </c>
      <c r="O29" s="262">
        <f t="shared" si="3"/>
      </c>
    </row>
    <row r="30" spans="2:15" s="252" customFormat="1" ht="15" hidden="1">
      <c r="B30" s="381" t="s">
        <v>93</v>
      </c>
      <c r="C30" s="253"/>
      <c r="D30" s="254" t="s">
        <v>63</v>
      </c>
      <c r="E30" s="255"/>
      <c r="F30" s="289">
        <f>'GS&lt;50 (1,000kWh)'!F30</f>
        <v>0</v>
      </c>
      <c r="G30" s="257">
        <f t="shared" si="4"/>
        <v>15000</v>
      </c>
      <c r="H30" s="258">
        <f>G30*F30</f>
        <v>0</v>
      </c>
      <c r="I30" s="259"/>
      <c r="J30" s="289">
        <f>'GS&lt;50 (1,000kWh)'!J30</f>
        <v>0</v>
      </c>
      <c r="K30" s="257">
        <f>$F$18</f>
        <v>15000</v>
      </c>
      <c r="L30" s="258">
        <f>K30*J30</f>
        <v>0</v>
      </c>
      <c r="M30" s="259"/>
      <c r="N30" s="261">
        <f>L30-H30</f>
        <v>0</v>
      </c>
      <c r="O30" s="262">
        <f>IF((H30)=0,"",(N30/H30))</f>
      </c>
    </row>
    <row r="31" spans="2:15" s="252" customFormat="1" ht="15">
      <c r="B31" s="253" t="s">
        <v>21</v>
      </c>
      <c r="C31" s="253"/>
      <c r="D31" s="254" t="s">
        <v>63</v>
      </c>
      <c r="E31" s="255"/>
      <c r="F31" s="289">
        <f>'GS&lt;50 (1,000kWh)'!F31</f>
        <v>0.018</v>
      </c>
      <c r="G31" s="257">
        <f t="shared" si="4"/>
        <v>15000</v>
      </c>
      <c r="H31" s="258">
        <f t="shared" si="0"/>
        <v>270</v>
      </c>
      <c r="I31" s="259"/>
      <c r="J31" s="289">
        <f>'GS&lt;50 (1,000kWh)'!J31</f>
        <v>0.018</v>
      </c>
      <c r="K31" s="257">
        <f>$F$18</f>
        <v>15000</v>
      </c>
      <c r="L31" s="258">
        <f t="shared" si="1"/>
        <v>270</v>
      </c>
      <c r="M31" s="259"/>
      <c r="N31" s="261">
        <f t="shared" si="2"/>
        <v>0</v>
      </c>
      <c r="O31" s="262">
        <f t="shared" si="3"/>
        <v>0</v>
      </c>
    </row>
    <row r="32" spans="2:15" s="252" customFormat="1" ht="15" hidden="1">
      <c r="B32" s="253" t="s">
        <v>22</v>
      </c>
      <c r="C32" s="253"/>
      <c r="D32" s="254"/>
      <c r="E32" s="255"/>
      <c r="F32" s="289"/>
      <c r="G32" s="257">
        <f t="shared" si="4"/>
        <v>15000</v>
      </c>
      <c r="H32" s="258">
        <f t="shared" si="0"/>
        <v>0</v>
      </c>
      <c r="I32" s="259"/>
      <c r="J32" s="289"/>
      <c r="K32" s="257">
        <f aca="true" t="shared" si="5" ref="K32:K40">$F$18</f>
        <v>15000</v>
      </c>
      <c r="L32" s="258">
        <f t="shared" si="1"/>
        <v>0</v>
      </c>
      <c r="M32" s="259"/>
      <c r="N32" s="261">
        <f t="shared" si="2"/>
        <v>0</v>
      </c>
      <c r="O32" s="262">
        <f t="shared" si="3"/>
      </c>
    </row>
    <row r="33" spans="2:15" s="252" customFormat="1" ht="15" hidden="1">
      <c r="B33" s="253" t="s">
        <v>110</v>
      </c>
      <c r="C33" s="253"/>
      <c r="D33" s="254" t="s">
        <v>63</v>
      </c>
      <c r="E33" s="255"/>
      <c r="F33" s="289">
        <v>0</v>
      </c>
      <c r="G33" s="257">
        <f t="shared" si="4"/>
        <v>15000</v>
      </c>
      <c r="H33" s="258">
        <f t="shared" si="0"/>
        <v>0</v>
      </c>
      <c r="I33" s="259"/>
      <c r="J33" s="289">
        <f>'GS&lt;50 (1,000kWh)'!$J33</f>
        <v>0</v>
      </c>
      <c r="K33" s="257">
        <f t="shared" si="5"/>
        <v>15000</v>
      </c>
      <c r="L33" s="258">
        <f t="shared" si="1"/>
        <v>0</v>
      </c>
      <c r="M33" s="259"/>
      <c r="N33" s="261">
        <f t="shared" si="2"/>
        <v>0</v>
      </c>
      <c r="O33" s="262">
        <f t="shared" si="3"/>
      </c>
    </row>
    <row r="34" spans="2:15" s="252" customFormat="1" ht="15" hidden="1">
      <c r="B34" s="273"/>
      <c r="C34" s="253"/>
      <c r="D34" s="254"/>
      <c r="E34" s="255"/>
      <c r="F34" s="270"/>
      <c r="G34" s="257">
        <f aca="true" t="shared" si="6" ref="G34:G40">$F$18</f>
        <v>15000</v>
      </c>
      <c r="H34" s="258">
        <f t="shared" si="0"/>
        <v>0</v>
      </c>
      <c r="I34" s="259"/>
      <c r="J34" s="270"/>
      <c r="K34" s="257">
        <f t="shared" si="5"/>
        <v>15000</v>
      </c>
      <c r="L34" s="258">
        <f t="shared" si="1"/>
        <v>0</v>
      </c>
      <c r="M34" s="259"/>
      <c r="N34" s="272">
        <f t="shared" si="2"/>
        <v>0</v>
      </c>
      <c r="O34" s="262">
        <f t="shared" si="3"/>
      </c>
    </row>
    <row r="35" spans="2:15" s="252" customFormat="1" ht="15" hidden="1">
      <c r="B35" s="273"/>
      <c r="C35" s="253"/>
      <c r="D35" s="254"/>
      <c r="E35" s="255"/>
      <c r="F35" s="270"/>
      <c r="G35" s="257">
        <f t="shared" si="6"/>
        <v>15000</v>
      </c>
      <c r="H35" s="258">
        <f t="shared" si="0"/>
        <v>0</v>
      </c>
      <c r="I35" s="259"/>
      <c r="J35" s="270"/>
      <c r="K35" s="257">
        <f t="shared" si="5"/>
        <v>15000</v>
      </c>
      <c r="L35" s="258">
        <f t="shared" si="1"/>
        <v>0</v>
      </c>
      <c r="M35" s="259"/>
      <c r="N35" s="272">
        <f t="shared" si="2"/>
        <v>0</v>
      </c>
      <c r="O35" s="262">
        <f t="shared" si="3"/>
      </c>
    </row>
    <row r="36" spans="2:15" s="252" customFormat="1" ht="15" hidden="1">
      <c r="B36" s="273"/>
      <c r="C36" s="253"/>
      <c r="D36" s="254"/>
      <c r="E36" s="255"/>
      <c r="F36" s="270"/>
      <c r="G36" s="257">
        <f t="shared" si="6"/>
        <v>15000</v>
      </c>
      <c r="H36" s="258">
        <f t="shared" si="0"/>
        <v>0</v>
      </c>
      <c r="I36" s="259"/>
      <c r="J36" s="270"/>
      <c r="K36" s="257">
        <f t="shared" si="5"/>
        <v>15000</v>
      </c>
      <c r="L36" s="258">
        <f t="shared" si="1"/>
        <v>0</v>
      </c>
      <c r="M36" s="259"/>
      <c r="N36" s="272">
        <f t="shared" si="2"/>
        <v>0</v>
      </c>
      <c r="O36" s="262">
        <f t="shared" si="3"/>
      </c>
    </row>
    <row r="37" spans="2:15" s="252" customFormat="1" ht="15" hidden="1">
      <c r="B37" s="273"/>
      <c r="C37" s="253"/>
      <c r="D37" s="254"/>
      <c r="E37" s="255"/>
      <c r="F37" s="270"/>
      <c r="G37" s="257">
        <f t="shared" si="6"/>
        <v>15000</v>
      </c>
      <c r="H37" s="258">
        <f t="shared" si="0"/>
        <v>0</v>
      </c>
      <c r="I37" s="259"/>
      <c r="J37" s="270"/>
      <c r="K37" s="257">
        <f t="shared" si="5"/>
        <v>15000</v>
      </c>
      <c r="L37" s="258">
        <f t="shared" si="1"/>
        <v>0</v>
      </c>
      <c r="M37" s="259"/>
      <c r="N37" s="272">
        <f t="shared" si="2"/>
        <v>0</v>
      </c>
      <c r="O37" s="262">
        <f t="shared" si="3"/>
      </c>
    </row>
    <row r="38" spans="2:15" s="252" customFormat="1" ht="15" hidden="1">
      <c r="B38" s="273"/>
      <c r="C38" s="253"/>
      <c r="D38" s="254"/>
      <c r="E38" s="255"/>
      <c r="F38" s="270"/>
      <c r="G38" s="257">
        <f t="shared" si="6"/>
        <v>15000</v>
      </c>
      <c r="H38" s="258">
        <f t="shared" si="0"/>
        <v>0</v>
      </c>
      <c r="I38" s="259"/>
      <c r="J38" s="270"/>
      <c r="K38" s="257">
        <f t="shared" si="5"/>
        <v>15000</v>
      </c>
      <c r="L38" s="258">
        <f t="shared" si="1"/>
        <v>0</v>
      </c>
      <c r="M38" s="259"/>
      <c r="N38" s="272">
        <f t="shared" si="2"/>
        <v>0</v>
      </c>
      <c r="O38" s="262">
        <f t="shared" si="3"/>
      </c>
    </row>
    <row r="39" spans="2:15" s="252" customFormat="1" ht="15" hidden="1">
      <c r="B39" s="273"/>
      <c r="C39" s="253"/>
      <c r="D39" s="254"/>
      <c r="E39" s="255"/>
      <c r="F39" s="270"/>
      <c r="G39" s="257">
        <f t="shared" si="6"/>
        <v>15000</v>
      </c>
      <c r="H39" s="258">
        <f t="shared" si="0"/>
        <v>0</v>
      </c>
      <c r="I39" s="259"/>
      <c r="J39" s="270"/>
      <c r="K39" s="257">
        <f t="shared" si="5"/>
        <v>15000</v>
      </c>
      <c r="L39" s="258">
        <f t="shared" si="1"/>
        <v>0</v>
      </c>
      <c r="M39" s="259"/>
      <c r="N39" s="272">
        <f t="shared" si="2"/>
        <v>0</v>
      </c>
      <c r="O39" s="262">
        <f t="shared" si="3"/>
      </c>
    </row>
    <row r="40" spans="2:15" s="252" customFormat="1" ht="15" hidden="1">
      <c r="B40" s="273"/>
      <c r="C40" s="253"/>
      <c r="D40" s="254"/>
      <c r="E40" s="255"/>
      <c r="F40" s="270"/>
      <c r="G40" s="257">
        <f t="shared" si="6"/>
        <v>15000</v>
      </c>
      <c r="H40" s="258">
        <f t="shared" si="0"/>
        <v>0</v>
      </c>
      <c r="I40" s="259"/>
      <c r="J40" s="270"/>
      <c r="K40" s="257">
        <f t="shared" si="5"/>
        <v>15000</v>
      </c>
      <c r="L40" s="258">
        <f t="shared" si="1"/>
        <v>0</v>
      </c>
      <c r="M40" s="259"/>
      <c r="N40" s="272">
        <f t="shared" si="2"/>
        <v>0</v>
      </c>
      <c r="O40" s="262">
        <f t="shared" si="3"/>
      </c>
    </row>
    <row r="41" spans="2:15" s="283" customFormat="1" ht="15">
      <c r="B41" s="382" t="s">
        <v>24</v>
      </c>
      <c r="C41" s="274"/>
      <c r="D41" s="275"/>
      <c r="E41" s="274"/>
      <c r="F41" s="276"/>
      <c r="G41" s="277"/>
      <c r="H41" s="278">
        <f>SUM(H23:H40)</f>
        <v>291.69</v>
      </c>
      <c r="I41" s="279"/>
      <c r="J41" s="276"/>
      <c r="K41" s="281"/>
      <c r="L41" s="278">
        <f>SUM(L23:L40)</f>
        <v>291.69</v>
      </c>
      <c r="M41" s="279"/>
      <c r="N41" s="282">
        <f t="shared" si="2"/>
        <v>0</v>
      </c>
      <c r="O41" s="383">
        <f t="shared" si="3"/>
        <v>0</v>
      </c>
    </row>
    <row r="42" spans="2:15" s="252" customFormat="1" ht="15" hidden="1">
      <c r="B42" s="268"/>
      <c r="C42" s="253"/>
      <c r="D42" s="266" t="s">
        <v>62</v>
      </c>
      <c r="E42" s="255"/>
      <c r="F42" s="270"/>
      <c r="G42" s="257">
        <v>1</v>
      </c>
      <c r="H42" s="258">
        <f>G42*F42</f>
        <v>0</v>
      </c>
      <c r="I42" s="259"/>
      <c r="J42" s="270"/>
      <c r="K42" s="260">
        <v>1</v>
      </c>
      <c r="L42" s="258">
        <f>K42*J42</f>
        <v>0</v>
      </c>
      <c r="M42" s="259"/>
      <c r="N42" s="272">
        <f>L42-H42</f>
        <v>0</v>
      </c>
      <c r="O42" s="262">
        <f>IF((H42)=0,"",(N42/H42))</f>
      </c>
    </row>
    <row r="43" spans="2:15" s="252" customFormat="1" ht="15">
      <c r="B43" s="426" t="s">
        <v>25</v>
      </c>
      <c r="C43" s="253"/>
      <c r="D43" s="266" t="s">
        <v>63</v>
      </c>
      <c r="E43" s="269"/>
      <c r="F43" s="462">
        <f>'GS&lt;50 (1,000kWh)'!F43</f>
        <v>-0.0071</v>
      </c>
      <c r="G43" s="257">
        <f aca="true" t="shared" si="7" ref="G43:G49">$F$18</f>
        <v>15000</v>
      </c>
      <c r="H43" s="258">
        <f aca="true" t="shared" si="8" ref="H43:H51">G43*F43</f>
        <v>-106.5</v>
      </c>
      <c r="I43" s="259"/>
      <c r="J43" s="442">
        <f>'GS&lt;50 (1,000kWh)'!J43</f>
        <v>0.0021</v>
      </c>
      <c r="K43" s="257">
        <f aca="true" t="shared" si="9" ref="K43:K49">$F$18</f>
        <v>15000</v>
      </c>
      <c r="L43" s="258">
        <f aca="true" t="shared" si="10" ref="L43:L51">K43*J43</f>
        <v>31.499999999999996</v>
      </c>
      <c r="M43" s="259"/>
      <c r="N43" s="261">
        <f t="shared" si="2"/>
        <v>138</v>
      </c>
      <c r="O43" s="262">
        <f t="shared" si="3"/>
        <v>-1.295774647887324</v>
      </c>
    </row>
    <row r="44" spans="2:15" s="252" customFormat="1" ht="12" customHeight="1" hidden="1">
      <c r="B44" s="426"/>
      <c r="C44" s="253"/>
      <c r="D44" s="254" t="s">
        <v>63</v>
      </c>
      <c r="E44" s="255"/>
      <c r="F44" s="289"/>
      <c r="G44" s="257">
        <f t="shared" si="7"/>
        <v>15000</v>
      </c>
      <c r="H44" s="258">
        <f t="shared" si="8"/>
        <v>0</v>
      </c>
      <c r="I44" s="285"/>
      <c r="J44" s="289"/>
      <c r="K44" s="257">
        <f t="shared" si="9"/>
        <v>15000</v>
      </c>
      <c r="L44" s="258">
        <f t="shared" si="10"/>
        <v>0</v>
      </c>
      <c r="M44" s="286"/>
      <c r="N44" s="261">
        <f t="shared" si="2"/>
        <v>0</v>
      </c>
      <c r="O44" s="262">
        <f t="shared" si="3"/>
      </c>
    </row>
    <row r="45" spans="2:15" s="252" customFormat="1" ht="15" hidden="1">
      <c r="B45" s="426"/>
      <c r="C45" s="253"/>
      <c r="D45" s="254" t="s">
        <v>63</v>
      </c>
      <c r="E45" s="255"/>
      <c r="F45" s="289"/>
      <c r="G45" s="257">
        <f t="shared" si="7"/>
        <v>15000</v>
      </c>
      <c r="H45" s="258">
        <f t="shared" si="8"/>
        <v>0</v>
      </c>
      <c r="I45" s="285"/>
      <c r="J45" s="289"/>
      <c r="K45" s="257">
        <f t="shared" si="9"/>
        <v>15000</v>
      </c>
      <c r="L45" s="258">
        <f t="shared" si="10"/>
        <v>0</v>
      </c>
      <c r="M45" s="286"/>
      <c r="N45" s="261">
        <f t="shared" si="2"/>
        <v>0</v>
      </c>
      <c r="O45" s="262">
        <f t="shared" si="3"/>
      </c>
    </row>
    <row r="46" spans="2:15" s="252" customFormat="1" ht="15" hidden="1">
      <c r="B46" s="426"/>
      <c r="C46" s="253"/>
      <c r="D46" s="254"/>
      <c r="E46" s="255"/>
      <c r="F46" s="289"/>
      <c r="G46" s="257">
        <f t="shared" si="7"/>
        <v>15000</v>
      </c>
      <c r="H46" s="258">
        <f t="shared" si="8"/>
        <v>0</v>
      </c>
      <c r="I46" s="285"/>
      <c r="J46" s="289"/>
      <c r="K46" s="257">
        <f t="shared" si="9"/>
        <v>15000</v>
      </c>
      <c r="L46" s="258">
        <f t="shared" si="10"/>
        <v>0</v>
      </c>
      <c r="M46" s="286"/>
      <c r="N46" s="261">
        <f t="shared" si="2"/>
        <v>0</v>
      </c>
      <c r="O46" s="262">
        <f t="shared" si="3"/>
      </c>
    </row>
    <row r="47" spans="2:15" s="252" customFormat="1" ht="15" hidden="1">
      <c r="B47" s="426" t="s">
        <v>66</v>
      </c>
      <c r="C47" s="253"/>
      <c r="D47" s="254" t="s">
        <v>63</v>
      </c>
      <c r="E47" s="255"/>
      <c r="F47" s="289">
        <f>'GS&lt;50 (1,000kWh)'!F47</f>
        <v>0</v>
      </c>
      <c r="G47" s="257">
        <f t="shared" si="7"/>
        <v>15000</v>
      </c>
      <c r="H47" s="258">
        <f t="shared" si="8"/>
        <v>0</v>
      </c>
      <c r="I47" s="259"/>
      <c r="J47" s="289">
        <v>0</v>
      </c>
      <c r="K47" s="257">
        <f t="shared" si="9"/>
        <v>15000</v>
      </c>
      <c r="L47" s="258">
        <f t="shared" si="10"/>
        <v>0</v>
      </c>
      <c r="M47" s="259"/>
      <c r="N47" s="261">
        <f>L47-H47</f>
        <v>0</v>
      </c>
      <c r="O47" s="262">
        <f>IF((H47)=0,"",(N47/H47))</f>
      </c>
    </row>
    <row r="48" spans="2:15" s="252" customFormat="1" ht="15" hidden="1">
      <c r="B48" s="253" t="s">
        <v>110</v>
      </c>
      <c r="C48" s="253"/>
      <c r="D48" s="254" t="s">
        <v>63</v>
      </c>
      <c r="E48" s="255"/>
      <c r="F48" s="289">
        <f>'GS&lt;50 (1,000kWh)'!F48</f>
        <v>0</v>
      </c>
      <c r="G48" s="257">
        <f t="shared" si="7"/>
        <v>15000</v>
      </c>
      <c r="H48" s="258">
        <f t="shared" si="8"/>
        <v>0</v>
      </c>
      <c r="I48" s="259"/>
      <c r="J48" s="289">
        <f>'GS&lt;50 (1,000kWh)'!$J48</f>
        <v>0</v>
      </c>
      <c r="K48" s="257">
        <f t="shared" si="9"/>
        <v>15000</v>
      </c>
      <c r="L48" s="258">
        <f t="shared" si="10"/>
        <v>0</v>
      </c>
      <c r="M48" s="259"/>
      <c r="N48" s="261">
        <f>L48-H48</f>
        <v>0</v>
      </c>
      <c r="O48" s="262">
        <f>IF((H48)=0,"",(N48/H48))</f>
      </c>
    </row>
    <row r="49" spans="2:15" s="252" customFormat="1" ht="15">
      <c r="B49" s="384" t="s">
        <v>26</v>
      </c>
      <c r="C49" s="253"/>
      <c r="D49" s="254" t="s">
        <v>63</v>
      </c>
      <c r="E49" s="255"/>
      <c r="F49" s="289">
        <f>'GS&lt;50 (1,000kWh)'!F49</f>
        <v>0.0024</v>
      </c>
      <c r="G49" s="257">
        <f t="shared" si="7"/>
        <v>15000</v>
      </c>
      <c r="H49" s="258">
        <f t="shared" si="8"/>
        <v>36</v>
      </c>
      <c r="I49" s="259"/>
      <c r="J49" s="289">
        <f>'GS&lt;50 (1,000kWh)'!J49</f>
        <v>0.0024</v>
      </c>
      <c r="K49" s="257">
        <f t="shared" si="9"/>
        <v>15000</v>
      </c>
      <c r="L49" s="258">
        <f t="shared" si="10"/>
        <v>36</v>
      </c>
      <c r="M49" s="259"/>
      <c r="N49" s="261">
        <f t="shared" si="2"/>
        <v>0</v>
      </c>
      <c r="O49" s="262">
        <f t="shared" si="3"/>
        <v>0</v>
      </c>
    </row>
    <row r="50" spans="2:15" s="283" customFormat="1" ht="15">
      <c r="B50" s="385" t="s">
        <v>27</v>
      </c>
      <c r="C50" s="255"/>
      <c r="D50" s="254" t="s">
        <v>63</v>
      </c>
      <c r="E50" s="255"/>
      <c r="F50" s="289">
        <f>IF(ISBLANK(D16)=TRUE,0,IF(D16="TOU",0.64*$F$61+0.18*$F$62+0.18*$F$63,IF(AND(D16="non-TOU",G65&gt;0),F65,F64)))</f>
        <v>0.10214000000000001</v>
      </c>
      <c r="G50" s="257">
        <f>$F$18*(1+$F$80)-$F$18</f>
        <v>742.5000000000018</v>
      </c>
      <c r="H50" s="290">
        <f t="shared" si="8"/>
        <v>75.8389500000002</v>
      </c>
      <c r="I50" s="269"/>
      <c r="J50" s="289">
        <f>0.64*$F$61+0.18*$F$62+0.18*$F$63</f>
        <v>0.10214000000000001</v>
      </c>
      <c r="K50" s="257">
        <f>$F$18*(1+$J$80)-$F$18</f>
        <v>742.5000000000018</v>
      </c>
      <c r="L50" s="290">
        <f t="shared" si="10"/>
        <v>75.8389500000002</v>
      </c>
      <c r="M50" s="269"/>
      <c r="N50" s="261">
        <f t="shared" si="2"/>
        <v>0</v>
      </c>
      <c r="O50" s="291">
        <f t="shared" si="3"/>
        <v>0</v>
      </c>
    </row>
    <row r="51" spans="2:15" s="252" customFormat="1" ht="15">
      <c r="B51" s="384" t="s">
        <v>28</v>
      </c>
      <c r="C51" s="253"/>
      <c r="D51" s="254" t="s">
        <v>62</v>
      </c>
      <c r="E51" s="255"/>
      <c r="F51" s="437">
        <f>'GS&lt;50 (1,000kWh)'!F51</f>
        <v>0.79</v>
      </c>
      <c r="G51" s="257">
        <v>1</v>
      </c>
      <c r="H51" s="258">
        <f t="shared" si="8"/>
        <v>0.79</v>
      </c>
      <c r="I51" s="259"/>
      <c r="J51" s="292">
        <v>0.79</v>
      </c>
      <c r="K51" s="257">
        <v>1</v>
      </c>
      <c r="L51" s="258">
        <f t="shared" si="10"/>
        <v>0.79</v>
      </c>
      <c r="M51" s="259"/>
      <c r="N51" s="261">
        <f t="shared" si="2"/>
        <v>0</v>
      </c>
      <c r="O51" s="262"/>
    </row>
    <row r="52" spans="2:15" s="252" customFormat="1" ht="15">
      <c r="B52" s="386" t="s">
        <v>29</v>
      </c>
      <c r="C52" s="293"/>
      <c r="D52" s="293"/>
      <c r="E52" s="293"/>
      <c r="F52" s="463"/>
      <c r="G52" s="294"/>
      <c r="H52" s="295">
        <f>SUM(H42:H51)+H41</f>
        <v>297.8189500000002</v>
      </c>
      <c r="I52" s="279"/>
      <c r="J52" s="84"/>
      <c r="K52" s="296"/>
      <c r="L52" s="295">
        <f>SUM(L42:L51)+L41</f>
        <v>435.8189500000002</v>
      </c>
      <c r="M52" s="279"/>
      <c r="N52" s="282">
        <f t="shared" si="2"/>
        <v>138</v>
      </c>
      <c r="O52" s="383">
        <f aca="true" t="shared" si="11" ref="O52:O71">IF((H52)=0,"",(N52/H52))</f>
        <v>0.4633687681727436</v>
      </c>
    </row>
    <row r="53" spans="2:15" s="252" customFormat="1" ht="15">
      <c r="B53" s="259" t="s">
        <v>30</v>
      </c>
      <c r="C53" s="259"/>
      <c r="D53" s="266" t="s">
        <v>63</v>
      </c>
      <c r="E53" s="269"/>
      <c r="F53" s="287">
        <f>'GS&lt;50 (1,000kWh)'!F53</f>
        <v>0.0044</v>
      </c>
      <c r="G53" s="485">
        <f>F18*(1+F80)</f>
        <v>15742.500000000002</v>
      </c>
      <c r="H53" s="258">
        <f>G53*F53</f>
        <v>69.26700000000001</v>
      </c>
      <c r="I53" s="259"/>
      <c r="J53" s="287">
        <f>'GS&lt;50 (1,000kWh)'!J53</f>
        <v>0.0048</v>
      </c>
      <c r="K53" s="486">
        <f>F18*(1+J80)</f>
        <v>15742.500000000002</v>
      </c>
      <c r="L53" s="258">
        <f>K53*J53</f>
        <v>75.56400000000001</v>
      </c>
      <c r="M53" s="259"/>
      <c r="N53" s="261">
        <f t="shared" si="2"/>
        <v>6.296999999999997</v>
      </c>
      <c r="O53" s="262">
        <f t="shared" si="11"/>
        <v>0.09090909090909086</v>
      </c>
    </row>
    <row r="54" spans="2:15" s="252" customFormat="1" ht="15">
      <c r="B54" s="298" t="s">
        <v>31</v>
      </c>
      <c r="C54" s="259"/>
      <c r="D54" s="266" t="s">
        <v>63</v>
      </c>
      <c r="E54" s="269"/>
      <c r="F54" s="287">
        <f>'GS&lt;50 (1,000kWh)'!F54</f>
        <v>0.0017</v>
      </c>
      <c r="G54" s="485">
        <f>G53</f>
        <v>15742.500000000002</v>
      </c>
      <c r="H54" s="258">
        <f>G54*F54</f>
        <v>26.76225</v>
      </c>
      <c r="I54" s="259"/>
      <c r="J54" s="287">
        <f>'GS&lt;50 (1,000kWh)'!J54</f>
        <v>0.0027</v>
      </c>
      <c r="K54" s="486">
        <f>K53</f>
        <v>15742.500000000002</v>
      </c>
      <c r="L54" s="258">
        <f>K54*J54</f>
        <v>42.50475000000001</v>
      </c>
      <c r="M54" s="259"/>
      <c r="N54" s="261">
        <f t="shared" si="2"/>
        <v>15.742500000000007</v>
      </c>
      <c r="O54" s="262">
        <f t="shared" si="11"/>
        <v>0.5882352941176473</v>
      </c>
    </row>
    <row r="55" spans="2:15" s="252" customFormat="1" ht="15">
      <c r="B55" s="386" t="s">
        <v>32</v>
      </c>
      <c r="C55" s="274"/>
      <c r="D55" s="274"/>
      <c r="E55" s="274"/>
      <c r="F55" s="464"/>
      <c r="G55" s="294"/>
      <c r="H55" s="295">
        <f>SUM(H52:H54)</f>
        <v>393.8482000000002</v>
      </c>
      <c r="I55" s="299"/>
      <c r="J55" s="85"/>
      <c r="K55" s="301"/>
      <c r="L55" s="295">
        <f>SUM(L52:L54)</f>
        <v>553.8877000000002</v>
      </c>
      <c r="M55" s="299"/>
      <c r="N55" s="282">
        <f t="shared" si="2"/>
        <v>160.03950000000003</v>
      </c>
      <c r="O55" s="383">
        <f t="shared" si="11"/>
        <v>0.4063481818629613</v>
      </c>
    </row>
    <row r="56" spans="2:15" s="252" customFormat="1" ht="15">
      <c r="B56" s="265" t="s">
        <v>33</v>
      </c>
      <c r="C56" s="253"/>
      <c r="D56" s="254" t="s">
        <v>63</v>
      </c>
      <c r="E56" s="255"/>
      <c r="F56" s="289">
        <f>'GS&lt;50 (1,000kWh)'!F56</f>
        <v>0.0044</v>
      </c>
      <c r="G56" s="485">
        <f>G54</f>
        <v>15742.500000000002</v>
      </c>
      <c r="H56" s="290">
        <f aca="true" t="shared" si="12" ref="H56:H63">G56*F56</f>
        <v>69.26700000000001</v>
      </c>
      <c r="I56" s="269"/>
      <c r="J56" s="476">
        <f>'GS&lt;50 (1,000kWh)'!J56</f>
        <v>0.0036</v>
      </c>
      <c r="K56" s="486">
        <f>K54</f>
        <v>15742.500000000002</v>
      </c>
      <c r="L56" s="258">
        <f aca="true" t="shared" si="13" ref="L56:L63">K56*J56</f>
        <v>56.673</v>
      </c>
      <c r="M56" s="259"/>
      <c r="N56" s="261">
        <f t="shared" si="2"/>
        <v>-12.594000000000008</v>
      </c>
      <c r="O56" s="262">
        <f t="shared" si="11"/>
        <v>-0.1818181818181819</v>
      </c>
    </row>
    <row r="57" spans="2:15" s="252" customFormat="1" ht="15">
      <c r="B57" s="265" t="s">
        <v>34</v>
      </c>
      <c r="C57" s="253"/>
      <c r="D57" s="254" t="s">
        <v>63</v>
      </c>
      <c r="E57" s="255"/>
      <c r="F57" s="289">
        <f>'GS&lt;50 (1,000kWh)'!F57</f>
        <v>0.0013</v>
      </c>
      <c r="G57" s="485">
        <f>G54</f>
        <v>15742.500000000002</v>
      </c>
      <c r="H57" s="290">
        <f t="shared" si="12"/>
        <v>20.46525</v>
      </c>
      <c r="I57" s="269"/>
      <c r="J57" s="289">
        <f>'GS&lt;50 (1,000kWh)'!J57</f>
        <v>0.0013</v>
      </c>
      <c r="K57" s="486">
        <f>K54</f>
        <v>15742.500000000002</v>
      </c>
      <c r="L57" s="258">
        <f t="shared" si="13"/>
        <v>20.46525</v>
      </c>
      <c r="M57" s="259"/>
      <c r="N57" s="261">
        <f t="shared" si="2"/>
        <v>0</v>
      </c>
      <c r="O57" s="262">
        <f t="shared" si="11"/>
        <v>0</v>
      </c>
    </row>
    <row r="58" spans="2:15" s="252" customFormat="1" ht="15">
      <c r="B58" s="265" t="s">
        <v>121</v>
      </c>
      <c r="C58" s="253"/>
      <c r="D58" s="254" t="s">
        <v>63</v>
      </c>
      <c r="E58" s="255"/>
      <c r="F58" s="289">
        <f>'GS&lt;50 (1,000kWh)'!F58</f>
        <v>0</v>
      </c>
      <c r="G58" s="485">
        <f>G54</f>
        <v>15742.500000000002</v>
      </c>
      <c r="H58" s="290">
        <f t="shared" si="12"/>
        <v>0</v>
      </c>
      <c r="I58" s="269"/>
      <c r="J58" s="476">
        <f>'GS&lt;50 (1,000kWh)'!J58</f>
        <v>0.0011</v>
      </c>
      <c r="K58" s="486">
        <f>K54</f>
        <v>15742.500000000002</v>
      </c>
      <c r="L58" s="258">
        <f t="shared" si="13"/>
        <v>17.316750000000003</v>
      </c>
      <c r="M58" s="259"/>
      <c r="N58" s="261">
        <f t="shared" si="2"/>
        <v>17.316750000000003</v>
      </c>
      <c r="O58" s="262">
        <f t="shared" si="11"/>
      </c>
    </row>
    <row r="59" spans="2:15" s="252" customFormat="1" ht="15">
      <c r="B59" s="253" t="s">
        <v>35</v>
      </c>
      <c r="C59" s="253"/>
      <c r="D59" s="254" t="s">
        <v>62</v>
      </c>
      <c r="E59" s="255"/>
      <c r="F59" s="437">
        <f>'GS&lt;50 (1,000kWh)'!F59</f>
        <v>0.25</v>
      </c>
      <c r="G59" s="257">
        <v>1</v>
      </c>
      <c r="H59" s="290">
        <f t="shared" si="12"/>
        <v>0.25</v>
      </c>
      <c r="I59" s="269"/>
      <c r="J59" s="437">
        <f>'GS&lt;50 (1,000kWh)'!J59</f>
        <v>0.25</v>
      </c>
      <c r="K59" s="260">
        <v>1</v>
      </c>
      <c r="L59" s="258">
        <f t="shared" si="13"/>
        <v>0.25</v>
      </c>
      <c r="M59" s="259"/>
      <c r="N59" s="261">
        <f t="shared" si="2"/>
        <v>0</v>
      </c>
      <c r="O59" s="262">
        <f t="shared" si="11"/>
        <v>0</v>
      </c>
    </row>
    <row r="60" spans="2:15" s="252" customFormat="1" ht="15">
      <c r="B60" s="253" t="s">
        <v>36</v>
      </c>
      <c r="C60" s="253"/>
      <c r="D60" s="254" t="s">
        <v>63</v>
      </c>
      <c r="E60" s="255"/>
      <c r="F60" s="289">
        <f>'GS&lt;50 (1,000kWh)'!F60</f>
        <v>0.007</v>
      </c>
      <c r="G60" s="302">
        <f>F18</f>
        <v>15000</v>
      </c>
      <c r="H60" s="290">
        <f t="shared" si="12"/>
        <v>105</v>
      </c>
      <c r="I60" s="269"/>
      <c r="J60" s="289">
        <f>'GS&lt;50 (1,000kWh)'!J60</f>
        <v>0.007</v>
      </c>
      <c r="K60" s="303">
        <f>F18</f>
        <v>15000</v>
      </c>
      <c r="L60" s="258">
        <f t="shared" si="13"/>
        <v>105</v>
      </c>
      <c r="M60" s="259"/>
      <c r="N60" s="261">
        <f t="shared" si="2"/>
        <v>0</v>
      </c>
      <c r="O60" s="262">
        <f t="shared" si="11"/>
        <v>0</v>
      </c>
    </row>
    <row r="61" spans="2:19" s="252" customFormat="1" ht="15">
      <c r="B61" s="384" t="s">
        <v>37</v>
      </c>
      <c r="C61" s="253"/>
      <c r="D61" s="254" t="s">
        <v>63</v>
      </c>
      <c r="E61" s="255"/>
      <c r="F61" s="289">
        <f>'GS&lt;50 (1,000kWh)'!F61</f>
        <v>0.08</v>
      </c>
      <c r="G61" s="302">
        <f>0.64*$F$18</f>
        <v>9600</v>
      </c>
      <c r="H61" s="258">
        <f t="shared" si="12"/>
        <v>768</v>
      </c>
      <c r="I61" s="259"/>
      <c r="J61" s="289">
        <f>'GS&lt;50 (1,000kWh)'!J61</f>
        <v>0.08</v>
      </c>
      <c r="K61" s="302">
        <f>G61</f>
        <v>9600</v>
      </c>
      <c r="L61" s="258">
        <f t="shared" si="13"/>
        <v>768</v>
      </c>
      <c r="M61" s="259"/>
      <c r="N61" s="261">
        <f t="shared" si="2"/>
        <v>0</v>
      </c>
      <c r="O61" s="262">
        <f t="shared" si="11"/>
        <v>0</v>
      </c>
      <c r="S61" s="304"/>
    </row>
    <row r="62" spans="2:19" s="252" customFormat="1" ht="15">
      <c r="B62" s="384" t="s">
        <v>38</v>
      </c>
      <c r="C62" s="253"/>
      <c r="D62" s="254" t="s">
        <v>63</v>
      </c>
      <c r="E62" s="255"/>
      <c r="F62" s="289">
        <f>'GS&lt;50 (1,000kWh)'!F62</f>
        <v>0.122</v>
      </c>
      <c r="G62" s="302">
        <f>0.18*$F$18</f>
        <v>2700</v>
      </c>
      <c r="H62" s="258">
        <f t="shared" si="12"/>
        <v>329.4</v>
      </c>
      <c r="I62" s="259"/>
      <c r="J62" s="289">
        <f>'GS&lt;50 (1,000kWh)'!J62</f>
        <v>0.122</v>
      </c>
      <c r="K62" s="302">
        <f>G62</f>
        <v>2700</v>
      </c>
      <c r="L62" s="258">
        <f t="shared" si="13"/>
        <v>329.4</v>
      </c>
      <c r="M62" s="259"/>
      <c r="N62" s="261">
        <f t="shared" si="2"/>
        <v>0</v>
      </c>
      <c r="O62" s="262">
        <f t="shared" si="11"/>
        <v>0</v>
      </c>
      <c r="S62" s="304"/>
    </row>
    <row r="63" spans="2:19" s="252" customFormat="1" ht="15">
      <c r="B63" s="373" t="s">
        <v>39</v>
      </c>
      <c r="C63" s="253"/>
      <c r="D63" s="254" t="s">
        <v>63</v>
      </c>
      <c r="E63" s="255"/>
      <c r="F63" s="289">
        <f>'GS&lt;50 (1,000kWh)'!F63</f>
        <v>0.161</v>
      </c>
      <c r="G63" s="302">
        <f>0.18*$F$18</f>
        <v>2700</v>
      </c>
      <c r="H63" s="258">
        <f t="shared" si="12"/>
        <v>434.7</v>
      </c>
      <c r="I63" s="259"/>
      <c r="J63" s="289">
        <f>'GS&lt;50 (1,000kWh)'!J63</f>
        <v>0.161</v>
      </c>
      <c r="K63" s="302">
        <f>G63</f>
        <v>2700</v>
      </c>
      <c r="L63" s="258">
        <f t="shared" si="13"/>
        <v>434.7</v>
      </c>
      <c r="M63" s="259"/>
      <c r="N63" s="261">
        <f t="shared" si="2"/>
        <v>0</v>
      </c>
      <c r="O63" s="262">
        <f t="shared" si="11"/>
        <v>0</v>
      </c>
      <c r="S63" s="304"/>
    </row>
    <row r="64" spans="2:15" s="390" customFormat="1" ht="15">
      <c r="B64" s="387" t="s">
        <v>40</v>
      </c>
      <c r="C64" s="387"/>
      <c r="D64" s="388" t="s">
        <v>63</v>
      </c>
      <c r="E64" s="389"/>
      <c r="F64" s="289">
        <f>'GS&lt;50 (1,000kWh)'!F64</f>
        <v>0.094</v>
      </c>
      <c r="G64" s="305">
        <f>IF(AND($T$1=1,F18&gt;=600),600,IF(AND($T$1=1,AND(F18&lt;600,F18&gt;=0)),F18,IF(AND($T$1=2,F18&gt;=1000),1000,IF(AND($T$1=2,AND(F18&lt;1000,F18&gt;=0)),F18))))</f>
        <v>600</v>
      </c>
      <c r="H64" s="258">
        <f>G64*F64</f>
        <v>56.4</v>
      </c>
      <c r="I64" s="306"/>
      <c r="J64" s="289">
        <f>'GS&lt;50 (1,000kWh)'!J64</f>
        <v>0.094</v>
      </c>
      <c r="K64" s="305">
        <f>G64</f>
        <v>600</v>
      </c>
      <c r="L64" s="258">
        <f>K64*J64</f>
        <v>56.4</v>
      </c>
      <c r="M64" s="306"/>
      <c r="N64" s="261">
        <f t="shared" si="2"/>
        <v>0</v>
      </c>
      <c r="O64" s="262">
        <f t="shared" si="11"/>
        <v>0</v>
      </c>
    </row>
    <row r="65" spans="2:15" s="390" customFormat="1" ht="15.75" thickBot="1">
      <c r="B65" s="387" t="s">
        <v>41</v>
      </c>
      <c r="C65" s="387"/>
      <c r="D65" s="388" t="s">
        <v>63</v>
      </c>
      <c r="E65" s="389"/>
      <c r="F65" s="289">
        <f>'GS&lt;50 (1,000kWh)'!F65</f>
        <v>0.11</v>
      </c>
      <c r="G65" s="305">
        <f>IF(AND($T$1=1,F18&gt;=600),F18-600,IF(AND($T$1=1,AND(F18&lt;600,F18&gt;=0)),0,IF(AND($T$1=2,F18&gt;=1000),F18-1000,IF(AND($T$1=2,AND(F18&lt;1000,F18&gt;=0)),0))))</f>
        <v>14400</v>
      </c>
      <c r="H65" s="258">
        <f>G65*F65</f>
        <v>1584</v>
      </c>
      <c r="I65" s="306"/>
      <c r="J65" s="289">
        <f>'GS&lt;50 (1,000kWh)'!J65</f>
        <v>0.11</v>
      </c>
      <c r="K65" s="305">
        <f>G65</f>
        <v>14400</v>
      </c>
      <c r="L65" s="258">
        <f>K65*J65</f>
        <v>1584</v>
      </c>
      <c r="M65" s="306"/>
      <c r="N65" s="261">
        <f t="shared" si="2"/>
        <v>0</v>
      </c>
      <c r="O65" s="262">
        <f t="shared" si="11"/>
        <v>0</v>
      </c>
    </row>
    <row r="66" spans="2:15" s="252" customFormat="1" ht="8.25" customHeight="1" thickBot="1">
      <c r="B66" s="391"/>
      <c r="C66" s="307"/>
      <c r="D66" s="308"/>
      <c r="E66" s="307"/>
      <c r="F66" s="309"/>
      <c r="G66" s="310"/>
      <c r="H66" s="311"/>
      <c r="I66" s="312"/>
      <c r="J66" s="309"/>
      <c r="K66" s="313"/>
      <c r="L66" s="311"/>
      <c r="M66" s="312"/>
      <c r="N66" s="314"/>
      <c r="O66" s="315"/>
    </row>
    <row r="67" spans="2:19" s="252" customFormat="1" ht="15">
      <c r="B67" s="392" t="s">
        <v>42</v>
      </c>
      <c r="C67" s="253"/>
      <c r="D67" s="253"/>
      <c r="E67" s="253"/>
      <c r="F67" s="316"/>
      <c r="G67" s="317"/>
      <c r="H67" s="318">
        <f>SUM(H56:H63,H55)</f>
        <v>2120.9304500000003</v>
      </c>
      <c r="I67" s="319"/>
      <c r="J67" s="320"/>
      <c r="K67" s="320"/>
      <c r="L67" s="321">
        <f>SUM(L56:L63,L55)</f>
        <v>2285.6927000000005</v>
      </c>
      <c r="M67" s="322"/>
      <c r="N67" s="429">
        <f>L67-H67</f>
        <v>164.76225000000022</v>
      </c>
      <c r="O67" s="393">
        <f>IF((H67)=0,"",(N67/H67))</f>
        <v>0.07768394762779712</v>
      </c>
      <c r="S67" s="304"/>
    </row>
    <row r="68" spans="2:19" s="252" customFormat="1" ht="15">
      <c r="B68" s="394" t="s">
        <v>43</v>
      </c>
      <c r="C68" s="253"/>
      <c r="D68" s="253"/>
      <c r="E68" s="253"/>
      <c r="F68" s="324">
        <v>0.13</v>
      </c>
      <c r="G68" s="325"/>
      <c r="H68" s="326">
        <f>H67*F68</f>
        <v>275.72095850000005</v>
      </c>
      <c r="I68" s="327"/>
      <c r="J68" s="328">
        <v>0.13</v>
      </c>
      <c r="K68" s="327"/>
      <c r="L68" s="329">
        <f>L67*J68</f>
        <v>297.1400510000001</v>
      </c>
      <c r="M68" s="330"/>
      <c r="N68" s="430">
        <f t="shared" si="2"/>
        <v>21.419092500000033</v>
      </c>
      <c r="O68" s="395">
        <f t="shared" si="11"/>
        <v>0.07768394762779714</v>
      </c>
      <c r="S68" s="304"/>
    </row>
    <row r="69" spans="2:19" s="252" customFormat="1" ht="15">
      <c r="B69" s="396" t="s">
        <v>127</v>
      </c>
      <c r="C69" s="253"/>
      <c r="D69" s="253"/>
      <c r="E69" s="253"/>
      <c r="F69" s="331"/>
      <c r="G69" s="325"/>
      <c r="H69" s="326">
        <f>H67+H68</f>
        <v>2396.6514085000003</v>
      </c>
      <c r="I69" s="327"/>
      <c r="J69" s="327"/>
      <c r="K69" s="327"/>
      <c r="L69" s="329">
        <f>L67+L68</f>
        <v>2582.832751000001</v>
      </c>
      <c r="M69" s="330"/>
      <c r="N69" s="430">
        <f t="shared" si="2"/>
        <v>186.18134250000048</v>
      </c>
      <c r="O69" s="395">
        <f t="shared" si="11"/>
        <v>0.07768394762779722</v>
      </c>
      <c r="S69" s="304"/>
    </row>
    <row r="70" spans="2:15" s="252" customFormat="1" ht="15.75" customHeight="1">
      <c r="B70" s="554" t="s">
        <v>128</v>
      </c>
      <c r="C70" s="554"/>
      <c r="D70" s="554"/>
      <c r="E70" s="253"/>
      <c r="F70" s="331"/>
      <c r="G70" s="325"/>
      <c r="H70" s="431">
        <f>ROUND(-H69*10%,2)</f>
        <v>-239.67</v>
      </c>
      <c r="I70" s="327"/>
      <c r="J70" s="327"/>
      <c r="K70" s="327"/>
      <c r="L70" s="458">
        <v>0</v>
      </c>
      <c r="M70" s="330"/>
      <c r="N70" s="430">
        <f t="shared" si="2"/>
        <v>239.67</v>
      </c>
      <c r="O70" s="395">
        <f t="shared" si="11"/>
        <v>-1</v>
      </c>
    </row>
    <row r="71" spans="2:15" s="252" customFormat="1" ht="15.75" thickBot="1">
      <c r="B71" s="555" t="s">
        <v>46</v>
      </c>
      <c r="C71" s="555"/>
      <c r="D71" s="555"/>
      <c r="E71" s="334"/>
      <c r="F71" s="335"/>
      <c r="G71" s="336"/>
      <c r="H71" s="337">
        <f>H69+H70</f>
        <v>2156.9814085000003</v>
      </c>
      <c r="I71" s="338"/>
      <c r="J71" s="338"/>
      <c r="K71" s="338"/>
      <c r="L71" s="339">
        <f>L69+L70</f>
        <v>2582.832751000001</v>
      </c>
      <c r="M71" s="340"/>
      <c r="N71" s="433">
        <f t="shared" si="2"/>
        <v>425.85134250000056</v>
      </c>
      <c r="O71" s="398">
        <f t="shared" si="11"/>
        <v>0.1974293059837472</v>
      </c>
    </row>
    <row r="72" spans="2:15" s="390" customFormat="1" ht="8.25" customHeight="1" thickBot="1">
      <c r="B72" s="399"/>
      <c r="C72" s="400"/>
      <c r="D72" s="401"/>
      <c r="E72" s="400"/>
      <c r="F72" s="309"/>
      <c r="G72" s="342"/>
      <c r="H72" s="311"/>
      <c r="I72" s="343"/>
      <c r="J72" s="309"/>
      <c r="K72" s="344"/>
      <c r="L72" s="311"/>
      <c r="M72" s="343"/>
      <c r="N72" s="345"/>
      <c r="O72" s="315"/>
    </row>
    <row r="73" spans="2:15" s="390" customFormat="1" ht="15">
      <c r="B73" s="402" t="s">
        <v>47</v>
      </c>
      <c r="C73" s="387"/>
      <c r="D73" s="387"/>
      <c r="E73" s="387"/>
      <c r="F73" s="346"/>
      <c r="G73" s="347"/>
      <c r="H73" s="348">
        <f>SUM(H64:H65,H55,H56:H60)</f>
        <v>2229.2304500000005</v>
      </c>
      <c r="I73" s="349"/>
      <c r="J73" s="350"/>
      <c r="K73" s="350"/>
      <c r="L73" s="351">
        <f>SUM(L64:L65,L55,L56:L60)</f>
        <v>2393.9927000000007</v>
      </c>
      <c r="M73" s="352"/>
      <c r="N73" s="434">
        <f>L73-H73</f>
        <v>164.76225000000022</v>
      </c>
      <c r="O73" s="393">
        <f>IF((H73)=0,"",(N73/H73))</f>
        <v>0.0739099225923458</v>
      </c>
    </row>
    <row r="74" spans="2:15" s="390" customFormat="1" ht="15">
      <c r="B74" s="403" t="s">
        <v>43</v>
      </c>
      <c r="C74" s="387"/>
      <c r="D74" s="387"/>
      <c r="E74" s="387"/>
      <c r="F74" s="353">
        <v>0.13</v>
      </c>
      <c r="G74" s="347"/>
      <c r="H74" s="354">
        <f>H73*F74</f>
        <v>289.79995850000006</v>
      </c>
      <c r="I74" s="355"/>
      <c r="J74" s="353">
        <v>0.13</v>
      </c>
      <c r="K74" s="356"/>
      <c r="L74" s="357">
        <f>L73*J74</f>
        <v>311.2190510000001</v>
      </c>
      <c r="M74" s="358"/>
      <c r="N74" s="435">
        <f>L74-H74</f>
        <v>21.419092500000033</v>
      </c>
      <c r="O74" s="395">
        <f>IF((H74)=0,"",(N74/H74))</f>
        <v>0.07390992259234581</v>
      </c>
    </row>
    <row r="75" spans="2:15" s="390" customFormat="1" ht="15">
      <c r="B75" s="404" t="s">
        <v>127</v>
      </c>
      <c r="C75" s="387"/>
      <c r="D75" s="387"/>
      <c r="E75" s="387"/>
      <c r="F75" s="359"/>
      <c r="G75" s="358"/>
      <c r="H75" s="354">
        <f>H73+H74</f>
        <v>2519.0304085000007</v>
      </c>
      <c r="I75" s="355"/>
      <c r="J75" s="355"/>
      <c r="K75" s="355"/>
      <c r="L75" s="357">
        <f>L73+L74</f>
        <v>2705.2117510000007</v>
      </c>
      <c r="M75" s="358"/>
      <c r="N75" s="435">
        <f>L75-H75</f>
        <v>186.18134250000003</v>
      </c>
      <c r="O75" s="395">
        <f>IF((H75)=0,"",(N75/H75))</f>
        <v>0.0739099225923457</v>
      </c>
    </row>
    <row r="76" spans="2:15" s="390" customFormat="1" ht="15.75" customHeight="1">
      <c r="B76" s="556" t="s">
        <v>128</v>
      </c>
      <c r="C76" s="556"/>
      <c r="D76" s="556"/>
      <c r="E76" s="387"/>
      <c r="F76" s="359"/>
      <c r="G76" s="358"/>
      <c r="H76" s="360">
        <f>ROUND(-H75*10%,2)</f>
        <v>-251.9</v>
      </c>
      <c r="I76" s="355"/>
      <c r="J76" s="355"/>
      <c r="K76" s="355"/>
      <c r="L76" s="454">
        <v>0</v>
      </c>
      <c r="M76" s="358"/>
      <c r="N76" s="435">
        <f>L76-H76</f>
        <v>251.9</v>
      </c>
      <c r="O76" s="395">
        <f>IF((H76)=0,"",(N76/H76))</f>
        <v>-1</v>
      </c>
    </row>
    <row r="77" spans="2:15" s="390" customFormat="1" ht="15.75" thickBot="1">
      <c r="B77" s="547" t="s">
        <v>48</v>
      </c>
      <c r="C77" s="547"/>
      <c r="D77" s="547"/>
      <c r="E77" s="405"/>
      <c r="F77" s="362"/>
      <c r="G77" s="363"/>
      <c r="H77" s="364">
        <f>SUM(H75:H76)</f>
        <v>2267.1304085000006</v>
      </c>
      <c r="I77" s="365"/>
      <c r="J77" s="365"/>
      <c r="K77" s="365"/>
      <c r="L77" s="366">
        <f>SUM(L75:L76)</f>
        <v>2705.2117510000007</v>
      </c>
      <c r="M77" s="367"/>
      <c r="N77" s="436">
        <f>L77-H77</f>
        <v>438.0813425000001</v>
      </c>
      <c r="O77" s="406">
        <f>IF((H77)=0,"",(N77/H77))</f>
        <v>0.1932316468684514</v>
      </c>
    </row>
    <row r="78" spans="2:15" s="390" customFormat="1" ht="8.25" customHeight="1" thickBot="1">
      <c r="B78" s="399"/>
      <c r="C78" s="400"/>
      <c r="D78" s="401"/>
      <c r="E78" s="400"/>
      <c r="F78" s="368"/>
      <c r="G78" s="407"/>
      <c r="H78" s="369"/>
      <c r="I78" s="408"/>
      <c r="J78" s="368"/>
      <c r="K78" s="342"/>
      <c r="L78" s="370"/>
      <c r="M78" s="343"/>
      <c r="N78" s="409"/>
      <c r="O78" s="315"/>
    </row>
    <row r="79" s="252" customFormat="1" ht="10.5" customHeight="1">
      <c r="L79" s="304"/>
    </row>
    <row r="80" spans="2:10" s="252" customFormat="1" ht="15">
      <c r="B80" s="410" t="s">
        <v>49</v>
      </c>
      <c r="F80" s="371">
        <v>0.0495</v>
      </c>
      <c r="J80" s="371">
        <v>0.0495</v>
      </c>
    </row>
    <row r="81" s="252" customFormat="1" ht="10.5" customHeight="1"/>
    <row r="82" spans="2:15" s="252" customFormat="1" ht="15">
      <c r="B82" s="470" t="s">
        <v>140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="252" customFormat="1" ht="10.5" customHeight="1"/>
    <row r="84" s="252" customFormat="1" ht="10.5" customHeight="1"/>
    <row r="85" s="252" customFormat="1" ht="17.25">
      <c r="A85" s="411" t="s">
        <v>129</v>
      </c>
    </row>
    <row r="86" s="252" customFormat="1" ht="10.5" customHeight="1"/>
    <row r="87" s="252" customFormat="1" ht="15">
      <c r="A87" s="252" t="s">
        <v>51</v>
      </c>
    </row>
    <row r="88" s="252" customFormat="1" ht="15">
      <c r="A88" s="252" t="s">
        <v>52</v>
      </c>
    </row>
    <row r="89" s="252" customFormat="1" ht="15"/>
    <row r="90" s="252" customFormat="1" ht="15">
      <c r="A90" s="373" t="s">
        <v>53</v>
      </c>
    </row>
    <row r="91" s="252" customFormat="1" ht="15">
      <c r="A91" s="373" t="s">
        <v>54</v>
      </c>
    </row>
    <row r="92" s="252" customFormat="1" ht="15"/>
    <row r="93" s="252" customFormat="1" ht="15">
      <c r="A93" s="252" t="s">
        <v>55</v>
      </c>
    </row>
    <row r="94" s="252" customFormat="1" ht="15">
      <c r="A94" s="252" t="s">
        <v>56</v>
      </c>
    </row>
    <row r="95" s="252" customFormat="1" ht="15">
      <c r="A95" s="252" t="s">
        <v>57</v>
      </c>
    </row>
    <row r="96" s="252" customFormat="1" ht="15">
      <c r="A96" s="252" t="s">
        <v>58</v>
      </c>
    </row>
    <row r="97" s="252" customFormat="1" ht="15">
      <c r="A97" s="252" t="s">
        <v>59</v>
      </c>
    </row>
    <row r="98" s="252" customFormat="1" ht="15"/>
    <row r="99" spans="1:2" s="252" customFormat="1" ht="15">
      <c r="A99" s="372"/>
      <c r="B99" s="252" t="s">
        <v>60</v>
      </c>
    </row>
    <row r="100" s="252" customFormat="1" ht="15"/>
    <row r="101" s="252" customFormat="1" ht="15"/>
    <row r="102" s="252" customFormat="1" ht="15"/>
    <row r="103" s="252" customFormat="1" ht="15"/>
    <row r="104" s="252" customFormat="1" ht="15"/>
    <row r="105" s="252" customFormat="1" ht="15"/>
    <row r="106" s="252" customFormat="1" ht="15"/>
    <row r="107" s="252" customFormat="1" ht="15"/>
    <row r="108" s="252" customFormat="1" ht="15"/>
    <row r="109" s="252" customFormat="1" ht="15"/>
    <row r="110" s="252" customFormat="1" ht="15"/>
    <row r="111" s="252" customFormat="1" ht="15"/>
    <row r="112" s="252" customFormat="1" ht="15"/>
    <row r="113" s="252" customFormat="1" ht="15"/>
    <row r="114" s="252" customFormat="1" ht="15"/>
    <row r="115" s="252" customFormat="1" ht="15"/>
    <row r="116" s="252" customFormat="1" ht="15"/>
  </sheetData>
  <sheetProtection/>
  <mergeCells count="21">
    <mergeCell ref="B77:D77"/>
    <mergeCell ref="D21:D22"/>
    <mergeCell ref="N21:N22"/>
    <mergeCell ref="O21:O22"/>
    <mergeCell ref="B70:D70"/>
    <mergeCell ref="B71:D71"/>
    <mergeCell ref="B76:D76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E53:E54 E42:E51 E66 E23:E40 E56:E63">
      <formula1>'GS&lt;50 (15,000kWh)'!#REF!</formula1>
    </dataValidation>
    <dataValidation type="list" allowBlank="1" showInputMessage="1" showErrorMessage="1" prompt="Select Charge Unit - monthly, per kWh, per kW" sqref="D53:D54 D72 D78 D56:D66 D23:D40 D42:D51">
      <formula1>"Monthly, per kWh, per kW"</formula1>
    </dataValidation>
    <dataValidation type="list" allowBlank="1" showInputMessage="1" showErrorMessage="1" sqref="E78 E72 E64:E65">
      <formula1>'GS&lt;50 (15,000kWh)'!#REF!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6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48.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00390625" style="8" bestFit="1" customWidth="1"/>
    <col min="8" max="8" width="10.57421875" style="8" bestFit="1" customWidth="1"/>
    <col min="9" max="9" width="2.8515625" style="8" customWidth="1"/>
    <col min="10" max="10" width="9.7109375" style="8" bestFit="1" customWidth="1"/>
    <col min="11" max="11" width="8.00390625" style="8" bestFit="1" customWidth="1"/>
    <col min="12" max="12" width="12.7109375" style="8" bestFit="1" customWidth="1"/>
    <col min="13" max="13" width="2.8515625" style="8" customWidth="1"/>
    <col min="14" max="14" width="9.7109375" style="8" bestFit="1" customWidth="1"/>
    <col min="15" max="15" width="9.57421875" style="8" bestFit="1" customWidth="1"/>
    <col min="16" max="16" width="10.140625" style="8" customWidth="1"/>
    <col min="17" max="20" width="9.140625" style="8" customWidth="1"/>
    <col min="21" max="16384" width="9.140625" style="8" customWidth="1"/>
  </cols>
  <sheetData>
    <row r="1" spans="1:20" s="2" customFormat="1" ht="21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 s="20"/>
      <c r="T1" s="86">
        <v>1</v>
      </c>
    </row>
    <row r="2" spans="1:16" s="2" customFormat="1" ht="18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8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8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13</v>
      </c>
      <c r="O4" s="523"/>
      <c r="P4" s="21"/>
    </row>
    <row r="5" spans="3:16" s="2" customFormat="1" ht="15.75">
      <c r="C5" s="7"/>
      <c r="D5" s="7"/>
      <c r="E5" s="7"/>
      <c r="L5" s="3" t="s">
        <v>77</v>
      </c>
      <c r="N5" s="525" t="s">
        <v>89</v>
      </c>
      <c r="O5" s="525"/>
      <c r="P5" s="20"/>
    </row>
    <row r="6" spans="12:16" s="2" customFormat="1" ht="15">
      <c r="L6" s="3"/>
      <c r="N6" s="543"/>
      <c r="O6" s="543"/>
      <c r="P6" s="23"/>
    </row>
    <row r="7" spans="12:16" s="2" customFormat="1" ht="15">
      <c r="L7" s="3" t="s">
        <v>145</v>
      </c>
      <c r="N7" s="526">
        <v>42412</v>
      </c>
      <c r="O7" s="525"/>
      <c r="P7" s="24"/>
    </row>
    <row r="8" spans="14:16" s="2" customFormat="1" ht="15">
      <c r="N8" s="8"/>
      <c r="O8"/>
      <c r="P8"/>
    </row>
    <row r="9" spans="12:16" ht="15">
      <c r="L9"/>
      <c r="M9"/>
      <c r="N9"/>
      <c r="O9"/>
      <c r="P9"/>
    </row>
    <row r="10" spans="2:16" ht="18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">
      <c r="B11" s="528" t="s">
        <v>4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15">
      <c r="L12"/>
      <c r="M12"/>
      <c r="N12"/>
      <c r="O12"/>
      <c r="P12"/>
    </row>
    <row r="13" spans="12:16" ht="15">
      <c r="L13"/>
      <c r="M13"/>
      <c r="N13"/>
      <c r="O13"/>
      <c r="P13"/>
    </row>
    <row r="14" spans="2:15" ht="15.75">
      <c r="B14" s="9" t="s">
        <v>5</v>
      </c>
      <c r="D14" s="529" t="s">
        <v>113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15.75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20000</v>
      </c>
      <c r="G18" s="14" t="s">
        <v>9</v>
      </c>
      <c r="H18" s="15">
        <v>60</v>
      </c>
      <c r="I18" s="14" t="s">
        <v>70</v>
      </c>
    </row>
    <row r="19" ht="15">
      <c r="B19" s="13"/>
    </row>
    <row r="20" spans="2:15" s="252" customFormat="1" ht="15">
      <c r="B20" s="373"/>
      <c r="D20" s="374"/>
      <c r="E20" s="374"/>
      <c r="F20" s="544" t="s">
        <v>10</v>
      </c>
      <c r="G20" s="545"/>
      <c r="H20" s="546"/>
      <c r="J20" s="544" t="s">
        <v>11</v>
      </c>
      <c r="K20" s="545"/>
      <c r="L20" s="546"/>
      <c r="N20" s="544" t="s">
        <v>12</v>
      </c>
      <c r="O20" s="546"/>
    </row>
    <row r="21" spans="2:15" s="252" customFormat="1" ht="15">
      <c r="B21" s="373"/>
      <c r="D21" s="548" t="s">
        <v>13</v>
      </c>
      <c r="E21" s="375"/>
      <c r="F21" s="376" t="s">
        <v>14</v>
      </c>
      <c r="G21" s="376" t="s">
        <v>15</v>
      </c>
      <c r="H21" s="377" t="s">
        <v>16</v>
      </c>
      <c r="J21" s="376" t="s">
        <v>14</v>
      </c>
      <c r="K21" s="378" t="s">
        <v>15</v>
      </c>
      <c r="L21" s="377" t="s">
        <v>16</v>
      </c>
      <c r="N21" s="550" t="s">
        <v>17</v>
      </c>
      <c r="O21" s="552" t="s">
        <v>18</v>
      </c>
    </row>
    <row r="22" spans="2:15" s="252" customFormat="1" ht="15.75" customHeight="1">
      <c r="B22" s="373"/>
      <c r="D22" s="549"/>
      <c r="E22" s="375"/>
      <c r="F22" s="379" t="s">
        <v>19</v>
      </c>
      <c r="G22" s="379"/>
      <c r="H22" s="380" t="s">
        <v>19</v>
      </c>
      <c r="J22" s="379" t="s">
        <v>19</v>
      </c>
      <c r="K22" s="380"/>
      <c r="L22" s="380" t="s">
        <v>19</v>
      </c>
      <c r="N22" s="551"/>
      <c r="O22" s="553"/>
    </row>
    <row r="23" spans="2:15" s="252" customFormat="1" ht="15.75" customHeight="1">
      <c r="B23" s="253" t="s">
        <v>20</v>
      </c>
      <c r="C23" s="253"/>
      <c r="D23" s="254" t="s">
        <v>62</v>
      </c>
      <c r="E23" s="255"/>
      <c r="F23" s="256">
        <v>96.98</v>
      </c>
      <c r="G23" s="260">
        <v>1</v>
      </c>
      <c r="H23" s="258">
        <f>G23*F23</f>
        <v>96.98</v>
      </c>
      <c r="I23" s="259"/>
      <c r="J23" s="264">
        <v>96.98</v>
      </c>
      <c r="K23" s="260">
        <v>1</v>
      </c>
      <c r="L23" s="258">
        <f>K23*J23</f>
        <v>96.98</v>
      </c>
      <c r="M23" s="259"/>
      <c r="N23" s="261">
        <f>L23-H23</f>
        <v>0</v>
      </c>
      <c r="O23" s="262">
        <f>IF((H23)=0,"",(N23/H23))</f>
        <v>0</v>
      </c>
    </row>
    <row r="24" spans="2:15" s="252" customFormat="1" ht="15" hidden="1">
      <c r="B24" s="253" t="s">
        <v>92</v>
      </c>
      <c r="C24" s="253"/>
      <c r="D24" s="254" t="s">
        <v>62</v>
      </c>
      <c r="E24" s="255"/>
      <c r="F24" s="256"/>
      <c r="G24" s="260"/>
      <c r="H24" s="258"/>
      <c r="I24" s="259"/>
      <c r="J24" s="264">
        <v>0</v>
      </c>
      <c r="K24" s="260">
        <v>1</v>
      </c>
      <c r="L24" s="258">
        <f>K24*J24</f>
        <v>0</v>
      </c>
      <c r="M24" s="259"/>
      <c r="N24" s="261">
        <f>L24-H24</f>
        <v>0</v>
      </c>
      <c r="O24" s="262">
        <f>IF((H24)=0,"",(N24/H24))</f>
      </c>
    </row>
    <row r="25" spans="2:15" s="252" customFormat="1" ht="15" hidden="1">
      <c r="B25" s="265" t="s">
        <v>111</v>
      </c>
      <c r="C25" s="253"/>
      <c r="D25" s="266" t="s">
        <v>62</v>
      </c>
      <c r="E25" s="255"/>
      <c r="F25" s="264">
        <v>0</v>
      </c>
      <c r="G25" s="260">
        <v>1</v>
      </c>
      <c r="H25" s="258">
        <f>G25*F25</f>
        <v>0</v>
      </c>
      <c r="I25" s="259"/>
      <c r="J25" s="267">
        <f>'GS&lt;50 (1,000kWh)'!J25</f>
        <v>0</v>
      </c>
      <c r="K25" s="260">
        <v>1</v>
      </c>
      <c r="L25" s="258">
        <f>K25*J25</f>
        <v>0</v>
      </c>
      <c r="M25" s="259"/>
      <c r="N25" s="261">
        <f>L25-H25</f>
        <v>0</v>
      </c>
      <c r="O25" s="262">
        <f>IF((H25)=0,"",(N25/H25))</f>
      </c>
    </row>
    <row r="26" spans="2:15" s="252" customFormat="1" ht="15" hidden="1">
      <c r="B26" s="268"/>
      <c r="C26" s="253"/>
      <c r="D26" s="266" t="s">
        <v>62</v>
      </c>
      <c r="E26" s="269"/>
      <c r="F26" s="264"/>
      <c r="G26" s="260">
        <v>1</v>
      </c>
      <c r="H26" s="258">
        <f aca="true" t="shared" si="0" ref="H26:H40">G26*F26</f>
        <v>0</v>
      </c>
      <c r="I26" s="259"/>
      <c r="J26" s="267"/>
      <c r="K26" s="260">
        <v>1</v>
      </c>
      <c r="L26" s="258">
        <f aca="true" t="shared" si="1" ref="L26:L40">K26*J26</f>
        <v>0</v>
      </c>
      <c r="M26" s="259"/>
      <c r="N26" s="261">
        <f aca="true" t="shared" si="2" ref="N26:N41">L26-H26</f>
        <v>0</v>
      </c>
      <c r="O26" s="262">
        <f aca="true" t="shared" si="3" ref="O26:O41">IF((H26)=0,"",(N26/H26))</f>
      </c>
    </row>
    <row r="27" spans="2:15" s="252" customFormat="1" ht="15" hidden="1">
      <c r="B27" s="268"/>
      <c r="C27" s="253"/>
      <c r="D27" s="266" t="s">
        <v>62</v>
      </c>
      <c r="E27" s="255"/>
      <c r="F27" s="270"/>
      <c r="G27" s="260">
        <v>1</v>
      </c>
      <c r="H27" s="258">
        <f t="shared" si="0"/>
        <v>0</v>
      </c>
      <c r="I27" s="259"/>
      <c r="J27" s="264"/>
      <c r="K27" s="260">
        <v>1</v>
      </c>
      <c r="L27" s="258">
        <f t="shared" si="1"/>
        <v>0</v>
      </c>
      <c r="M27" s="259"/>
      <c r="N27" s="261">
        <f t="shared" si="2"/>
        <v>0</v>
      </c>
      <c r="O27" s="262">
        <f t="shared" si="3"/>
      </c>
    </row>
    <row r="28" spans="2:15" s="252" customFormat="1" ht="15">
      <c r="B28" s="426" t="s">
        <v>66</v>
      </c>
      <c r="C28" s="253"/>
      <c r="D28" s="254" t="s">
        <v>71</v>
      </c>
      <c r="E28" s="255"/>
      <c r="F28" s="270">
        <v>0</v>
      </c>
      <c r="G28" s="260">
        <f>$H$18</f>
        <v>60</v>
      </c>
      <c r="H28" s="258">
        <f t="shared" si="0"/>
        <v>0</v>
      </c>
      <c r="I28" s="259"/>
      <c r="J28" s="465">
        <v>-0.0058</v>
      </c>
      <c r="K28" s="260">
        <f>$H$18</f>
        <v>60</v>
      </c>
      <c r="L28" s="258">
        <f t="shared" si="1"/>
        <v>-0.348</v>
      </c>
      <c r="M28" s="259"/>
      <c r="N28" s="261">
        <f t="shared" si="2"/>
        <v>-0.348</v>
      </c>
      <c r="O28" s="262">
        <f t="shared" si="3"/>
      </c>
    </row>
    <row r="29" spans="2:15" s="252" customFormat="1" ht="15.75" customHeight="1" hidden="1">
      <c r="B29" s="253" t="s">
        <v>110</v>
      </c>
      <c r="C29" s="253"/>
      <c r="D29" s="254" t="s">
        <v>71</v>
      </c>
      <c r="E29" s="255"/>
      <c r="F29" s="284">
        <v>0</v>
      </c>
      <c r="G29" s="260">
        <f>$H$18</f>
        <v>60</v>
      </c>
      <c r="H29" s="258">
        <f t="shared" si="0"/>
        <v>0</v>
      </c>
      <c r="I29" s="259"/>
      <c r="J29" s="267">
        <v>0</v>
      </c>
      <c r="K29" s="260">
        <f>$H$18</f>
        <v>60</v>
      </c>
      <c r="L29" s="258">
        <f t="shared" si="1"/>
        <v>0</v>
      </c>
      <c r="M29" s="259"/>
      <c r="N29" s="261">
        <f t="shared" si="2"/>
        <v>0</v>
      </c>
      <c r="O29" s="262">
        <f t="shared" si="3"/>
      </c>
    </row>
    <row r="30" spans="2:15" s="252" customFormat="1" ht="30">
      <c r="B30" s="381" t="s">
        <v>93</v>
      </c>
      <c r="C30" s="253"/>
      <c r="D30" s="254" t="s">
        <v>71</v>
      </c>
      <c r="E30" s="255"/>
      <c r="F30" s="270">
        <v>0</v>
      </c>
      <c r="G30" s="260">
        <f>$H$18</f>
        <v>60</v>
      </c>
      <c r="H30" s="258">
        <f t="shared" si="0"/>
        <v>0</v>
      </c>
      <c r="I30" s="259"/>
      <c r="J30" s="471"/>
      <c r="K30" s="260">
        <f>$H$18</f>
        <v>60</v>
      </c>
      <c r="L30" s="258">
        <f>K30*J30</f>
        <v>0</v>
      </c>
      <c r="M30" s="259"/>
      <c r="N30" s="261">
        <f>L30-H30</f>
        <v>0</v>
      </c>
      <c r="O30" s="262">
        <f>IF((H30)=0,"",(N30/H30))</f>
      </c>
    </row>
    <row r="31" spans="2:15" s="252" customFormat="1" ht="15">
      <c r="B31" s="253" t="s">
        <v>21</v>
      </c>
      <c r="C31" s="253"/>
      <c r="D31" s="254" t="s">
        <v>71</v>
      </c>
      <c r="E31" s="255"/>
      <c r="F31" s="270">
        <v>3.9297</v>
      </c>
      <c r="G31" s="260">
        <f>$H$18</f>
        <v>60</v>
      </c>
      <c r="H31" s="258">
        <f t="shared" si="0"/>
        <v>235.782</v>
      </c>
      <c r="I31" s="259"/>
      <c r="J31" s="267">
        <v>3.9297</v>
      </c>
      <c r="K31" s="260">
        <f>$H$18</f>
        <v>60</v>
      </c>
      <c r="L31" s="258">
        <f t="shared" si="1"/>
        <v>235.782</v>
      </c>
      <c r="M31" s="259"/>
      <c r="N31" s="261">
        <f t="shared" si="2"/>
        <v>0</v>
      </c>
      <c r="O31" s="262">
        <f t="shared" si="3"/>
        <v>0</v>
      </c>
    </row>
    <row r="32" spans="2:15" s="252" customFormat="1" ht="13.5" customHeight="1" hidden="1">
      <c r="B32" s="253" t="s">
        <v>22</v>
      </c>
      <c r="C32" s="253"/>
      <c r="D32" s="254"/>
      <c r="E32" s="255"/>
      <c r="F32" s="270"/>
      <c r="G32" s="257">
        <f>$F$18</f>
        <v>20000</v>
      </c>
      <c r="H32" s="258">
        <f t="shared" si="0"/>
        <v>0</v>
      </c>
      <c r="I32" s="259"/>
      <c r="J32" s="267"/>
      <c r="K32" s="257">
        <f aca="true" t="shared" si="4" ref="K32:K40">$F$18</f>
        <v>20000</v>
      </c>
      <c r="L32" s="258">
        <f t="shared" si="1"/>
        <v>0</v>
      </c>
      <c r="M32" s="259"/>
      <c r="N32" s="261">
        <f t="shared" si="2"/>
        <v>0</v>
      </c>
      <c r="O32" s="262">
        <f t="shared" si="3"/>
      </c>
    </row>
    <row r="33" spans="2:15" s="252" customFormat="1" ht="15" hidden="1">
      <c r="B33" s="253" t="s">
        <v>110</v>
      </c>
      <c r="C33" s="253"/>
      <c r="D33" s="254" t="s">
        <v>71</v>
      </c>
      <c r="E33" s="255"/>
      <c r="F33" s="270">
        <v>0</v>
      </c>
      <c r="G33" s="441">
        <f>$H$18</f>
        <v>60</v>
      </c>
      <c r="H33" s="258">
        <f t="shared" si="0"/>
        <v>0</v>
      </c>
      <c r="I33" s="259"/>
      <c r="J33" s="267">
        <v>0</v>
      </c>
      <c r="K33" s="441">
        <f>$H$18</f>
        <v>60</v>
      </c>
      <c r="L33" s="258">
        <f t="shared" si="1"/>
        <v>0</v>
      </c>
      <c r="M33" s="259"/>
      <c r="N33" s="261">
        <f t="shared" si="2"/>
        <v>0</v>
      </c>
      <c r="O33" s="262">
        <f t="shared" si="3"/>
      </c>
    </row>
    <row r="34" spans="2:15" s="252" customFormat="1" ht="15" hidden="1">
      <c r="B34" s="273"/>
      <c r="C34" s="253"/>
      <c r="D34" s="254"/>
      <c r="E34" s="255"/>
      <c r="F34" s="270"/>
      <c r="G34" s="257">
        <f aca="true" t="shared" si="5" ref="G34:G40">$F$18</f>
        <v>20000</v>
      </c>
      <c r="H34" s="258">
        <f t="shared" si="0"/>
        <v>0</v>
      </c>
      <c r="I34" s="259"/>
      <c r="J34" s="267"/>
      <c r="K34" s="257">
        <f t="shared" si="4"/>
        <v>20000</v>
      </c>
      <c r="L34" s="258">
        <f t="shared" si="1"/>
        <v>0</v>
      </c>
      <c r="M34" s="259"/>
      <c r="N34" s="261">
        <f t="shared" si="2"/>
        <v>0</v>
      </c>
      <c r="O34" s="262">
        <f t="shared" si="3"/>
      </c>
    </row>
    <row r="35" spans="2:15" s="252" customFormat="1" ht="15" hidden="1">
      <c r="B35" s="273"/>
      <c r="C35" s="253"/>
      <c r="D35" s="254"/>
      <c r="E35" s="255"/>
      <c r="F35" s="270"/>
      <c r="G35" s="257">
        <f t="shared" si="5"/>
        <v>20000</v>
      </c>
      <c r="H35" s="258">
        <f t="shared" si="0"/>
        <v>0</v>
      </c>
      <c r="I35" s="259"/>
      <c r="J35" s="267"/>
      <c r="K35" s="257">
        <f t="shared" si="4"/>
        <v>20000</v>
      </c>
      <c r="L35" s="258">
        <f t="shared" si="1"/>
        <v>0</v>
      </c>
      <c r="M35" s="259"/>
      <c r="N35" s="261">
        <f t="shared" si="2"/>
        <v>0</v>
      </c>
      <c r="O35" s="262">
        <f t="shared" si="3"/>
      </c>
    </row>
    <row r="36" spans="2:15" s="252" customFormat="1" ht="15" hidden="1">
      <c r="B36" s="273"/>
      <c r="C36" s="253"/>
      <c r="D36" s="254"/>
      <c r="E36" s="255"/>
      <c r="F36" s="270"/>
      <c r="G36" s="257">
        <f t="shared" si="5"/>
        <v>20000</v>
      </c>
      <c r="H36" s="258">
        <f t="shared" si="0"/>
        <v>0</v>
      </c>
      <c r="I36" s="259"/>
      <c r="J36" s="267"/>
      <c r="K36" s="257">
        <f t="shared" si="4"/>
        <v>20000</v>
      </c>
      <c r="L36" s="258">
        <f t="shared" si="1"/>
        <v>0</v>
      </c>
      <c r="M36" s="259"/>
      <c r="N36" s="261">
        <f t="shared" si="2"/>
        <v>0</v>
      </c>
      <c r="O36" s="262">
        <f t="shared" si="3"/>
      </c>
    </row>
    <row r="37" spans="2:15" s="252" customFormat="1" ht="15" hidden="1">
      <c r="B37" s="273"/>
      <c r="C37" s="253"/>
      <c r="D37" s="254"/>
      <c r="E37" s="255"/>
      <c r="F37" s="270"/>
      <c r="G37" s="257">
        <f t="shared" si="5"/>
        <v>20000</v>
      </c>
      <c r="H37" s="258">
        <f t="shared" si="0"/>
        <v>0</v>
      </c>
      <c r="I37" s="259"/>
      <c r="J37" s="267"/>
      <c r="K37" s="257">
        <f t="shared" si="4"/>
        <v>20000</v>
      </c>
      <c r="L37" s="258">
        <f t="shared" si="1"/>
        <v>0</v>
      </c>
      <c r="M37" s="259"/>
      <c r="N37" s="261">
        <f t="shared" si="2"/>
        <v>0</v>
      </c>
      <c r="O37" s="262">
        <f t="shared" si="3"/>
      </c>
    </row>
    <row r="38" spans="2:15" s="252" customFormat="1" ht="15" hidden="1">
      <c r="B38" s="273"/>
      <c r="C38" s="253"/>
      <c r="D38" s="254"/>
      <c r="E38" s="255"/>
      <c r="F38" s="270"/>
      <c r="G38" s="257">
        <f t="shared" si="5"/>
        <v>20000</v>
      </c>
      <c r="H38" s="258">
        <f t="shared" si="0"/>
        <v>0</v>
      </c>
      <c r="I38" s="259"/>
      <c r="J38" s="267"/>
      <c r="K38" s="257">
        <f t="shared" si="4"/>
        <v>20000</v>
      </c>
      <c r="L38" s="258">
        <f t="shared" si="1"/>
        <v>0</v>
      </c>
      <c r="M38" s="259"/>
      <c r="N38" s="261">
        <f t="shared" si="2"/>
        <v>0</v>
      </c>
      <c r="O38" s="262">
        <f t="shared" si="3"/>
      </c>
    </row>
    <row r="39" spans="2:15" s="252" customFormat="1" ht="15" hidden="1">
      <c r="B39" s="273"/>
      <c r="C39" s="253"/>
      <c r="D39" s="254"/>
      <c r="E39" s="255"/>
      <c r="F39" s="270"/>
      <c r="G39" s="257">
        <f t="shared" si="5"/>
        <v>20000</v>
      </c>
      <c r="H39" s="258">
        <f t="shared" si="0"/>
        <v>0</v>
      </c>
      <c r="I39" s="259"/>
      <c r="J39" s="267"/>
      <c r="K39" s="257">
        <f t="shared" si="4"/>
        <v>20000</v>
      </c>
      <c r="L39" s="258">
        <f t="shared" si="1"/>
        <v>0</v>
      </c>
      <c r="M39" s="259"/>
      <c r="N39" s="261">
        <f t="shared" si="2"/>
        <v>0</v>
      </c>
      <c r="O39" s="262">
        <f t="shared" si="3"/>
      </c>
    </row>
    <row r="40" spans="2:15" s="252" customFormat="1" ht="15" hidden="1">
      <c r="B40" s="273"/>
      <c r="C40" s="253"/>
      <c r="D40" s="254"/>
      <c r="E40" s="255"/>
      <c r="F40" s="270"/>
      <c r="G40" s="257">
        <f t="shared" si="5"/>
        <v>20000</v>
      </c>
      <c r="H40" s="258">
        <f t="shared" si="0"/>
        <v>0</v>
      </c>
      <c r="I40" s="259"/>
      <c r="J40" s="267"/>
      <c r="K40" s="257">
        <f t="shared" si="4"/>
        <v>20000</v>
      </c>
      <c r="L40" s="258">
        <f t="shared" si="1"/>
        <v>0</v>
      </c>
      <c r="M40" s="259"/>
      <c r="N40" s="261">
        <f t="shared" si="2"/>
        <v>0</v>
      </c>
      <c r="O40" s="262">
        <f t="shared" si="3"/>
      </c>
    </row>
    <row r="41" spans="2:15" s="283" customFormat="1" ht="15">
      <c r="B41" s="382" t="s">
        <v>24</v>
      </c>
      <c r="C41" s="274"/>
      <c r="D41" s="275"/>
      <c r="E41" s="274"/>
      <c r="F41" s="276"/>
      <c r="G41" s="281"/>
      <c r="H41" s="278">
        <f>SUM(H23:H40)</f>
        <v>332.762</v>
      </c>
      <c r="I41" s="279"/>
      <c r="J41" s="280"/>
      <c r="K41" s="281"/>
      <c r="L41" s="278">
        <f>SUM(L23:L40)</f>
        <v>332.414</v>
      </c>
      <c r="M41" s="279"/>
      <c r="N41" s="455">
        <f t="shared" si="2"/>
        <v>-0.3480000000000132</v>
      </c>
      <c r="O41" s="383">
        <f t="shared" si="3"/>
        <v>-0.0010457924883250287</v>
      </c>
    </row>
    <row r="42" spans="2:15" s="252" customFormat="1" ht="30">
      <c r="B42" s="426" t="s">
        <v>25</v>
      </c>
      <c r="C42" s="253"/>
      <c r="D42" s="266" t="s">
        <v>71</v>
      </c>
      <c r="E42" s="269"/>
      <c r="F42" s="284">
        <v>-2.8653</v>
      </c>
      <c r="G42" s="260">
        <f>G31</f>
        <v>60</v>
      </c>
      <c r="H42" s="258">
        <f aca="true" t="shared" si="6" ref="H42:H49">G42*F42</f>
        <v>-171.918</v>
      </c>
      <c r="I42" s="259"/>
      <c r="J42" s="284">
        <v>0.9664</v>
      </c>
      <c r="K42" s="260">
        <f>H18</f>
        <v>60</v>
      </c>
      <c r="L42" s="258">
        <f aca="true" t="shared" si="7" ref="L42:L49">K42*J42</f>
        <v>57.984</v>
      </c>
      <c r="M42" s="259"/>
      <c r="N42" s="261">
        <f aca="true" t="shared" si="8" ref="N42:N49">L42-H42</f>
        <v>229.90200000000002</v>
      </c>
      <c r="O42" s="262">
        <f aca="true" t="shared" si="9" ref="O42:O48">IF((H42)=0,"",(N42/H42))</f>
        <v>-1.3372770739538618</v>
      </c>
    </row>
    <row r="43" spans="2:15" s="252" customFormat="1" ht="15" hidden="1">
      <c r="B43" s="426"/>
      <c r="C43" s="253"/>
      <c r="D43" s="254" t="s">
        <v>71</v>
      </c>
      <c r="E43" s="255"/>
      <c r="F43" s="270"/>
      <c r="G43" s="260">
        <f>H18</f>
        <v>60</v>
      </c>
      <c r="H43" s="258">
        <f t="shared" si="6"/>
        <v>0</v>
      </c>
      <c r="I43" s="285"/>
      <c r="J43" s="267"/>
      <c r="K43" s="260">
        <f>H18</f>
        <v>60</v>
      </c>
      <c r="L43" s="258">
        <f t="shared" si="7"/>
        <v>0</v>
      </c>
      <c r="M43" s="286"/>
      <c r="N43" s="261">
        <f t="shared" si="8"/>
        <v>0</v>
      </c>
      <c r="O43" s="262">
        <f t="shared" si="9"/>
      </c>
    </row>
    <row r="44" spans="2:15" s="252" customFormat="1" ht="15" hidden="1">
      <c r="B44" s="426"/>
      <c r="C44" s="253"/>
      <c r="D44" s="254" t="s">
        <v>71</v>
      </c>
      <c r="E44" s="255"/>
      <c r="F44" s="270"/>
      <c r="G44" s="260">
        <f>H18</f>
        <v>60</v>
      </c>
      <c r="H44" s="258">
        <f t="shared" si="6"/>
        <v>0</v>
      </c>
      <c r="I44" s="285"/>
      <c r="J44" s="267"/>
      <c r="K44" s="260">
        <f>H18</f>
        <v>60</v>
      </c>
      <c r="L44" s="258">
        <f t="shared" si="7"/>
        <v>0</v>
      </c>
      <c r="M44" s="286"/>
      <c r="N44" s="261">
        <f t="shared" si="8"/>
        <v>0</v>
      </c>
      <c r="O44" s="262">
        <f t="shared" si="9"/>
      </c>
    </row>
    <row r="45" spans="2:15" s="252" customFormat="1" ht="45">
      <c r="B45" s="426" t="s">
        <v>75</v>
      </c>
      <c r="C45" s="253"/>
      <c r="D45" s="266" t="s">
        <v>71</v>
      </c>
      <c r="E45" s="255"/>
      <c r="F45" s="284">
        <v>2.7911</v>
      </c>
      <c r="G45" s="260">
        <f>H18</f>
        <v>60</v>
      </c>
      <c r="H45" s="258">
        <f t="shared" si="6"/>
        <v>167.466</v>
      </c>
      <c r="I45" s="285"/>
      <c r="J45" s="267">
        <v>0.0684</v>
      </c>
      <c r="K45" s="260">
        <f>H18</f>
        <v>60</v>
      </c>
      <c r="L45" s="258">
        <f t="shared" si="7"/>
        <v>4.104</v>
      </c>
      <c r="M45" s="286"/>
      <c r="N45" s="261">
        <f t="shared" si="8"/>
        <v>-163.362</v>
      </c>
      <c r="O45" s="262">
        <f t="shared" si="9"/>
        <v>-0.9754935330156568</v>
      </c>
    </row>
    <row r="46" spans="2:15" s="252" customFormat="1" ht="15" hidden="1">
      <c r="B46" s="255"/>
      <c r="C46" s="253"/>
      <c r="D46" s="254" t="s">
        <v>71</v>
      </c>
      <c r="E46" s="255"/>
      <c r="F46" s="270">
        <v>0</v>
      </c>
      <c r="G46" s="260">
        <f>$H$18</f>
        <v>60</v>
      </c>
      <c r="H46" s="258">
        <f t="shared" si="6"/>
        <v>0</v>
      </c>
      <c r="I46" s="259"/>
      <c r="J46" s="267"/>
      <c r="K46" s="260">
        <f>$H$18</f>
        <v>60</v>
      </c>
      <c r="L46" s="258">
        <f t="shared" si="7"/>
        <v>0</v>
      </c>
      <c r="M46" s="259"/>
      <c r="N46" s="261">
        <f t="shared" si="8"/>
        <v>0</v>
      </c>
      <c r="O46" s="262">
        <f t="shared" si="9"/>
      </c>
    </row>
    <row r="47" spans="2:15" s="252" customFormat="1" ht="15">
      <c r="B47" s="384" t="s">
        <v>26</v>
      </c>
      <c r="C47" s="253"/>
      <c r="D47" s="254" t="s">
        <v>71</v>
      </c>
      <c r="E47" s="255"/>
      <c r="F47" s="270">
        <v>1.1222</v>
      </c>
      <c r="G47" s="260">
        <f>H18</f>
        <v>60</v>
      </c>
      <c r="H47" s="258">
        <f t="shared" si="6"/>
        <v>67.33200000000001</v>
      </c>
      <c r="I47" s="259"/>
      <c r="J47" s="267">
        <v>1.1222</v>
      </c>
      <c r="K47" s="260">
        <f>H18</f>
        <v>60</v>
      </c>
      <c r="L47" s="258">
        <f t="shared" si="7"/>
        <v>67.33200000000001</v>
      </c>
      <c r="M47" s="259"/>
      <c r="N47" s="261">
        <f t="shared" si="8"/>
        <v>0</v>
      </c>
      <c r="O47" s="262">
        <f t="shared" si="9"/>
        <v>0</v>
      </c>
    </row>
    <row r="48" spans="2:15" s="283" customFormat="1" ht="15">
      <c r="B48" s="385" t="s">
        <v>27</v>
      </c>
      <c r="C48" s="255"/>
      <c r="D48" s="288" t="s">
        <v>63</v>
      </c>
      <c r="E48" s="255"/>
      <c r="F48" s="289">
        <f>IF(ISBLANK(D16)=TRUE,0,IF(D16="TOU",0.64*$F$59+0.18*$F$60+0.18*$F$61,IF(AND(D16="non-TOU",G63&gt;0),F63,F62)))</f>
        <v>0.075</v>
      </c>
      <c r="G48" s="260">
        <f>$F$18*(1+$F$78)-$F$18</f>
        <v>990.0000000000036</v>
      </c>
      <c r="H48" s="290">
        <f t="shared" si="6"/>
        <v>74.25000000000027</v>
      </c>
      <c r="I48" s="269"/>
      <c r="J48" s="287">
        <f>IF(ISBLANK(D16)=TRUE,0,IF(D16="TOU",0.64*$F$59+0.18*$F$60+0.18*$F$61,IF(AND(D16="non-TOU",K63&gt;0),J63,J62)))</f>
        <v>0.075</v>
      </c>
      <c r="K48" s="260">
        <f>$F$18*(1+$J$78)-$F$18</f>
        <v>990.0000000000036</v>
      </c>
      <c r="L48" s="290">
        <f t="shared" si="7"/>
        <v>74.25000000000027</v>
      </c>
      <c r="M48" s="269"/>
      <c r="N48" s="261">
        <f t="shared" si="8"/>
        <v>0</v>
      </c>
      <c r="O48" s="291">
        <f t="shared" si="9"/>
        <v>0</v>
      </c>
    </row>
    <row r="49" spans="2:15" s="252" customFormat="1" ht="15" hidden="1">
      <c r="B49" s="384" t="s">
        <v>28</v>
      </c>
      <c r="C49" s="253"/>
      <c r="D49" s="254" t="s">
        <v>62</v>
      </c>
      <c r="E49" s="255"/>
      <c r="F49" s="292">
        <v>0</v>
      </c>
      <c r="G49" s="257">
        <v>0</v>
      </c>
      <c r="H49" s="258">
        <f t="shared" si="6"/>
        <v>0</v>
      </c>
      <c r="I49" s="259"/>
      <c r="J49" s="292">
        <v>0</v>
      </c>
      <c r="K49" s="257">
        <v>0</v>
      </c>
      <c r="L49" s="258">
        <f t="shared" si="7"/>
        <v>0</v>
      </c>
      <c r="M49" s="259"/>
      <c r="N49" s="261">
        <f t="shared" si="8"/>
        <v>0</v>
      </c>
      <c r="O49" s="262"/>
    </row>
    <row r="50" spans="2:15" s="252" customFormat="1" ht="30">
      <c r="B50" s="386" t="s">
        <v>29</v>
      </c>
      <c r="C50" s="293"/>
      <c r="D50" s="293"/>
      <c r="E50" s="293"/>
      <c r="F50" s="84"/>
      <c r="G50" s="296"/>
      <c r="H50" s="295">
        <f>SUM(H42:H49)+H41</f>
        <v>469.8920000000003</v>
      </c>
      <c r="I50" s="279"/>
      <c r="J50" s="294"/>
      <c r="K50" s="296"/>
      <c r="L50" s="295">
        <f>SUM(L42:L49)+L41</f>
        <v>536.0840000000003</v>
      </c>
      <c r="M50" s="279"/>
      <c r="N50" s="455">
        <f aca="true" t="shared" si="10" ref="N50:N69">L50-H50</f>
        <v>66.19200000000001</v>
      </c>
      <c r="O50" s="383">
        <f aca="true" t="shared" si="11" ref="O50:O69">IF((H50)=0,"",(N50/H50))</f>
        <v>0.14086641185634138</v>
      </c>
    </row>
    <row r="51" spans="2:15" s="252" customFormat="1" ht="15">
      <c r="B51" s="259" t="s">
        <v>30</v>
      </c>
      <c r="C51" s="259"/>
      <c r="D51" s="266" t="s">
        <v>71</v>
      </c>
      <c r="E51" s="269"/>
      <c r="F51" s="267">
        <v>1.747</v>
      </c>
      <c r="G51" s="303">
        <f>H18*(1+F78)</f>
        <v>62.970000000000006</v>
      </c>
      <c r="H51" s="258">
        <f>G51*F51</f>
        <v>110.00859000000001</v>
      </c>
      <c r="I51" s="259"/>
      <c r="J51" s="267">
        <v>2.3168</v>
      </c>
      <c r="K51" s="303">
        <f>H18*(1+J78)</f>
        <v>62.970000000000006</v>
      </c>
      <c r="L51" s="258">
        <f>K51*J51</f>
        <v>145.88889600000002</v>
      </c>
      <c r="M51" s="259"/>
      <c r="N51" s="261">
        <f t="shared" si="10"/>
        <v>35.880306000000004</v>
      </c>
      <c r="O51" s="262">
        <f t="shared" si="11"/>
        <v>0.32615912993703494</v>
      </c>
    </row>
    <row r="52" spans="2:15" s="252" customFormat="1" ht="15">
      <c r="B52" s="298" t="s">
        <v>31</v>
      </c>
      <c r="C52" s="259"/>
      <c r="D52" s="266" t="s">
        <v>71</v>
      </c>
      <c r="E52" s="269"/>
      <c r="F52" s="267">
        <v>0.6879</v>
      </c>
      <c r="G52" s="303">
        <f>G51</f>
        <v>62.970000000000006</v>
      </c>
      <c r="H52" s="258">
        <f>G52*F52</f>
        <v>43.317063000000005</v>
      </c>
      <c r="I52" s="259"/>
      <c r="J52" s="267">
        <v>1.0907</v>
      </c>
      <c r="K52" s="303">
        <f>K51</f>
        <v>62.970000000000006</v>
      </c>
      <c r="L52" s="258">
        <f>K52*J52</f>
        <v>68.681379</v>
      </c>
      <c r="M52" s="259"/>
      <c r="N52" s="261">
        <f t="shared" si="10"/>
        <v>25.364316000000002</v>
      </c>
      <c r="O52" s="262">
        <f t="shared" si="11"/>
        <v>0.5855502253234481</v>
      </c>
    </row>
    <row r="53" spans="2:15" s="252" customFormat="1" ht="30">
      <c r="B53" s="386" t="s">
        <v>32</v>
      </c>
      <c r="C53" s="274"/>
      <c r="D53" s="274"/>
      <c r="E53" s="274"/>
      <c r="F53" s="85"/>
      <c r="G53" s="301"/>
      <c r="H53" s="295">
        <f>SUM(H50:H52)</f>
        <v>623.2176530000003</v>
      </c>
      <c r="I53" s="299"/>
      <c r="J53" s="300"/>
      <c r="K53" s="301"/>
      <c r="L53" s="295">
        <f>SUM(L50:L52)</f>
        <v>750.6542750000003</v>
      </c>
      <c r="M53" s="299"/>
      <c r="N53" s="455">
        <f t="shared" si="10"/>
        <v>127.43662200000006</v>
      </c>
      <c r="O53" s="383">
        <f t="shared" si="11"/>
        <v>0.2044817270283581</v>
      </c>
    </row>
    <row r="54" spans="2:15" s="252" customFormat="1" ht="15">
      <c r="B54" s="265" t="s">
        <v>33</v>
      </c>
      <c r="C54" s="253"/>
      <c r="D54" s="254" t="s">
        <v>63</v>
      </c>
      <c r="E54" s="255"/>
      <c r="F54" s="270">
        <v>0.0044</v>
      </c>
      <c r="G54" s="486">
        <f>F18*(1+F78)</f>
        <v>20990.000000000004</v>
      </c>
      <c r="H54" s="258">
        <f aca="true" t="shared" si="12" ref="H54:H61">G54*F54</f>
        <v>92.35600000000002</v>
      </c>
      <c r="I54" s="259"/>
      <c r="J54" s="471">
        <v>0.0036</v>
      </c>
      <c r="K54" s="486">
        <f>F18*(1+J78)</f>
        <v>20990.000000000004</v>
      </c>
      <c r="L54" s="258">
        <f aca="true" t="shared" si="13" ref="L54:L61">K54*J54</f>
        <v>75.56400000000001</v>
      </c>
      <c r="M54" s="259"/>
      <c r="N54" s="261">
        <f t="shared" si="10"/>
        <v>-16.792000000000016</v>
      </c>
      <c r="O54" s="262">
        <f t="shared" si="11"/>
        <v>-0.18181818181818193</v>
      </c>
    </row>
    <row r="55" spans="2:15" s="252" customFormat="1" ht="15">
      <c r="B55" s="265" t="s">
        <v>34</v>
      </c>
      <c r="C55" s="253"/>
      <c r="D55" s="254" t="s">
        <v>63</v>
      </c>
      <c r="E55" s="255"/>
      <c r="F55" s="270">
        <v>0.0013</v>
      </c>
      <c r="G55" s="486">
        <f>G54</f>
        <v>20990.000000000004</v>
      </c>
      <c r="H55" s="258">
        <f t="shared" si="12"/>
        <v>27.287000000000003</v>
      </c>
      <c r="I55" s="259"/>
      <c r="J55" s="267">
        <v>0.0013</v>
      </c>
      <c r="K55" s="486">
        <f>K54</f>
        <v>20990.000000000004</v>
      </c>
      <c r="L55" s="258">
        <f t="shared" si="13"/>
        <v>27.287000000000003</v>
      </c>
      <c r="M55" s="259"/>
      <c r="N55" s="261">
        <f t="shared" si="10"/>
        <v>0</v>
      </c>
      <c r="O55" s="262">
        <f t="shared" si="11"/>
        <v>0</v>
      </c>
    </row>
    <row r="56" spans="2:15" s="252" customFormat="1" ht="15">
      <c r="B56" s="265" t="s">
        <v>121</v>
      </c>
      <c r="C56" s="253"/>
      <c r="D56" s="254" t="s">
        <v>63</v>
      </c>
      <c r="E56" s="255"/>
      <c r="F56" s="270">
        <v>0</v>
      </c>
      <c r="G56" s="486">
        <f>G55</f>
        <v>20990.000000000004</v>
      </c>
      <c r="H56" s="258">
        <f t="shared" si="12"/>
        <v>0</v>
      </c>
      <c r="I56" s="259"/>
      <c r="J56" s="471">
        <v>0.0011</v>
      </c>
      <c r="K56" s="486">
        <f>K55</f>
        <v>20990.000000000004</v>
      </c>
      <c r="L56" s="258">
        <f t="shared" si="13"/>
        <v>23.089000000000006</v>
      </c>
      <c r="M56" s="259"/>
      <c r="N56" s="261">
        <f t="shared" si="10"/>
        <v>23.089000000000006</v>
      </c>
      <c r="O56" s="262">
        <f t="shared" si="11"/>
      </c>
    </row>
    <row r="57" spans="2:15" s="252" customFormat="1" ht="15">
      <c r="B57" s="253" t="s">
        <v>35</v>
      </c>
      <c r="C57" s="253"/>
      <c r="D57" s="254" t="s">
        <v>62</v>
      </c>
      <c r="E57" s="255"/>
      <c r="F57" s="256">
        <v>0.25</v>
      </c>
      <c r="G57" s="260">
        <v>1</v>
      </c>
      <c r="H57" s="258">
        <f t="shared" si="12"/>
        <v>0.25</v>
      </c>
      <c r="I57" s="259"/>
      <c r="J57" s="264">
        <v>0.25</v>
      </c>
      <c r="K57" s="260">
        <v>1</v>
      </c>
      <c r="L57" s="258">
        <f t="shared" si="13"/>
        <v>0.25</v>
      </c>
      <c r="M57" s="259"/>
      <c r="N57" s="261">
        <f t="shared" si="10"/>
        <v>0</v>
      </c>
      <c r="O57" s="262">
        <f t="shared" si="11"/>
        <v>0</v>
      </c>
    </row>
    <row r="58" spans="2:15" s="252" customFormat="1" ht="15">
      <c r="B58" s="253" t="s">
        <v>36</v>
      </c>
      <c r="C58" s="253"/>
      <c r="D58" s="254" t="s">
        <v>63</v>
      </c>
      <c r="E58" s="255"/>
      <c r="F58" s="270">
        <v>0.007</v>
      </c>
      <c r="G58" s="303">
        <f>F18</f>
        <v>20000</v>
      </c>
      <c r="H58" s="258">
        <f t="shared" si="12"/>
        <v>140</v>
      </c>
      <c r="I58" s="259"/>
      <c r="J58" s="267">
        <f>0.007</f>
        <v>0.007</v>
      </c>
      <c r="K58" s="303">
        <f>F18</f>
        <v>20000</v>
      </c>
      <c r="L58" s="258">
        <f t="shared" si="13"/>
        <v>140</v>
      </c>
      <c r="M58" s="259"/>
      <c r="N58" s="261">
        <f t="shared" si="10"/>
        <v>0</v>
      </c>
      <c r="O58" s="262">
        <f t="shared" si="11"/>
        <v>0</v>
      </c>
    </row>
    <row r="59" spans="2:19" s="252" customFormat="1" ht="15.75" thickBot="1">
      <c r="B59" s="384" t="s">
        <v>74</v>
      </c>
      <c r="C59" s="253"/>
      <c r="D59" s="254" t="s">
        <v>63</v>
      </c>
      <c r="E59" s="255"/>
      <c r="F59" s="270">
        <v>0.1</v>
      </c>
      <c r="G59" s="302">
        <f>F18</f>
        <v>20000</v>
      </c>
      <c r="H59" s="258">
        <f t="shared" si="12"/>
        <v>2000</v>
      </c>
      <c r="I59" s="259"/>
      <c r="J59" s="267">
        <f>F59</f>
        <v>0.1</v>
      </c>
      <c r="K59" s="302">
        <f>G59</f>
        <v>20000</v>
      </c>
      <c r="L59" s="258">
        <f t="shared" si="13"/>
        <v>2000</v>
      </c>
      <c r="M59" s="259"/>
      <c r="N59" s="261">
        <f t="shared" si="10"/>
        <v>0</v>
      </c>
      <c r="O59" s="262">
        <f t="shared" si="11"/>
        <v>0</v>
      </c>
      <c r="S59" s="304"/>
    </row>
    <row r="60" spans="2:19" s="252" customFormat="1" ht="15.75" hidden="1" thickBot="1">
      <c r="B60" s="384" t="s">
        <v>38</v>
      </c>
      <c r="C60" s="253"/>
      <c r="D60" s="254"/>
      <c r="E60" s="255"/>
      <c r="F60" s="289">
        <v>0.104</v>
      </c>
      <c r="G60" s="302">
        <v>0</v>
      </c>
      <c r="H60" s="258">
        <f t="shared" si="12"/>
        <v>0</v>
      </c>
      <c r="I60" s="259"/>
      <c r="J60" s="270">
        <v>0.104</v>
      </c>
      <c r="K60" s="302">
        <v>0</v>
      </c>
      <c r="L60" s="258">
        <f t="shared" si="13"/>
        <v>0</v>
      </c>
      <c r="M60" s="259"/>
      <c r="N60" s="272">
        <f t="shared" si="10"/>
        <v>0</v>
      </c>
      <c r="O60" s="262">
        <f t="shared" si="11"/>
      </c>
      <c r="S60" s="304"/>
    </row>
    <row r="61" spans="2:19" s="252" customFormat="1" ht="15.75" hidden="1" thickBot="1">
      <c r="B61" s="373" t="s">
        <v>39</v>
      </c>
      <c r="C61" s="253"/>
      <c r="D61" s="254"/>
      <c r="E61" s="255"/>
      <c r="F61" s="289">
        <v>0.124</v>
      </c>
      <c r="G61" s="302">
        <v>0</v>
      </c>
      <c r="H61" s="258">
        <f t="shared" si="12"/>
        <v>0</v>
      </c>
      <c r="I61" s="259"/>
      <c r="J61" s="270">
        <v>0.124</v>
      </c>
      <c r="K61" s="302">
        <v>0</v>
      </c>
      <c r="L61" s="258">
        <f t="shared" si="13"/>
        <v>0</v>
      </c>
      <c r="M61" s="259"/>
      <c r="N61" s="272">
        <f t="shared" si="10"/>
        <v>0</v>
      </c>
      <c r="O61" s="262">
        <f t="shared" si="11"/>
      </c>
      <c r="S61" s="304"/>
    </row>
    <row r="62" spans="2:15" s="390" customFormat="1" ht="15.75" hidden="1" thickBot="1">
      <c r="B62" s="451" t="s">
        <v>40</v>
      </c>
      <c r="C62" s="387"/>
      <c r="D62" s="388"/>
      <c r="E62" s="389"/>
      <c r="F62" s="289">
        <v>0.075</v>
      </c>
      <c r="G62" s="305">
        <v>0</v>
      </c>
      <c r="H62" s="258">
        <f>G62*F62</f>
        <v>0</v>
      </c>
      <c r="I62" s="306"/>
      <c r="J62" s="270">
        <v>0.075</v>
      </c>
      <c r="K62" s="305">
        <f>G62</f>
        <v>0</v>
      </c>
      <c r="L62" s="258">
        <f>K62*J62</f>
        <v>0</v>
      </c>
      <c r="M62" s="306"/>
      <c r="N62" s="428">
        <f t="shared" si="10"/>
        <v>0</v>
      </c>
      <c r="O62" s="262">
        <f t="shared" si="11"/>
      </c>
    </row>
    <row r="63" spans="2:15" s="390" customFormat="1" ht="15.75" hidden="1" thickBot="1">
      <c r="B63" s="451" t="s">
        <v>41</v>
      </c>
      <c r="C63" s="387"/>
      <c r="D63" s="388"/>
      <c r="E63" s="389"/>
      <c r="F63" s="289">
        <v>0.088</v>
      </c>
      <c r="G63" s="305">
        <v>0</v>
      </c>
      <c r="H63" s="258">
        <f>G63*F63</f>
        <v>0</v>
      </c>
      <c r="I63" s="306"/>
      <c r="J63" s="270">
        <v>0.088</v>
      </c>
      <c r="K63" s="305">
        <f>G63</f>
        <v>0</v>
      </c>
      <c r="L63" s="258">
        <f>K63*J63</f>
        <v>0</v>
      </c>
      <c r="M63" s="306"/>
      <c r="N63" s="428">
        <f t="shared" si="10"/>
        <v>0</v>
      </c>
      <c r="O63" s="262">
        <f t="shared" si="11"/>
      </c>
    </row>
    <row r="64" spans="2:15" s="252" customFormat="1" ht="15.75" hidden="1" thickBot="1">
      <c r="B64" s="391"/>
      <c r="C64" s="307"/>
      <c r="D64" s="308"/>
      <c r="E64" s="307"/>
      <c r="F64" s="309"/>
      <c r="G64" s="310"/>
      <c r="H64" s="311"/>
      <c r="I64" s="312"/>
      <c r="J64" s="309"/>
      <c r="K64" s="313"/>
      <c r="L64" s="311"/>
      <c r="M64" s="312"/>
      <c r="N64" s="314"/>
      <c r="O64" s="315"/>
    </row>
    <row r="65" spans="2:19" s="252" customFormat="1" ht="15.75" hidden="1" thickBot="1">
      <c r="B65" s="392" t="s">
        <v>42</v>
      </c>
      <c r="C65" s="253"/>
      <c r="D65" s="253"/>
      <c r="E65" s="253"/>
      <c r="F65" s="316"/>
      <c r="G65" s="317"/>
      <c r="H65" s="318">
        <f>SUM(H54:H61,H53)</f>
        <v>2883.110653</v>
      </c>
      <c r="I65" s="319"/>
      <c r="J65" s="320"/>
      <c r="K65" s="320"/>
      <c r="L65" s="318">
        <f>SUM(L54:L61,L53)</f>
        <v>3016.8442750000004</v>
      </c>
      <c r="M65" s="322"/>
      <c r="N65" s="445">
        <f>L65-H65</f>
        <v>133.7336220000002</v>
      </c>
      <c r="O65" s="393">
        <f>IF((H65)=0,"",(N65/H65))</f>
        <v>0.04638518534168803</v>
      </c>
      <c r="S65" s="304"/>
    </row>
    <row r="66" spans="2:19" s="252" customFormat="1" ht="15.75" hidden="1" thickBot="1">
      <c r="B66" s="394" t="s">
        <v>43</v>
      </c>
      <c r="C66" s="253"/>
      <c r="D66" s="253"/>
      <c r="E66" s="253"/>
      <c r="F66" s="324">
        <v>0.13</v>
      </c>
      <c r="G66" s="325"/>
      <c r="H66" s="326">
        <f>H65*F66</f>
        <v>374.80438489000005</v>
      </c>
      <c r="I66" s="327"/>
      <c r="J66" s="328">
        <v>0.13</v>
      </c>
      <c r="K66" s="327"/>
      <c r="L66" s="329">
        <f>L65*J66</f>
        <v>392.1897557500001</v>
      </c>
      <c r="M66" s="330"/>
      <c r="N66" s="446">
        <f t="shared" si="10"/>
        <v>17.385370860000023</v>
      </c>
      <c r="O66" s="395">
        <f t="shared" si="11"/>
        <v>0.046385185341688014</v>
      </c>
      <c r="S66" s="304"/>
    </row>
    <row r="67" spans="2:19" s="252" customFormat="1" ht="15" hidden="1">
      <c r="B67" s="396" t="s">
        <v>127</v>
      </c>
      <c r="C67" s="253"/>
      <c r="D67" s="253"/>
      <c r="E67" s="253"/>
      <c r="F67" s="331"/>
      <c r="G67" s="325"/>
      <c r="H67" s="326">
        <f>H65+H66</f>
        <v>3257.9150378900003</v>
      </c>
      <c r="I67" s="327"/>
      <c r="J67" s="327"/>
      <c r="K67" s="327"/>
      <c r="L67" s="329">
        <f>L65+L66</f>
        <v>3409.0340307500005</v>
      </c>
      <c r="M67" s="330"/>
      <c r="N67" s="446">
        <f t="shared" si="10"/>
        <v>151.11899286000016</v>
      </c>
      <c r="O67" s="395">
        <f t="shared" si="11"/>
        <v>0.04638518534168801</v>
      </c>
      <c r="S67" s="304"/>
    </row>
    <row r="68" spans="2:15" s="252" customFormat="1" ht="15" hidden="1">
      <c r="B68" s="554" t="s">
        <v>128</v>
      </c>
      <c r="C68" s="554"/>
      <c r="D68" s="554"/>
      <c r="E68" s="253"/>
      <c r="F68" s="331"/>
      <c r="G68" s="325"/>
      <c r="H68" s="452">
        <f>ROUND(-H67*10%,2)</f>
        <v>-325.79</v>
      </c>
      <c r="I68" s="327"/>
      <c r="J68" s="327"/>
      <c r="K68" s="327"/>
      <c r="L68" s="453">
        <f>ROUND(-L67*10%,2)</f>
        <v>-340.9</v>
      </c>
      <c r="M68" s="330"/>
      <c r="N68" s="432">
        <f t="shared" si="10"/>
        <v>-15.109999999999957</v>
      </c>
      <c r="O68" s="397">
        <f t="shared" si="11"/>
        <v>0.04637956966143821</v>
      </c>
    </row>
    <row r="69" spans="2:15" s="252" customFormat="1" ht="15.75" hidden="1" thickBot="1">
      <c r="B69" s="555" t="s">
        <v>46</v>
      </c>
      <c r="C69" s="555"/>
      <c r="D69" s="555"/>
      <c r="E69" s="334"/>
      <c r="F69" s="335"/>
      <c r="G69" s="336"/>
      <c r="H69" s="337">
        <f>H67+H68</f>
        <v>2932.1250378900004</v>
      </c>
      <c r="I69" s="338"/>
      <c r="J69" s="338"/>
      <c r="K69" s="338"/>
      <c r="L69" s="339">
        <f>L67+L68</f>
        <v>3068.1340307500004</v>
      </c>
      <c r="M69" s="340"/>
      <c r="N69" s="447">
        <f t="shared" si="10"/>
        <v>136.00899286000003</v>
      </c>
      <c r="O69" s="398">
        <f t="shared" si="11"/>
        <v>0.04638580930296004</v>
      </c>
    </row>
    <row r="70" spans="2:15" s="390" customFormat="1" ht="15.75" thickBot="1">
      <c r="B70" s="399"/>
      <c r="C70" s="400"/>
      <c r="D70" s="401"/>
      <c r="E70" s="400"/>
      <c r="F70" s="309"/>
      <c r="G70" s="342"/>
      <c r="H70" s="311"/>
      <c r="I70" s="343"/>
      <c r="J70" s="309"/>
      <c r="K70" s="344"/>
      <c r="L70" s="311"/>
      <c r="M70" s="343"/>
      <c r="N70" s="345"/>
      <c r="O70" s="315"/>
    </row>
    <row r="71" spans="2:15" s="390" customFormat="1" ht="15">
      <c r="B71" s="402" t="s">
        <v>47</v>
      </c>
      <c r="C71" s="387"/>
      <c r="D71" s="387"/>
      <c r="E71" s="387"/>
      <c r="F71" s="346"/>
      <c r="G71" s="347"/>
      <c r="H71" s="348">
        <f>SUM(H59,H53,H54:H58)</f>
        <v>2883.110653</v>
      </c>
      <c r="I71" s="349"/>
      <c r="J71" s="350"/>
      <c r="K71" s="350"/>
      <c r="L71" s="351">
        <f>SUM(L59,L53,L54:L58)</f>
        <v>3016.844275</v>
      </c>
      <c r="M71" s="352"/>
      <c r="N71" s="448">
        <f>L71-H71</f>
        <v>133.73362199999974</v>
      </c>
      <c r="O71" s="393">
        <f>IF((H71)=0,"",(N71/H71))</f>
        <v>0.04638518534168787</v>
      </c>
    </row>
    <row r="72" spans="2:15" s="390" customFormat="1" ht="15">
      <c r="B72" s="403" t="s">
        <v>43</v>
      </c>
      <c r="C72" s="387"/>
      <c r="D72" s="387"/>
      <c r="E72" s="387"/>
      <c r="F72" s="353">
        <v>0.13</v>
      </c>
      <c r="G72" s="347"/>
      <c r="H72" s="354">
        <f>H71*F72</f>
        <v>374.80438489000005</v>
      </c>
      <c r="I72" s="355"/>
      <c r="J72" s="353">
        <v>0.13</v>
      </c>
      <c r="K72" s="356"/>
      <c r="L72" s="357">
        <f>L71*J72</f>
        <v>392.18975575</v>
      </c>
      <c r="M72" s="358"/>
      <c r="N72" s="449">
        <f>L72-H72</f>
        <v>17.385370859999966</v>
      </c>
      <c r="O72" s="395">
        <f>IF((H72)=0,"",(N72/H72))</f>
        <v>0.04638518534168786</v>
      </c>
    </row>
    <row r="73" spans="2:15" s="390" customFormat="1" ht="15">
      <c r="B73" s="404" t="s">
        <v>127</v>
      </c>
      <c r="C73" s="387"/>
      <c r="D73" s="387"/>
      <c r="E73" s="387"/>
      <c r="F73" s="359"/>
      <c r="G73" s="358"/>
      <c r="H73" s="354">
        <f>H71+H72</f>
        <v>3257.9150378900003</v>
      </c>
      <c r="I73" s="355"/>
      <c r="J73" s="355"/>
      <c r="K73" s="355"/>
      <c r="L73" s="357">
        <f>L71+L72</f>
        <v>3409.03403075</v>
      </c>
      <c r="M73" s="358"/>
      <c r="N73" s="449">
        <f>L73-H73</f>
        <v>151.1189928599997</v>
      </c>
      <c r="O73" s="395">
        <f>IF((H73)=0,"",(N73/H73))</f>
        <v>0.04638518534168786</v>
      </c>
    </row>
    <row r="74" spans="2:15" s="390" customFormat="1" ht="17.25">
      <c r="B74" s="556" t="s">
        <v>128</v>
      </c>
      <c r="C74" s="556"/>
      <c r="D74" s="556"/>
      <c r="E74" s="387"/>
      <c r="F74" s="359"/>
      <c r="G74" s="358"/>
      <c r="H74" s="472">
        <v>0</v>
      </c>
      <c r="I74" s="355"/>
      <c r="J74" s="355"/>
      <c r="K74" s="355"/>
      <c r="L74" s="454">
        <v>0</v>
      </c>
      <c r="M74" s="358"/>
      <c r="N74" s="435">
        <f>L74-H74</f>
        <v>0</v>
      </c>
      <c r="O74" s="395">
        <f>IF((H74)=0,"",(N74/H74))</f>
      </c>
    </row>
    <row r="75" spans="2:15" s="390" customFormat="1" ht="15.75" thickBot="1">
      <c r="B75" s="547" t="s">
        <v>48</v>
      </c>
      <c r="C75" s="547"/>
      <c r="D75" s="547"/>
      <c r="E75" s="405"/>
      <c r="F75" s="362"/>
      <c r="G75" s="363"/>
      <c r="H75" s="364">
        <f>SUM(H73:H74)</f>
        <v>3257.9150378900003</v>
      </c>
      <c r="I75" s="365"/>
      <c r="J75" s="365"/>
      <c r="K75" s="365"/>
      <c r="L75" s="366">
        <f>SUM(L73:L74)</f>
        <v>3409.03403075</v>
      </c>
      <c r="M75" s="367"/>
      <c r="N75" s="450">
        <f>L75-H75</f>
        <v>151.1189928599997</v>
      </c>
      <c r="O75" s="406">
        <f>IF((H75)=0,"",(N75/H75))</f>
        <v>0.04638518534168786</v>
      </c>
    </row>
    <row r="76" spans="2:15" s="390" customFormat="1" ht="15.75" thickBot="1">
      <c r="B76" s="399"/>
      <c r="C76" s="400"/>
      <c r="D76" s="401"/>
      <c r="E76" s="400"/>
      <c r="F76" s="368"/>
      <c r="G76" s="407"/>
      <c r="H76" s="369"/>
      <c r="I76" s="408"/>
      <c r="J76" s="368"/>
      <c r="K76" s="342"/>
      <c r="L76" s="370"/>
      <c r="M76" s="343"/>
      <c r="N76" s="409"/>
      <c r="O76" s="315"/>
    </row>
    <row r="77" s="252" customFormat="1" ht="15">
      <c r="L77" s="304"/>
    </row>
    <row r="78" spans="2:10" s="252" customFormat="1" ht="15">
      <c r="B78" s="410" t="s">
        <v>49</v>
      </c>
      <c r="F78" s="371">
        <v>0.0495</v>
      </c>
      <c r="J78" s="371">
        <v>0.0495</v>
      </c>
    </row>
    <row r="79" s="252" customFormat="1" ht="15"/>
    <row r="80" spans="2:15" s="252" customFormat="1" ht="15">
      <c r="B80" s="470" t="s">
        <v>141</v>
      </c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0"/>
      <c r="N80" s="470"/>
      <c r="O80" s="470"/>
    </row>
    <row r="81" spans="2:15" s="252" customFormat="1" ht="15">
      <c r="B81" s="470" t="s">
        <v>142</v>
      </c>
      <c r="C81" s="470"/>
      <c r="D81" s="470"/>
      <c r="E81" s="470"/>
      <c r="F81" s="470"/>
      <c r="G81" s="470"/>
      <c r="H81" s="470"/>
      <c r="I81" s="470"/>
      <c r="J81" s="470"/>
      <c r="K81" s="470"/>
      <c r="L81" s="470"/>
      <c r="M81" s="470"/>
      <c r="N81" s="470"/>
      <c r="O81" s="470"/>
    </row>
    <row r="82" s="252" customFormat="1" ht="17.25">
      <c r="A82" s="411" t="s">
        <v>129</v>
      </c>
    </row>
    <row r="83" s="252" customFormat="1" ht="15"/>
    <row r="84" s="252" customFormat="1" ht="15">
      <c r="A84" s="252" t="s">
        <v>51</v>
      </c>
    </row>
    <row r="85" s="252" customFormat="1" ht="15">
      <c r="A85" s="252" t="s">
        <v>52</v>
      </c>
    </row>
    <row r="86" s="252" customFormat="1" ht="15"/>
    <row r="87" s="252" customFormat="1" ht="15">
      <c r="A87" s="373" t="s">
        <v>53</v>
      </c>
    </row>
    <row r="88" s="252" customFormat="1" ht="15">
      <c r="A88" s="373" t="s">
        <v>54</v>
      </c>
    </row>
    <row r="89" s="252" customFormat="1" ht="15"/>
    <row r="90" s="252" customFormat="1" ht="15">
      <c r="A90" s="252" t="s">
        <v>55</v>
      </c>
    </row>
    <row r="91" s="252" customFormat="1" ht="15">
      <c r="A91" s="252" t="s">
        <v>56</v>
      </c>
    </row>
    <row r="92" s="252" customFormat="1" ht="15">
      <c r="A92" s="252" t="s">
        <v>57</v>
      </c>
    </row>
    <row r="93" s="252" customFormat="1" ht="15">
      <c r="A93" s="252" t="s">
        <v>58</v>
      </c>
    </row>
    <row r="94" s="252" customFormat="1" ht="15">
      <c r="A94" s="252" t="s">
        <v>59</v>
      </c>
    </row>
    <row r="95" s="252" customFormat="1" ht="15"/>
    <row r="96" spans="1:2" s="252" customFormat="1" ht="15">
      <c r="A96" s="372"/>
      <c r="B96" s="252" t="s">
        <v>60</v>
      </c>
    </row>
    <row r="97" s="252" customFormat="1" ht="15"/>
    <row r="98" s="252" customFormat="1" ht="15"/>
    <row r="99" s="252" customFormat="1" ht="15"/>
  </sheetData>
  <sheetProtection/>
  <mergeCells count="21">
    <mergeCell ref="B75:D75"/>
    <mergeCell ref="D21:D22"/>
    <mergeCell ref="N21:N22"/>
    <mergeCell ref="O21:O22"/>
    <mergeCell ref="B68:D68"/>
    <mergeCell ref="N1:O1"/>
    <mergeCell ref="N2:O2"/>
    <mergeCell ref="N3:O3"/>
    <mergeCell ref="N4:O4"/>
    <mergeCell ref="A3:K3"/>
    <mergeCell ref="F20:H20"/>
    <mergeCell ref="N5:O5"/>
    <mergeCell ref="N6:O6"/>
    <mergeCell ref="N7:O7"/>
    <mergeCell ref="B11:O11"/>
    <mergeCell ref="B10:O10"/>
    <mergeCell ref="D14:O14"/>
    <mergeCell ref="B74:D74"/>
    <mergeCell ref="J20:L20"/>
    <mergeCell ref="B69:D69"/>
    <mergeCell ref="N20:O2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6 E70 E62:E63">
      <formula1>'GS 50-4999 (60kW)'!#REF!</formula1>
    </dataValidation>
    <dataValidation type="list" allowBlank="1" showInputMessage="1" showErrorMessage="1" prompt="Select Charge Unit - monthly, per kWh, per kW" sqref="D51:D52 D23:D40 D70 D42:D49 D76 D54:D64">
      <formula1>"Monthly, per kWh, per kW"</formula1>
    </dataValidation>
    <dataValidation type="list" allowBlank="1" showInputMessage="1" showErrorMessage="1" sqref="E51:E52 E23:E40 E64 E42:E49 E54:E61">
      <formula1>'GS 50-4999 (60kW)'!#REF!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6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46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1.5742187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1.5742187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1.140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 s="20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14</v>
      </c>
      <c r="O4" s="523"/>
      <c r="P4" s="21"/>
    </row>
    <row r="5" spans="3:16" s="2" customFormat="1" ht="15" customHeight="1">
      <c r="C5" s="7"/>
      <c r="D5" s="7"/>
      <c r="E5" s="7"/>
      <c r="L5" s="3" t="s">
        <v>77</v>
      </c>
      <c r="N5" s="525" t="s">
        <v>90</v>
      </c>
      <c r="O5" s="525"/>
      <c r="P5" s="20"/>
    </row>
    <row r="6" spans="12:16" s="2" customFormat="1" ht="9" customHeight="1">
      <c r="L6" s="3"/>
      <c r="N6" s="543"/>
      <c r="O6" s="543"/>
      <c r="P6" s="23"/>
    </row>
    <row r="7" spans="12:16" s="2" customFormat="1" ht="15">
      <c r="L7" s="3" t="s">
        <v>145</v>
      </c>
      <c r="N7" s="526">
        <v>42412</v>
      </c>
      <c r="O7" s="525"/>
      <c r="P7" s="24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4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113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40000</v>
      </c>
      <c r="G18" s="14" t="s">
        <v>9</v>
      </c>
      <c r="H18" s="15">
        <v>100</v>
      </c>
      <c r="I18" s="14" t="s">
        <v>70</v>
      </c>
    </row>
    <row r="19" ht="15">
      <c r="B19" s="13"/>
    </row>
    <row r="20" spans="2:15" s="252" customFormat="1" ht="15">
      <c r="B20" s="373"/>
      <c r="D20" s="374"/>
      <c r="E20" s="374"/>
      <c r="F20" s="544" t="s">
        <v>10</v>
      </c>
      <c r="G20" s="545"/>
      <c r="H20" s="546"/>
      <c r="J20" s="544" t="s">
        <v>11</v>
      </c>
      <c r="K20" s="545"/>
      <c r="L20" s="546"/>
      <c r="N20" s="544" t="s">
        <v>12</v>
      </c>
      <c r="O20" s="546"/>
    </row>
    <row r="21" spans="2:15" s="252" customFormat="1" ht="15">
      <c r="B21" s="373"/>
      <c r="D21" s="548" t="s">
        <v>13</v>
      </c>
      <c r="E21" s="375"/>
      <c r="F21" s="376" t="s">
        <v>14</v>
      </c>
      <c r="G21" s="376" t="s">
        <v>15</v>
      </c>
      <c r="H21" s="377" t="s">
        <v>16</v>
      </c>
      <c r="J21" s="376" t="s">
        <v>14</v>
      </c>
      <c r="K21" s="378" t="s">
        <v>15</v>
      </c>
      <c r="L21" s="377" t="s">
        <v>16</v>
      </c>
      <c r="N21" s="550" t="s">
        <v>17</v>
      </c>
      <c r="O21" s="552" t="s">
        <v>18</v>
      </c>
    </row>
    <row r="22" spans="2:15" s="252" customFormat="1" ht="15">
      <c r="B22" s="373"/>
      <c r="D22" s="549"/>
      <c r="E22" s="375"/>
      <c r="F22" s="379" t="s">
        <v>19</v>
      </c>
      <c r="G22" s="379"/>
      <c r="H22" s="380" t="s">
        <v>19</v>
      </c>
      <c r="J22" s="379" t="s">
        <v>19</v>
      </c>
      <c r="K22" s="380"/>
      <c r="L22" s="380" t="s">
        <v>19</v>
      </c>
      <c r="N22" s="551"/>
      <c r="O22" s="553"/>
    </row>
    <row r="23" spans="2:15" s="252" customFormat="1" ht="15">
      <c r="B23" s="253" t="s">
        <v>20</v>
      </c>
      <c r="C23" s="253"/>
      <c r="D23" s="254" t="s">
        <v>62</v>
      </c>
      <c r="E23" s="255"/>
      <c r="F23" s="437">
        <f>'GS 50-4999 (60kW)'!F23</f>
        <v>96.98</v>
      </c>
      <c r="G23" s="257">
        <v>1</v>
      </c>
      <c r="H23" s="258">
        <f>G23*F23</f>
        <v>96.98</v>
      </c>
      <c r="I23" s="259"/>
      <c r="J23" s="439">
        <f>'GS 50-4999 (60kW)'!J23</f>
        <v>96.98</v>
      </c>
      <c r="K23" s="260">
        <v>1</v>
      </c>
      <c r="L23" s="258">
        <f>K23*J23</f>
        <v>96.98</v>
      </c>
      <c r="M23" s="259"/>
      <c r="N23" s="467">
        <f>L23-H23</f>
        <v>0</v>
      </c>
      <c r="O23" s="262">
        <f>IF((H23)=0,"",(N23/H23))</f>
        <v>0</v>
      </c>
    </row>
    <row r="24" spans="2:15" s="252" customFormat="1" ht="22.5" customHeight="1" hidden="1">
      <c r="B24" s="253" t="s">
        <v>92</v>
      </c>
      <c r="C24" s="253"/>
      <c r="D24" s="254" t="s">
        <v>62</v>
      </c>
      <c r="E24" s="255"/>
      <c r="F24" s="437">
        <f>'GS 50-4999 (60kW)'!F24</f>
        <v>0</v>
      </c>
      <c r="G24" s="257"/>
      <c r="H24" s="258"/>
      <c r="I24" s="259"/>
      <c r="J24" s="439">
        <f>'GS 50-4999 (60kW)'!J24</f>
        <v>0</v>
      </c>
      <c r="K24" s="260">
        <v>1</v>
      </c>
      <c r="L24" s="258">
        <f>K24*J24</f>
        <v>0</v>
      </c>
      <c r="M24" s="259"/>
      <c r="N24" s="467">
        <f>L24-H24</f>
        <v>0</v>
      </c>
      <c r="O24" s="262">
        <f>IF((H24)=0,"",(N24/H24))</f>
      </c>
    </row>
    <row r="25" spans="2:15" s="252" customFormat="1" ht="36.75" customHeight="1" hidden="1">
      <c r="B25" s="265" t="s">
        <v>111</v>
      </c>
      <c r="C25" s="253"/>
      <c r="D25" s="266" t="s">
        <v>62</v>
      </c>
      <c r="E25" s="255"/>
      <c r="F25" s="439">
        <f>'GS 50-4999 (60kW)'!F25</f>
        <v>0</v>
      </c>
      <c r="G25" s="257">
        <v>1</v>
      </c>
      <c r="H25" s="258">
        <f>G25*F25</f>
        <v>0</v>
      </c>
      <c r="I25" s="259"/>
      <c r="J25" s="287">
        <f>'GS 50-4999 (60kW)'!J25</f>
        <v>0</v>
      </c>
      <c r="K25" s="260">
        <v>1</v>
      </c>
      <c r="L25" s="258">
        <f>K25*J25</f>
        <v>0</v>
      </c>
      <c r="M25" s="259"/>
      <c r="N25" s="467">
        <f>L25-H25</f>
        <v>0</v>
      </c>
      <c r="O25" s="262">
        <f>IF((H25)=0,"",(N25/H25))</f>
      </c>
    </row>
    <row r="26" spans="2:15" s="252" customFormat="1" ht="15" hidden="1">
      <c r="B26" s="268"/>
      <c r="C26" s="253"/>
      <c r="D26" s="266" t="s">
        <v>62</v>
      </c>
      <c r="E26" s="269"/>
      <c r="F26" s="439">
        <f>'GS 50-4999 (60kW)'!F26</f>
        <v>0</v>
      </c>
      <c r="G26" s="257">
        <v>1</v>
      </c>
      <c r="H26" s="258">
        <f aca="true" t="shared" si="0" ref="H26:H40">G26*F26</f>
        <v>0</v>
      </c>
      <c r="I26" s="259"/>
      <c r="J26" s="287">
        <f>'GS 50-4999 (60kW)'!J26</f>
        <v>0</v>
      </c>
      <c r="K26" s="260">
        <v>1</v>
      </c>
      <c r="L26" s="258">
        <f aca="true" t="shared" si="1" ref="L26:L40">K26*J26</f>
        <v>0</v>
      </c>
      <c r="M26" s="259"/>
      <c r="N26" s="467">
        <f aca="true" t="shared" si="2" ref="N26:N69">L26-H26</f>
        <v>0</v>
      </c>
      <c r="O26" s="262">
        <f aca="true" t="shared" si="3" ref="O26:O48">IF((H26)=0,"",(N26/H26))</f>
      </c>
    </row>
    <row r="27" spans="2:15" s="252" customFormat="1" ht="15" hidden="1">
      <c r="B27" s="268"/>
      <c r="C27" s="253"/>
      <c r="D27" s="266" t="s">
        <v>62</v>
      </c>
      <c r="E27" s="255"/>
      <c r="F27" s="289">
        <f>'GS 50-4999 (60kW)'!F27</f>
        <v>0</v>
      </c>
      <c r="G27" s="257">
        <v>1</v>
      </c>
      <c r="H27" s="258">
        <f t="shared" si="0"/>
        <v>0</v>
      </c>
      <c r="I27" s="259"/>
      <c r="J27" s="439">
        <f>'GS 50-4999 (60kW)'!J27</f>
        <v>0</v>
      </c>
      <c r="K27" s="260">
        <v>1</v>
      </c>
      <c r="L27" s="258">
        <f t="shared" si="1"/>
        <v>0</v>
      </c>
      <c r="M27" s="259"/>
      <c r="N27" s="467">
        <f t="shared" si="2"/>
        <v>0</v>
      </c>
      <c r="O27" s="262">
        <f t="shared" si="3"/>
      </c>
    </row>
    <row r="28" spans="2:15" s="252" customFormat="1" ht="15">
      <c r="B28" s="426" t="s">
        <v>66</v>
      </c>
      <c r="C28" s="253"/>
      <c r="D28" s="254" t="s">
        <v>71</v>
      </c>
      <c r="E28" s="255"/>
      <c r="F28" s="289">
        <f>'GS 50-4999 (60kW)'!F28</f>
        <v>0</v>
      </c>
      <c r="G28" s="441">
        <f>$H$18</f>
        <v>100</v>
      </c>
      <c r="H28" s="258">
        <f t="shared" si="0"/>
        <v>0</v>
      </c>
      <c r="I28" s="259"/>
      <c r="J28" s="474">
        <f>'GS 50-4999 (60kW)'!J28</f>
        <v>-0.0058</v>
      </c>
      <c r="K28" s="441">
        <f>$H$18</f>
        <v>100</v>
      </c>
      <c r="L28" s="258">
        <f t="shared" si="1"/>
        <v>-0.58</v>
      </c>
      <c r="M28" s="259"/>
      <c r="N28" s="467">
        <f t="shared" si="2"/>
        <v>-0.58</v>
      </c>
      <c r="O28" s="262">
        <f t="shared" si="3"/>
      </c>
    </row>
    <row r="29" spans="2:15" s="252" customFormat="1" ht="15" hidden="1">
      <c r="B29" s="381" t="s">
        <v>67</v>
      </c>
      <c r="C29" s="253"/>
      <c r="D29" s="254" t="s">
        <v>71</v>
      </c>
      <c r="E29" s="255"/>
      <c r="F29" s="440">
        <f>'GS 50-4999 (60kW)'!F29</f>
        <v>0</v>
      </c>
      <c r="G29" s="441">
        <f>$H$18</f>
        <v>100</v>
      </c>
      <c r="H29" s="258">
        <f t="shared" si="0"/>
        <v>0</v>
      </c>
      <c r="I29" s="259"/>
      <c r="J29" s="287">
        <f>'GS 50-4999 (60kW)'!J29</f>
        <v>0</v>
      </c>
      <c r="K29" s="441">
        <f>$H$18</f>
        <v>100</v>
      </c>
      <c r="L29" s="258">
        <f t="shared" si="1"/>
        <v>0</v>
      </c>
      <c r="M29" s="259"/>
      <c r="N29" s="467">
        <f t="shared" si="2"/>
        <v>0</v>
      </c>
      <c r="O29" s="262">
        <f t="shared" si="3"/>
      </c>
    </row>
    <row r="30" spans="2:15" s="252" customFormat="1" ht="15">
      <c r="B30" s="253" t="s">
        <v>110</v>
      </c>
      <c r="C30" s="253"/>
      <c r="D30" s="254" t="s">
        <v>71</v>
      </c>
      <c r="E30" s="255"/>
      <c r="F30" s="289">
        <f>'GS 50-4999 (60kW)'!F30</f>
        <v>0</v>
      </c>
      <c r="G30" s="441">
        <f>$H$18</f>
        <v>100</v>
      </c>
      <c r="H30" s="258">
        <f t="shared" si="0"/>
        <v>0</v>
      </c>
      <c r="I30" s="259"/>
      <c r="J30" s="471">
        <f>'GS 50-4999 (60kW)'!J30</f>
        <v>0</v>
      </c>
      <c r="K30" s="441">
        <f>H18</f>
        <v>100</v>
      </c>
      <c r="L30" s="258">
        <f t="shared" si="1"/>
        <v>0</v>
      </c>
      <c r="M30" s="259"/>
      <c r="N30" s="467">
        <f t="shared" si="2"/>
        <v>0</v>
      </c>
      <c r="O30" s="262"/>
    </row>
    <row r="31" spans="2:15" s="252" customFormat="1" ht="15">
      <c r="B31" s="253" t="s">
        <v>21</v>
      </c>
      <c r="C31" s="253"/>
      <c r="D31" s="254" t="s">
        <v>71</v>
      </c>
      <c r="E31" s="255"/>
      <c r="F31" s="289">
        <f>'GS 50-4999 (60kW)'!F31</f>
        <v>3.9297</v>
      </c>
      <c r="G31" s="441">
        <f>$H$18</f>
        <v>100</v>
      </c>
      <c r="H31" s="258">
        <f t="shared" si="0"/>
        <v>392.96999999999997</v>
      </c>
      <c r="I31" s="259"/>
      <c r="J31" s="287">
        <f>'GS 50-4999 (60kW)'!J31</f>
        <v>3.9297</v>
      </c>
      <c r="K31" s="441">
        <f>$H$18</f>
        <v>100</v>
      </c>
      <c r="L31" s="258">
        <f t="shared" si="1"/>
        <v>392.96999999999997</v>
      </c>
      <c r="M31" s="259"/>
      <c r="N31" s="467">
        <f t="shared" si="2"/>
        <v>0</v>
      </c>
      <c r="O31" s="262">
        <f t="shared" si="3"/>
        <v>0</v>
      </c>
    </row>
    <row r="32" spans="2:15" s="252" customFormat="1" ht="15" hidden="1">
      <c r="B32" s="253" t="s">
        <v>22</v>
      </c>
      <c r="C32" s="253"/>
      <c r="D32" s="254"/>
      <c r="E32" s="255"/>
      <c r="F32" s="289">
        <f>'GS 50-4999 (60kW)'!F32</f>
        <v>0</v>
      </c>
      <c r="G32" s="257">
        <f>$F$18</f>
        <v>40000</v>
      </c>
      <c r="H32" s="258">
        <f t="shared" si="0"/>
        <v>0</v>
      </c>
      <c r="I32" s="259"/>
      <c r="J32" s="287">
        <f>'GS 50-4999 (60kW)'!J32</f>
        <v>0</v>
      </c>
      <c r="K32" s="257">
        <f>$F$18</f>
        <v>40000</v>
      </c>
      <c r="L32" s="258">
        <f t="shared" si="1"/>
        <v>0</v>
      </c>
      <c r="M32" s="259"/>
      <c r="N32" s="467">
        <f t="shared" si="2"/>
        <v>0</v>
      </c>
      <c r="O32" s="262">
        <f t="shared" si="3"/>
      </c>
    </row>
    <row r="33" spans="2:15" s="252" customFormat="1" ht="15" hidden="1">
      <c r="B33" s="253" t="s">
        <v>110</v>
      </c>
      <c r="C33" s="253"/>
      <c r="D33" s="254" t="s">
        <v>71</v>
      </c>
      <c r="E33" s="255"/>
      <c r="F33" s="289"/>
      <c r="G33" s="257"/>
      <c r="H33" s="258"/>
      <c r="I33" s="259"/>
      <c r="J33" s="287"/>
      <c r="K33" s="257"/>
      <c r="L33" s="258"/>
      <c r="M33" s="259"/>
      <c r="N33" s="467"/>
      <c r="O33" s="262"/>
    </row>
    <row r="34" spans="2:15" s="252" customFormat="1" ht="10.5" customHeight="1" hidden="1">
      <c r="B34" s="273"/>
      <c r="C34" s="253"/>
      <c r="D34" s="254"/>
      <c r="E34" s="255"/>
      <c r="F34" s="289"/>
      <c r="G34" s="257"/>
      <c r="H34" s="258"/>
      <c r="I34" s="259"/>
      <c r="J34" s="287"/>
      <c r="K34" s="257"/>
      <c r="L34" s="258"/>
      <c r="M34" s="259"/>
      <c r="N34" s="467"/>
      <c r="O34" s="262"/>
    </row>
    <row r="35" spans="2:15" s="252" customFormat="1" ht="10.5" customHeight="1" hidden="1">
      <c r="B35" s="273"/>
      <c r="C35" s="253"/>
      <c r="D35" s="254"/>
      <c r="E35" s="255"/>
      <c r="F35" s="289"/>
      <c r="G35" s="257"/>
      <c r="H35" s="258"/>
      <c r="I35" s="259"/>
      <c r="J35" s="287"/>
      <c r="K35" s="257"/>
      <c r="L35" s="258"/>
      <c r="M35" s="259"/>
      <c r="N35" s="467"/>
      <c r="O35" s="262"/>
    </row>
    <row r="36" spans="2:15" s="252" customFormat="1" ht="10.5" customHeight="1" hidden="1">
      <c r="B36" s="273"/>
      <c r="C36" s="253"/>
      <c r="D36" s="254"/>
      <c r="E36" s="255"/>
      <c r="F36" s="289"/>
      <c r="G36" s="257"/>
      <c r="H36" s="258"/>
      <c r="I36" s="259"/>
      <c r="J36" s="287"/>
      <c r="K36" s="257"/>
      <c r="L36" s="258"/>
      <c r="M36" s="259"/>
      <c r="N36" s="467"/>
      <c r="O36" s="262"/>
    </row>
    <row r="37" spans="2:15" s="252" customFormat="1" ht="10.5" customHeight="1" hidden="1">
      <c r="B37" s="273"/>
      <c r="C37" s="253"/>
      <c r="D37" s="254"/>
      <c r="E37" s="255"/>
      <c r="F37" s="289"/>
      <c r="G37" s="257"/>
      <c r="H37" s="258"/>
      <c r="I37" s="259"/>
      <c r="J37" s="287"/>
      <c r="K37" s="257"/>
      <c r="L37" s="258"/>
      <c r="M37" s="259"/>
      <c r="N37" s="467"/>
      <c r="O37" s="262"/>
    </row>
    <row r="38" spans="2:15" s="252" customFormat="1" ht="10.5" customHeight="1" hidden="1">
      <c r="B38" s="273"/>
      <c r="C38" s="253"/>
      <c r="D38" s="254"/>
      <c r="E38" s="255"/>
      <c r="F38" s="289"/>
      <c r="G38" s="257"/>
      <c r="H38" s="258"/>
      <c r="I38" s="259"/>
      <c r="J38" s="287"/>
      <c r="K38" s="257"/>
      <c r="L38" s="258"/>
      <c r="M38" s="259"/>
      <c r="N38" s="467"/>
      <c r="O38" s="262"/>
    </row>
    <row r="39" spans="2:15" s="252" customFormat="1" ht="10.5" customHeight="1" hidden="1">
      <c r="B39" s="273"/>
      <c r="C39" s="253"/>
      <c r="D39" s="254"/>
      <c r="E39" s="255"/>
      <c r="F39" s="289"/>
      <c r="G39" s="257"/>
      <c r="H39" s="258"/>
      <c r="I39" s="259"/>
      <c r="J39" s="287"/>
      <c r="K39" s="257"/>
      <c r="L39" s="258"/>
      <c r="M39" s="259"/>
      <c r="N39" s="467"/>
      <c r="O39" s="262"/>
    </row>
    <row r="40" spans="2:15" s="252" customFormat="1" ht="15" hidden="1">
      <c r="B40" s="273"/>
      <c r="C40" s="253"/>
      <c r="D40" s="254"/>
      <c r="E40" s="255"/>
      <c r="F40" s="289">
        <f>'GS 50-4999 (60kW)'!F33</f>
        <v>0</v>
      </c>
      <c r="G40" s="441">
        <f>$H$18</f>
        <v>100</v>
      </c>
      <c r="H40" s="258">
        <f t="shared" si="0"/>
        <v>0</v>
      </c>
      <c r="I40" s="259"/>
      <c r="J40" s="287">
        <f>'GS 50-4999 (60kW)'!J33</f>
        <v>0</v>
      </c>
      <c r="K40" s="441">
        <f>$H$18</f>
        <v>100</v>
      </c>
      <c r="L40" s="258">
        <f t="shared" si="1"/>
        <v>0</v>
      </c>
      <c r="M40" s="259"/>
      <c r="N40" s="468">
        <f t="shared" si="2"/>
        <v>0</v>
      </c>
      <c r="O40" s="469">
        <f t="shared" si="3"/>
      </c>
    </row>
    <row r="41" spans="2:15" s="283" customFormat="1" ht="15">
      <c r="B41" s="382" t="s">
        <v>24</v>
      </c>
      <c r="C41" s="274"/>
      <c r="D41" s="275"/>
      <c r="E41" s="274"/>
      <c r="F41" s="276"/>
      <c r="G41" s="277"/>
      <c r="H41" s="278">
        <f>SUM(H23:H40)</f>
        <v>489.95</v>
      </c>
      <c r="I41" s="279"/>
      <c r="J41" s="280"/>
      <c r="K41" s="281"/>
      <c r="L41" s="278">
        <f>SUM(L23:L40)</f>
        <v>489.37</v>
      </c>
      <c r="M41" s="279"/>
      <c r="N41" s="455">
        <f t="shared" si="2"/>
        <v>-0.5799999999999841</v>
      </c>
      <c r="O41" s="383">
        <f t="shared" si="3"/>
        <v>-0.0011837942647208574</v>
      </c>
    </row>
    <row r="42" spans="2:15" s="252" customFormat="1" ht="17.25" customHeight="1">
      <c r="B42" s="426" t="s">
        <v>25</v>
      </c>
      <c r="C42" s="253"/>
      <c r="D42" s="266" t="s">
        <v>71</v>
      </c>
      <c r="E42" s="269"/>
      <c r="F42" s="442">
        <f>'GS 50-4999 (60kW)'!F42</f>
        <v>-2.8653</v>
      </c>
      <c r="G42" s="441">
        <f>G31</f>
        <v>100</v>
      </c>
      <c r="H42" s="290">
        <f aca="true" t="shared" si="4" ref="H42:H49">G42*F42</f>
        <v>-286.53</v>
      </c>
      <c r="I42" s="269"/>
      <c r="J42" s="442">
        <f>'GS 50-4999 (60kW)'!J42</f>
        <v>0.9664</v>
      </c>
      <c r="K42" s="441">
        <f>H18</f>
        <v>100</v>
      </c>
      <c r="L42" s="258">
        <f aca="true" t="shared" si="5" ref="L42:L49">K42*J42</f>
        <v>96.64</v>
      </c>
      <c r="M42" s="259"/>
      <c r="N42" s="467">
        <f t="shared" si="2"/>
        <v>383.16999999999996</v>
      </c>
      <c r="O42" s="262">
        <f t="shared" si="3"/>
        <v>-1.3372770739538618</v>
      </c>
    </row>
    <row r="43" spans="2:15" s="252" customFormat="1" ht="15" hidden="1">
      <c r="B43" s="426"/>
      <c r="C43" s="253"/>
      <c r="D43" s="254" t="s">
        <v>71</v>
      </c>
      <c r="E43" s="255"/>
      <c r="F43" s="442">
        <f>'GS 50-4999 (60kW)'!F43</f>
        <v>0</v>
      </c>
      <c r="G43" s="441">
        <f>H18</f>
        <v>100</v>
      </c>
      <c r="H43" s="290">
        <f t="shared" si="4"/>
        <v>0</v>
      </c>
      <c r="I43" s="466"/>
      <c r="J43" s="442">
        <f>'GS 50-4999 (60kW)'!J43</f>
        <v>0</v>
      </c>
      <c r="K43" s="441">
        <f>H18</f>
        <v>100</v>
      </c>
      <c r="L43" s="258">
        <f t="shared" si="5"/>
        <v>0</v>
      </c>
      <c r="M43" s="286"/>
      <c r="N43" s="467">
        <f t="shared" si="2"/>
        <v>0</v>
      </c>
      <c r="O43" s="262">
        <f t="shared" si="3"/>
      </c>
    </row>
    <row r="44" spans="2:15" s="252" customFormat="1" ht="15" hidden="1">
      <c r="B44" s="426"/>
      <c r="C44" s="253"/>
      <c r="D44" s="254" t="s">
        <v>71</v>
      </c>
      <c r="E44" s="255"/>
      <c r="F44" s="442">
        <f>'GS 50-4999 (60kW)'!F44</f>
        <v>0</v>
      </c>
      <c r="G44" s="441">
        <f>H18</f>
        <v>100</v>
      </c>
      <c r="H44" s="290">
        <f t="shared" si="4"/>
        <v>0</v>
      </c>
      <c r="I44" s="466"/>
      <c r="J44" s="442">
        <f>'GS 50-4999 (60kW)'!J44</f>
        <v>0</v>
      </c>
      <c r="K44" s="441">
        <f>H18</f>
        <v>100</v>
      </c>
      <c r="L44" s="258">
        <f t="shared" si="5"/>
        <v>0</v>
      </c>
      <c r="M44" s="286"/>
      <c r="N44" s="467">
        <f t="shared" si="2"/>
        <v>0</v>
      </c>
      <c r="O44" s="262">
        <f t="shared" si="3"/>
      </c>
    </row>
    <row r="45" spans="2:15" s="252" customFormat="1" ht="32.25" customHeight="1">
      <c r="B45" s="426" t="s">
        <v>75</v>
      </c>
      <c r="C45" s="253"/>
      <c r="D45" s="266" t="s">
        <v>71</v>
      </c>
      <c r="E45" s="255"/>
      <c r="F45" s="442">
        <f>'GS 50-4999 (60kW)'!F45</f>
        <v>2.7911</v>
      </c>
      <c r="G45" s="441">
        <f>H18</f>
        <v>100</v>
      </c>
      <c r="H45" s="290">
        <f t="shared" si="4"/>
        <v>279.11</v>
      </c>
      <c r="I45" s="466"/>
      <c r="J45" s="442">
        <f>'GS 50-4999 (60kW)'!J45</f>
        <v>0.0684</v>
      </c>
      <c r="K45" s="441">
        <f>H18</f>
        <v>100</v>
      </c>
      <c r="L45" s="258">
        <f t="shared" si="5"/>
        <v>6.84</v>
      </c>
      <c r="M45" s="286"/>
      <c r="N45" s="467">
        <f t="shared" si="2"/>
        <v>-272.27000000000004</v>
      </c>
      <c r="O45" s="262">
        <f t="shared" si="3"/>
        <v>-0.975493533015657</v>
      </c>
    </row>
    <row r="46" spans="2:15" s="252" customFormat="1" ht="15" hidden="1">
      <c r="B46" s="255"/>
      <c r="C46" s="253"/>
      <c r="D46" s="254" t="s">
        <v>71</v>
      </c>
      <c r="E46" s="255"/>
      <c r="F46" s="442">
        <f>'GS 50-4999 (60kW)'!F46</f>
        <v>0</v>
      </c>
      <c r="G46" s="441">
        <f>H19</f>
        <v>0</v>
      </c>
      <c r="H46" s="290">
        <f>G46*F46</f>
        <v>0</v>
      </c>
      <c r="I46" s="466"/>
      <c r="J46" s="465">
        <f>'GS 50-4999 (60kW)'!J46</f>
        <v>0</v>
      </c>
      <c r="K46" s="441">
        <f>H18</f>
        <v>100</v>
      </c>
      <c r="L46" s="258">
        <f>K46*J46</f>
        <v>0</v>
      </c>
      <c r="M46" s="286"/>
      <c r="N46" s="467">
        <f>L46-H46</f>
        <v>0</v>
      </c>
      <c r="O46" s="262">
        <f>IF((H46)=0,"",(N46/H46))</f>
      </c>
    </row>
    <row r="47" spans="2:15" s="252" customFormat="1" ht="15">
      <c r="B47" s="385" t="s">
        <v>26</v>
      </c>
      <c r="C47" s="253"/>
      <c r="D47" s="254" t="s">
        <v>71</v>
      </c>
      <c r="E47" s="255"/>
      <c r="F47" s="442">
        <f>'GS 50-4999 (60kW)'!F47</f>
        <v>1.1222</v>
      </c>
      <c r="G47" s="441">
        <f>H18</f>
        <v>100</v>
      </c>
      <c r="H47" s="290">
        <f t="shared" si="4"/>
        <v>112.22000000000001</v>
      </c>
      <c r="I47" s="269"/>
      <c r="J47" s="442">
        <f>'GS 50-4999 (60kW)'!J47</f>
        <v>1.1222</v>
      </c>
      <c r="K47" s="441">
        <f>H18</f>
        <v>100</v>
      </c>
      <c r="L47" s="258">
        <f t="shared" si="5"/>
        <v>112.22000000000001</v>
      </c>
      <c r="M47" s="259"/>
      <c r="N47" s="467">
        <f t="shared" si="2"/>
        <v>0</v>
      </c>
      <c r="O47" s="262">
        <f t="shared" si="3"/>
        <v>0</v>
      </c>
    </row>
    <row r="48" spans="2:15" s="283" customFormat="1" ht="15">
      <c r="B48" s="385" t="s">
        <v>27</v>
      </c>
      <c r="C48" s="255"/>
      <c r="D48" s="254" t="s">
        <v>63</v>
      </c>
      <c r="E48" s="255"/>
      <c r="F48" s="442">
        <f>'GS 50-4999 (60kW)'!F48</f>
        <v>0.075</v>
      </c>
      <c r="G48" s="257">
        <f>$F$18*(1+$F$78)-$F$18</f>
        <v>1980.0000000000073</v>
      </c>
      <c r="H48" s="290">
        <f t="shared" si="4"/>
        <v>148.50000000000054</v>
      </c>
      <c r="I48" s="269"/>
      <c r="J48" s="442">
        <f>'GS 50-4999 (60kW)'!J48</f>
        <v>0.075</v>
      </c>
      <c r="K48" s="257">
        <f>$F$18*(1+$J$78)-$F$18</f>
        <v>1980.0000000000073</v>
      </c>
      <c r="L48" s="290">
        <f t="shared" si="5"/>
        <v>148.50000000000054</v>
      </c>
      <c r="M48" s="269"/>
      <c r="N48" s="467">
        <f t="shared" si="2"/>
        <v>0</v>
      </c>
      <c r="O48" s="291">
        <f t="shared" si="3"/>
        <v>0</v>
      </c>
    </row>
    <row r="49" spans="2:15" s="252" customFormat="1" ht="15" hidden="1">
      <c r="B49" s="385" t="s">
        <v>28</v>
      </c>
      <c r="C49" s="253"/>
      <c r="D49" s="254" t="s">
        <v>62</v>
      </c>
      <c r="E49" s="255"/>
      <c r="F49" s="442">
        <f>'GS 50-4999 (60kW)'!F49</f>
        <v>0</v>
      </c>
      <c r="G49" s="257">
        <v>0</v>
      </c>
      <c r="H49" s="258">
        <f t="shared" si="4"/>
        <v>0</v>
      </c>
      <c r="I49" s="259"/>
      <c r="J49" s="442">
        <f>'GS 50-4999 (60kW)'!J49</f>
        <v>0</v>
      </c>
      <c r="K49" s="257">
        <v>0</v>
      </c>
      <c r="L49" s="258">
        <f t="shared" si="5"/>
        <v>0</v>
      </c>
      <c r="M49" s="259"/>
      <c r="N49" s="467">
        <f t="shared" si="2"/>
        <v>0</v>
      </c>
      <c r="O49" s="262"/>
    </row>
    <row r="50" spans="2:15" s="252" customFormat="1" ht="30">
      <c r="B50" s="386" t="s">
        <v>29</v>
      </c>
      <c r="C50" s="293"/>
      <c r="D50" s="293"/>
      <c r="E50" s="293"/>
      <c r="F50" s="84"/>
      <c r="G50" s="294"/>
      <c r="H50" s="295">
        <f>SUM(H42:H49)+H41</f>
        <v>743.2500000000006</v>
      </c>
      <c r="I50" s="279"/>
      <c r="J50" s="294"/>
      <c r="K50" s="296"/>
      <c r="L50" s="295">
        <f>SUM(L42:L49)+L41</f>
        <v>853.5700000000006</v>
      </c>
      <c r="M50" s="279"/>
      <c r="N50" s="444">
        <f t="shared" si="2"/>
        <v>110.32000000000005</v>
      </c>
      <c r="O50" s="383">
        <f aca="true" t="shared" si="6" ref="O50:O69">IF((H50)=0,"",(N50/H50))</f>
        <v>0.14842919609821725</v>
      </c>
    </row>
    <row r="51" spans="2:15" s="252" customFormat="1" ht="15">
      <c r="B51" s="259" t="s">
        <v>30</v>
      </c>
      <c r="C51" s="259"/>
      <c r="D51" s="266" t="s">
        <v>71</v>
      </c>
      <c r="E51" s="269"/>
      <c r="F51" s="287">
        <f>'GS 50-4999 (60kW)'!F51</f>
        <v>1.747</v>
      </c>
      <c r="G51" s="302">
        <f>H18*(1+F78)</f>
        <v>104.95000000000002</v>
      </c>
      <c r="H51" s="290">
        <f>G51*F51</f>
        <v>183.34765000000004</v>
      </c>
      <c r="I51" s="269"/>
      <c r="J51" s="287">
        <f>'GS 50-4999 (60kW)'!J51</f>
        <v>2.3168</v>
      </c>
      <c r="K51" s="303">
        <f>H18*(1+J78)</f>
        <v>104.95000000000002</v>
      </c>
      <c r="L51" s="258">
        <f>K51*J51</f>
        <v>243.14816000000005</v>
      </c>
      <c r="M51" s="259"/>
      <c r="N51" s="272">
        <f t="shared" si="2"/>
        <v>59.80051</v>
      </c>
      <c r="O51" s="262">
        <f t="shared" si="6"/>
        <v>0.32615912993703483</v>
      </c>
    </row>
    <row r="52" spans="2:15" s="252" customFormat="1" ht="30">
      <c r="B52" s="298" t="s">
        <v>31</v>
      </c>
      <c r="C52" s="259"/>
      <c r="D52" s="266" t="s">
        <v>71</v>
      </c>
      <c r="E52" s="269"/>
      <c r="F52" s="287">
        <f>'GS 50-4999 (60kW)'!F52</f>
        <v>0.6879</v>
      </c>
      <c r="G52" s="302">
        <f>G51</f>
        <v>104.95000000000002</v>
      </c>
      <c r="H52" s="290">
        <f>G52*F52</f>
        <v>72.19510500000001</v>
      </c>
      <c r="I52" s="269"/>
      <c r="J52" s="287">
        <f>'GS 50-4999 (60kW)'!J52</f>
        <v>1.0907</v>
      </c>
      <c r="K52" s="303">
        <f>K51</f>
        <v>104.95000000000002</v>
      </c>
      <c r="L52" s="258">
        <f>K52*J52</f>
        <v>114.46896500000003</v>
      </c>
      <c r="M52" s="259"/>
      <c r="N52" s="272">
        <f t="shared" si="2"/>
        <v>42.27386000000001</v>
      </c>
      <c r="O52" s="262">
        <f t="shared" si="6"/>
        <v>0.5855502253234482</v>
      </c>
    </row>
    <row r="53" spans="2:15" s="252" customFormat="1" ht="30">
      <c r="B53" s="386" t="s">
        <v>32</v>
      </c>
      <c r="C53" s="274"/>
      <c r="D53" s="274"/>
      <c r="E53" s="274"/>
      <c r="F53" s="85"/>
      <c r="G53" s="294"/>
      <c r="H53" s="295">
        <f>SUM(H50:H52)</f>
        <v>998.7927550000006</v>
      </c>
      <c r="I53" s="299"/>
      <c r="J53" s="300"/>
      <c r="K53" s="301"/>
      <c r="L53" s="295">
        <f>SUM(L50:L52)</f>
        <v>1211.1871250000006</v>
      </c>
      <c r="M53" s="299"/>
      <c r="N53" s="444">
        <f t="shared" si="2"/>
        <v>212.39436999999998</v>
      </c>
      <c r="O53" s="383">
        <f t="shared" si="6"/>
        <v>0.2126510919675222</v>
      </c>
    </row>
    <row r="54" spans="2:15" s="252" customFormat="1" ht="15">
      <c r="B54" s="265" t="s">
        <v>33</v>
      </c>
      <c r="C54" s="253"/>
      <c r="D54" s="254" t="s">
        <v>63</v>
      </c>
      <c r="E54" s="255"/>
      <c r="F54" s="289">
        <f>'GS 50-4999 (60kW)'!F54</f>
        <v>0.0044</v>
      </c>
      <c r="G54" s="485">
        <f>F18*(1+F78)</f>
        <v>41980.00000000001</v>
      </c>
      <c r="H54" s="290">
        <f aca="true" t="shared" si="7" ref="H54:H61">G54*F54</f>
        <v>184.71200000000005</v>
      </c>
      <c r="I54" s="269"/>
      <c r="J54" s="471">
        <f>'GS 50-4999 (60kW)'!J54</f>
        <v>0.0036</v>
      </c>
      <c r="K54" s="486">
        <f>F18*(1+J78)</f>
        <v>41980.00000000001</v>
      </c>
      <c r="L54" s="258">
        <f aca="true" t="shared" si="8" ref="L54:L61">K54*J54</f>
        <v>151.12800000000001</v>
      </c>
      <c r="M54" s="259"/>
      <c r="N54" s="467">
        <f t="shared" si="2"/>
        <v>-33.58400000000003</v>
      </c>
      <c r="O54" s="262">
        <f t="shared" si="6"/>
        <v>-0.18181818181818193</v>
      </c>
    </row>
    <row r="55" spans="2:15" s="252" customFormat="1" ht="15">
      <c r="B55" s="265" t="s">
        <v>34</v>
      </c>
      <c r="C55" s="253"/>
      <c r="D55" s="254" t="s">
        <v>63</v>
      </c>
      <c r="E55" s="255"/>
      <c r="F55" s="289">
        <f>'GS 50-4999 (60kW)'!F55</f>
        <v>0.0013</v>
      </c>
      <c r="G55" s="485">
        <f>G54</f>
        <v>41980.00000000001</v>
      </c>
      <c r="H55" s="290">
        <f t="shared" si="7"/>
        <v>54.574000000000005</v>
      </c>
      <c r="I55" s="269"/>
      <c r="J55" s="287">
        <f>'GS 50-4999 (60kW)'!J55</f>
        <v>0.0013</v>
      </c>
      <c r="K55" s="486">
        <f>K54</f>
        <v>41980.00000000001</v>
      </c>
      <c r="L55" s="258">
        <f t="shared" si="8"/>
        <v>54.574000000000005</v>
      </c>
      <c r="M55" s="259"/>
      <c r="N55" s="467">
        <f t="shared" si="2"/>
        <v>0</v>
      </c>
      <c r="O55" s="262">
        <f t="shared" si="6"/>
        <v>0</v>
      </c>
    </row>
    <row r="56" spans="2:15" s="252" customFormat="1" ht="15">
      <c r="B56" s="265" t="s">
        <v>121</v>
      </c>
      <c r="C56" s="253"/>
      <c r="D56" s="254" t="s">
        <v>63</v>
      </c>
      <c r="E56" s="255"/>
      <c r="F56" s="289">
        <f>'GS 50-4999 (60kW)'!F56</f>
        <v>0</v>
      </c>
      <c r="G56" s="486">
        <f>G55</f>
        <v>41980.00000000001</v>
      </c>
      <c r="H56" s="290">
        <f t="shared" si="7"/>
        <v>0</v>
      </c>
      <c r="I56" s="269"/>
      <c r="J56" s="471">
        <f>'GS 50-4999 (60kW)'!J56</f>
        <v>0.0011</v>
      </c>
      <c r="K56" s="486">
        <f>K55</f>
        <v>41980.00000000001</v>
      </c>
      <c r="L56" s="258">
        <f t="shared" si="8"/>
        <v>46.17800000000001</v>
      </c>
      <c r="M56" s="259"/>
      <c r="N56" s="467">
        <f t="shared" si="2"/>
        <v>46.17800000000001</v>
      </c>
      <c r="O56" s="262">
        <f t="shared" si="6"/>
      </c>
    </row>
    <row r="57" spans="2:15" s="252" customFormat="1" ht="15">
      <c r="B57" s="253" t="s">
        <v>35</v>
      </c>
      <c r="C57" s="253"/>
      <c r="D57" s="254" t="s">
        <v>62</v>
      </c>
      <c r="E57" s="255"/>
      <c r="F57" s="437">
        <f>'GS 50-4999 (60kW)'!F57</f>
        <v>0.25</v>
      </c>
      <c r="G57" s="257">
        <v>1</v>
      </c>
      <c r="H57" s="290">
        <f t="shared" si="7"/>
        <v>0.25</v>
      </c>
      <c r="I57" s="269"/>
      <c r="J57" s="439">
        <f>'GS 50-4999 (60kW)'!J57</f>
        <v>0.25</v>
      </c>
      <c r="K57" s="260">
        <v>1</v>
      </c>
      <c r="L57" s="258">
        <f t="shared" si="8"/>
        <v>0.25</v>
      </c>
      <c r="M57" s="259"/>
      <c r="N57" s="467">
        <f t="shared" si="2"/>
        <v>0</v>
      </c>
      <c r="O57" s="262">
        <f t="shared" si="6"/>
        <v>0</v>
      </c>
    </row>
    <row r="58" spans="2:15" s="252" customFormat="1" ht="15">
      <c r="B58" s="253" t="s">
        <v>36</v>
      </c>
      <c r="C58" s="253"/>
      <c r="D58" s="254" t="s">
        <v>63</v>
      </c>
      <c r="E58" s="255"/>
      <c r="F58" s="289">
        <f>'GS 50-4999 (60kW)'!F58</f>
        <v>0.007</v>
      </c>
      <c r="G58" s="302">
        <f>F18</f>
        <v>40000</v>
      </c>
      <c r="H58" s="290">
        <f t="shared" si="7"/>
        <v>280</v>
      </c>
      <c r="I58" s="269"/>
      <c r="J58" s="287">
        <f>'GS 50-4999 (60kW)'!J58</f>
        <v>0.007</v>
      </c>
      <c r="K58" s="303">
        <f>F18</f>
        <v>40000</v>
      </c>
      <c r="L58" s="258">
        <f t="shared" si="8"/>
        <v>280</v>
      </c>
      <c r="M58" s="259"/>
      <c r="N58" s="467">
        <f t="shared" si="2"/>
        <v>0</v>
      </c>
      <c r="O58" s="262">
        <f t="shared" si="6"/>
        <v>0</v>
      </c>
    </row>
    <row r="59" spans="2:19" s="252" customFormat="1" ht="15.75" thickBot="1">
      <c r="B59" s="384" t="s">
        <v>74</v>
      </c>
      <c r="C59" s="253"/>
      <c r="D59" s="254" t="s">
        <v>63</v>
      </c>
      <c r="E59" s="255"/>
      <c r="F59" s="289">
        <f>'GS 50-4999 (60kW)'!F59</f>
        <v>0.1</v>
      </c>
      <c r="G59" s="302">
        <f>F18</f>
        <v>40000</v>
      </c>
      <c r="H59" s="290">
        <f t="shared" si="7"/>
        <v>4000</v>
      </c>
      <c r="I59" s="269"/>
      <c r="J59" s="287">
        <f>'GS 50-4999 (60kW)'!J59</f>
        <v>0.1</v>
      </c>
      <c r="K59" s="302">
        <f>G59</f>
        <v>40000</v>
      </c>
      <c r="L59" s="258">
        <f t="shared" si="8"/>
        <v>4000</v>
      </c>
      <c r="M59" s="259"/>
      <c r="N59" s="467">
        <f t="shared" si="2"/>
        <v>0</v>
      </c>
      <c r="O59" s="262">
        <f t="shared" si="6"/>
        <v>0</v>
      </c>
      <c r="S59" s="304"/>
    </row>
    <row r="60" spans="2:19" s="252" customFormat="1" ht="15.75" hidden="1" thickBot="1">
      <c r="B60" s="384" t="s">
        <v>38</v>
      </c>
      <c r="C60" s="253"/>
      <c r="D60" s="254"/>
      <c r="E60" s="255"/>
      <c r="F60" s="289">
        <v>0.104</v>
      </c>
      <c r="G60" s="302">
        <v>0</v>
      </c>
      <c r="H60" s="258">
        <f t="shared" si="7"/>
        <v>0</v>
      </c>
      <c r="I60" s="259"/>
      <c r="J60" s="270">
        <v>0.104</v>
      </c>
      <c r="K60" s="302">
        <v>0</v>
      </c>
      <c r="L60" s="258">
        <f t="shared" si="8"/>
        <v>0</v>
      </c>
      <c r="M60" s="259"/>
      <c r="N60" s="272">
        <f t="shared" si="2"/>
        <v>0</v>
      </c>
      <c r="O60" s="262">
        <f t="shared" si="6"/>
      </c>
      <c r="S60" s="304"/>
    </row>
    <row r="61" spans="2:19" s="252" customFormat="1" ht="15.75" hidden="1" thickBot="1">
      <c r="B61" s="373" t="s">
        <v>39</v>
      </c>
      <c r="C61" s="253"/>
      <c r="D61" s="254"/>
      <c r="E61" s="255"/>
      <c r="F61" s="289">
        <v>0.124</v>
      </c>
      <c r="G61" s="302">
        <v>0</v>
      </c>
      <c r="H61" s="258">
        <f t="shared" si="7"/>
        <v>0</v>
      </c>
      <c r="I61" s="259"/>
      <c r="J61" s="270">
        <v>0.124</v>
      </c>
      <c r="K61" s="302">
        <v>0</v>
      </c>
      <c r="L61" s="258">
        <f t="shared" si="8"/>
        <v>0</v>
      </c>
      <c r="M61" s="259"/>
      <c r="N61" s="272">
        <f t="shared" si="2"/>
        <v>0</v>
      </c>
      <c r="O61" s="262">
        <f t="shared" si="6"/>
      </c>
      <c r="S61" s="304"/>
    </row>
    <row r="62" spans="2:15" s="390" customFormat="1" ht="15.75" hidden="1" thickBot="1">
      <c r="B62" s="451" t="s">
        <v>40</v>
      </c>
      <c r="C62" s="387"/>
      <c r="D62" s="388"/>
      <c r="E62" s="389"/>
      <c r="F62" s="289">
        <v>0.075</v>
      </c>
      <c r="G62" s="305">
        <v>0</v>
      </c>
      <c r="H62" s="258">
        <f>G62*F62</f>
        <v>0</v>
      </c>
      <c r="I62" s="306"/>
      <c r="J62" s="270">
        <v>0.075</v>
      </c>
      <c r="K62" s="305">
        <f>G62</f>
        <v>0</v>
      </c>
      <c r="L62" s="258">
        <f>K62*J62</f>
        <v>0</v>
      </c>
      <c r="M62" s="306"/>
      <c r="N62" s="428">
        <f t="shared" si="2"/>
        <v>0</v>
      </c>
      <c r="O62" s="262">
        <f t="shared" si="6"/>
      </c>
    </row>
    <row r="63" spans="2:15" s="390" customFormat="1" ht="15.75" hidden="1" thickBot="1">
      <c r="B63" s="451" t="s">
        <v>41</v>
      </c>
      <c r="C63" s="387"/>
      <c r="D63" s="388"/>
      <c r="E63" s="389"/>
      <c r="F63" s="289">
        <v>0.088</v>
      </c>
      <c r="G63" s="305">
        <v>0</v>
      </c>
      <c r="H63" s="258">
        <f>G63*F63</f>
        <v>0</v>
      </c>
      <c r="I63" s="306"/>
      <c r="J63" s="270">
        <v>0.088</v>
      </c>
      <c r="K63" s="305">
        <f>G63</f>
        <v>0</v>
      </c>
      <c r="L63" s="258">
        <f>K63*J63</f>
        <v>0</v>
      </c>
      <c r="M63" s="306"/>
      <c r="N63" s="428">
        <f t="shared" si="2"/>
        <v>0</v>
      </c>
      <c r="O63" s="262">
        <f t="shared" si="6"/>
      </c>
    </row>
    <row r="64" spans="2:15" s="252" customFormat="1" ht="8.25" customHeight="1" thickBot="1">
      <c r="B64" s="391"/>
      <c r="C64" s="307"/>
      <c r="D64" s="308"/>
      <c r="E64" s="307"/>
      <c r="F64" s="309"/>
      <c r="G64" s="310"/>
      <c r="H64" s="311"/>
      <c r="I64" s="312"/>
      <c r="J64" s="309"/>
      <c r="K64" s="313"/>
      <c r="L64" s="311"/>
      <c r="M64" s="312"/>
      <c r="N64" s="314"/>
      <c r="O64" s="315"/>
    </row>
    <row r="65" spans="2:19" s="252" customFormat="1" ht="15" hidden="1">
      <c r="B65" s="392" t="s">
        <v>42</v>
      </c>
      <c r="C65" s="253"/>
      <c r="D65" s="253"/>
      <c r="E65" s="253"/>
      <c r="F65" s="316"/>
      <c r="G65" s="317"/>
      <c r="H65" s="318">
        <f>SUM(H54:H61,H53)</f>
        <v>5518.3287550000005</v>
      </c>
      <c r="I65" s="319"/>
      <c r="J65" s="320"/>
      <c r="K65" s="320"/>
      <c r="L65" s="318">
        <f>SUM(L54:L61,L53)</f>
        <v>5743.3171250000005</v>
      </c>
      <c r="M65" s="322"/>
      <c r="N65" s="445">
        <f>L65-H65</f>
        <v>224.98837000000003</v>
      </c>
      <c r="O65" s="393">
        <f>IF((H65)=0,"",(N65/H65))</f>
        <v>0.0407711066137813</v>
      </c>
      <c r="S65" s="304"/>
    </row>
    <row r="66" spans="2:19" s="252" customFormat="1" ht="15" hidden="1">
      <c r="B66" s="394" t="s">
        <v>43</v>
      </c>
      <c r="C66" s="253"/>
      <c r="D66" s="253"/>
      <c r="E66" s="253"/>
      <c r="F66" s="324">
        <v>0.13</v>
      </c>
      <c r="G66" s="325"/>
      <c r="H66" s="326">
        <f>H65*F66</f>
        <v>717.3827381500001</v>
      </c>
      <c r="I66" s="327"/>
      <c r="J66" s="328">
        <v>0.13</v>
      </c>
      <c r="K66" s="327"/>
      <c r="L66" s="329">
        <f>L65*J66</f>
        <v>746.63122625</v>
      </c>
      <c r="M66" s="330"/>
      <c r="N66" s="446">
        <f t="shared" si="2"/>
        <v>29.248488099999918</v>
      </c>
      <c r="O66" s="395">
        <f t="shared" si="6"/>
        <v>0.04077110661378117</v>
      </c>
      <c r="S66" s="304"/>
    </row>
    <row r="67" spans="2:19" s="252" customFormat="1" ht="15" hidden="1">
      <c r="B67" s="396" t="s">
        <v>127</v>
      </c>
      <c r="C67" s="253"/>
      <c r="D67" s="253"/>
      <c r="E67" s="253"/>
      <c r="F67" s="331"/>
      <c r="G67" s="325"/>
      <c r="H67" s="326">
        <f>H65+H66</f>
        <v>6235.711493150001</v>
      </c>
      <c r="I67" s="327"/>
      <c r="J67" s="327"/>
      <c r="K67" s="327"/>
      <c r="L67" s="329">
        <f>L65+L66</f>
        <v>6489.948351250001</v>
      </c>
      <c r="M67" s="330"/>
      <c r="N67" s="446">
        <f t="shared" si="2"/>
        <v>254.23685810000006</v>
      </c>
      <c r="O67" s="395">
        <f t="shared" si="6"/>
        <v>0.0407711066137813</v>
      </c>
      <c r="S67" s="304"/>
    </row>
    <row r="68" spans="2:15" s="252" customFormat="1" ht="15.75" customHeight="1" hidden="1">
      <c r="B68" s="554" t="s">
        <v>128</v>
      </c>
      <c r="C68" s="554"/>
      <c r="D68" s="554"/>
      <c r="E68" s="253"/>
      <c r="F68" s="331"/>
      <c r="G68" s="325"/>
      <c r="H68" s="452">
        <f>ROUND(-H67*10%,2)</f>
        <v>-623.57</v>
      </c>
      <c r="I68" s="327"/>
      <c r="J68" s="327"/>
      <c r="K68" s="327"/>
      <c r="L68" s="453">
        <f>ROUND(-L67*10%,2)</f>
        <v>-648.99</v>
      </c>
      <c r="M68" s="330"/>
      <c r="N68" s="432">
        <f t="shared" si="2"/>
        <v>-25.41999999999996</v>
      </c>
      <c r="O68" s="397">
        <f t="shared" si="6"/>
        <v>0.04076527093991045</v>
      </c>
    </row>
    <row r="69" spans="2:15" s="252" customFormat="1" ht="15" hidden="1">
      <c r="B69" s="555" t="s">
        <v>46</v>
      </c>
      <c r="C69" s="555"/>
      <c r="D69" s="555"/>
      <c r="E69" s="334"/>
      <c r="F69" s="335"/>
      <c r="G69" s="336"/>
      <c r="H69" s="337">
        <f>H67+H68</f>
        <v>5612.141493150001</v>
      </c>
      <c r="I69" s="338"/>
      <c r="J69" s="338"/>
      <c r="K69" s="338"/>
      <c r="L69" s="339">
        <f>L67+L68</f>
        <v>5840.958351250001</v>
      </c>
      <c r="M69" s="340"/>
      <c r="N69" s="447">
        <f t="shared" si="2"/>
        <v>228.8168581</v>
      </c>
      <c r="O69" s="398">
        <f t="shared" si="6"/>
        <v>0.04077175502066127</v>
      </c>
    </row>
    <row r="70" spans="2:15" s="390" customFormat="1" ht="8.25" customHeight="1" hidden="1">
      <c r="B70" s="399"/>
      <c r="C70" s="400"/>
      <c r="D70" s="401"/>
      <c r="E70" s="400"/>
      <c r="F70" s="309"/>
      <c r="G70" s="342"/>
      <c r="H70" s="311"/>
      <c r="I70" s="343"/>
      <c r="J70" s="309"/>
      <c r="K70" s="344"/>
      <c r="L70" s="311"/>
      <c r="M70" s="343"/>
      <c r="N70" s="345"/>
      <c r="O70" s="315"/>
    </row>
    <row r="71" spans="2:15" s="390" customFormat="1" ht="15">
      <c r="B71" s="402" t="s">
        <v>47</v>
      </c>
      <c r="C71" s="387"/>
      <c r="D71" s="387"/>
      <c r="E71" s="387"/>
      <c r="F71" s="346"/>
      <c r="G71" s="347"/>
      <c r="H71" s="348">
        <f>SUM(H59,H53,H54:H58)</f>
        <v>5518.3287550000005</v>
      </c>
      <c r="I71" s="349"/>
      <c r="J71" s="350"/>
      <c r="K71" s="350"/>
      <c r="L71" s="351">
        <f>SUM(L59,L53,L54:L58)</f>
        <v>5743.317125</v>
      </c>
      <c r="M71" s="352"/>
      <c r="N71" s="448">
        <f>L71-H71</f>
        <v>224.98836999999912</v>
      </c>
      <c r="O71" s="393">
        <f>IF((H71)=0,"",(N71/H71))</f>
        <v>0.04077110661378113</v>
      </c>
    </row>
    <row r="72" spans="2:15" s="390" customFormat="1" ht="15">
      <c r="B72" s="403" t="s">
        <v>43</v>
      </c>
      <c r="C72" s="387"/>
      <c r="D72" s="387"/>
      <c r="E72" s="387"/>
      <c r="F72" s="353">
        <v>0.13</v>
      </c>
      <c r="G72" s="347"/>
      <c r="H72" s="354">
        <f>H71*F72</f>
        <v>717.3827381500001</v>
      </c>
      <c r="I72" s="355"/>
      <c r="J72" s="353">
        <v>0.13</v>
      </c>
      <c r="K72" s="356"/>
      <c r="L72" s="357">
        <f>L71*J72</f>
        <v>746.6312262499999</v>
      </c>
      <c r="M72" s="358"/>
      <c r="N72" s="449">
        <f>L72-H72</f>
        <v>29.248488099999804</v>
      </c>
      <c r="O72" s="395">
        <f>IF((H72)=0,"",(N72/H72))</f>
        <v>0.040771106613781014</v>
      </c>
    </row>
    <row r="73" spans="2:15" s="390" customFormat="1" ht="15">
      <c r="B73" s="404" t="s">
        <v>127</v>
      </c>
      <c r="C73" s="387"/>
      <c r="D73" s="387"/>
      <c r="E73" s="387"/>
      <c r="F73" s="359"/>
      <c r="G73" s="358"/>
      <c r="H73" s="354">
        <f>H71+H72</f>
        <v>6235.711493150001</v>
      </c>
      <c r="I73" s="355"/>
      <c r="J73" s="355"/>
      <c r="K73" s="355"/>
      <c r="L73" s="357">
        <f>L71+L72</f>
        <v>6489.948351249999</v>
      </c>
      <c r="M73" s="358"/>
      <c r="N73" s="449">
        <f>L73-H73</f>
        <v>254.23685809999824</v>
      </c>
      <c r="O73" s="395">
        <f>IF((H73)=0,"",(N73/H73))</f>
        <v>0.04077110661378101</v>
      </c>
    </row>
    <row r="74" spans="2:15" s="390" customFormat="1" ht="15.75" customHeight="1">
      <c r="B74" s="556" t="s">
        <v>128</v>
      </c>
      <c r="C74" s="556"/>
      <c r="D74" s="556"/>
      <c r="E74" s="387"/>
      <c r="F74" s="359"/>
      <c r="G74" s="358"/>
      <c r="H74" s="472">
        <v>0</v>
      </c>
      <c r="I74" s="355"/>
      <c r="J74" s="355"/>
      <c r="K74" s="355"/>
      <c r="L74" s="361">
        <v>0</v>
      </c>
      <c r="M74" s="358"/>
      <c r="N74" s="435">
        <f>L74-H74</f>
        <v>0</v>
      </c>
      <c r="O74" s="395">
        <f>IF((H74)=0,"",(N74/H74))</f>
      </c>
    </row>
    <row r="75" spans="2:15" s="390" customFormat="1" ht="15.75" thickBot="1">
      <c r="B75" s="547" t="s">
        <v>48</v>
      </c>
      <c r="C75" s="547"/>
      <c r="D75" s="547"/>
      <c r="E75" s="405"/>
      <c r="F75" s="362"/>
      <c r="G75" s="363"/>
      <c r="H75" s="364">
        <f>SUM(H73:H74)</f>
        <v>6235.711493150001</v>
      </c>
      <c r="I75" s="365"/>
      <c r="J75" s="365"/>
      <c r="K75" s="365"/>
      <c r="L75" s="366">
        <f>SUM(L73:L74)</f>
        <v>6489.948351249999</v>
      </c>
      <c r="M75" s="367"/>
      <c r="N75" s="450">
        <f>L75-H75</f>
        <v>254.23685809999824</v>
      </c>
      <c r="O75" s="406">
        <f>IF((H75)=0,"",(N75/H75))</f>
        <v>0.04077110661378101</v>
      </c>
    </row>
    <row r="76" spans="2:15" s="390" customFormat="1" ht="8.25" customHeight="1" thickBot="1">
      <c r="B76" s="399"/>
      <c r="C76" s="400"/>
      <c r="D76" s="401"/>
      <c r="E76" s="400"/>
      <c r="F76" s="368"/>
      <c r="G76" s="407"/>
      <c r="H76" s="369"/>
      <c r="I76" s="408"/>
      <c r="J76" s="368"/>
      <c r="K76" s="342"/>
      <c r="L76" s="370"/>
      <c r="M76" s="343"/>
      <c r="N76" s="409"/>
      <c r="O76" s="315"/>
    </row>
    <row r="77" s="252" customFormat="1" ht="10.5" customHeight="1">
      <c r="L77" s="304"/>
    </row>
    <row r="78" spans="2:10" s="252" customFormat="1" ht="15">
      <c r="B78" s="410" t="s">
        <v>49</v>
      </c>
      <c r="F78" s="371">
        <v>0.0495</v>
      </c>
      <c r="J78" s="371">
        <v>0.0495</v>
      </c>
    </row>
    <row r="79" s="252" customFormat="1" ht="10.5" customHeight="1"/>
    <row r="80" spans="2:15" s="252" customFormat="1" ht="15">
      <c r="B80" s="470" t="s">
        <v>141</v>
      </c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0"/>
      <c r="N80" s="470"/>
      <c r="O80" s="470"/>
    </row>
    <row r="81" spans="2:15" s="252" customFormat="1" ht="15">
      <c r="B81" s="470" t="s">
        <v>142</v>
      </c>
      <c r="C81" s="470"/>
      <c r="D81" s="470"/>
      <c r="E81" s="470"/>
      <c r="F81" s="470"/>
      <c r="G81" s="470"/>
      <c r="H81" s="470"/>
      <c r="I81" s="470"/>
      <c r="J81" s="470"/>
      <c r="K81" s="470"/>
      <c r="L81" s="470"/>
      <c r="M81" s="470"/>
      <c r="N81" s="470"/>
      <c r="O81" s="470"/>
    </row>
    <row r="82" s="252" customFormat="1" ht="17.25">
      <c r="A82" s="411" t="s">
        <v>129</v>
      </c>
    </row>
    <row r="83" s="252" customFormat="1" ht="10.5" customHeight="1"/>
    <row r="84" s="252" customFormat="1" ht="15">
      <c r="A84" s="252" t="s">
        <v>51</v>
      </c>
    </row>
    <row r="85" s="252" customFormat="1" ht="15">
      <c r="A85" s="252" t="s">
        <v>52</v>
      </c>
    </row>
    <row r="86" s="252" customFormat="1" ht="15"/>
    <row r="87" s="252" customFormat="1" ht="15">
      <c r="A87" s="373" t="s">
        <v>53</v>
      </c>
    </row>
    <row r="88" s="252" customFormat="1" ht="15">
      <c r="A88" s="373" t="s">
        <v>54</v>
      </c>
    </row>
    <row r="89" s="252" customFormat="1" ht="15"/>
    <row r="90" s="252" customFormat="1" ht="15">
      <c r="A90" s="252" t="s">
        <v>55</v>
      </c>
    </row>
    <row r="91" s="252" customFormat="1" ht="15">
      <c r="A91" s="252" t="s">
        <v>56</v>
      </c>
    </row>
    <row r="92" s="252" customFormat="1" ht="15">
      <c r="A92" s="252" t="s">
        <v>57</v>
      </c>
    </row>
    <row r="93" s="252" customFormat="1" ht="15">
      <c r="A93" s="252" t="s">
        <v>58</v>
      </c>
    </row>
    <row r="94" s="252" customFormat="1" ht="15">
      <c r="A94" s="252" t="s">
        <v>59</v>
      </c>
    </row>
    <row r="95" s="252" customFormat="1" ht="15"/>
    <row r="96" spans="1:2" s="252" customFormat="1" ht="15">
      <c r="A96" s="372"/>
      <c r="B96" s="252" t="s">
        <v>60</v>
      </c>
    </row>
    <row r="97" s="252" customFormat="1" ht="15"/>
    <row r="98" s="252" customFormat="1" ht="15"/>
  </sheetData>
  <sheetProtection/>
  <mergeCells count="21">
    <mergeCell ref="B75:D75"/>
    <mergeCell ref="D21:D22"/>
    <mergeCell ref="N21:N22"/>
    <mergeCell ref="O21:O22"/>
    <mergeCell ref="B68:D68"/>
    <mergeCell ref="N1:O1"/>
    <mergeCell ref="N2:O2"/>
    <mergeCell ref="N3:O3"/>
    <mergeCell ref="N4:O4"/>
    <mergeCell ref="A3:K3"/>
    <mergeCell ref="F20:H20"/>
    <mergeCell ref="N5:O5"/>
    <mergeCell ref="N6:O6"/>
    <mergeCell ref="N7:O7"/>
    <mergeCell ref="B11:O11"/>
    <mergeCell ref="B10:O10"/>
    <mergeCell ref="D14:O14"/>
    <mergeCell ref="B74:D74"/>
    <mergeCell ref="J20:L20"/>
    <mergeCell ref="B69:D69"/>
    <mergeCell ref="N20:O20"/>
  </mergeCells>
  <dataValidations count="4">
    <dataValidation type="list" allowBlank="1" showInputMessage="1" showErrorMessage="1" sqref="E51:E52 E42:E49 E64 E23:E40 E54:E61">
      <formula1>'GS 50-4999 (100kW)'!#REF!</formula1>
    </dataValidation>
    <dataValidation type="list" allowBlank="1" showInputMessage="1" showErrorMessage="1" prompt="Select Charge Unit - monthly, per kWh, per kW" sqref="D51:D52 D54:D64 D70 D42:D49 D76 D23:D40">
      <formula1>"Monthly, per kWh, per kW"</formula1>
    </dataValidation>
    <dataValidation type="list" allowBlank="1" showInputMessage="1" showErrorMessage="1" sqref="E76 E70 E62:E63">
      <formula1>'GS 50-4999 (100kW)'!#REF!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7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46.851562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2.2812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1.57421875" style="8" bestFit="1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T1" s="86">
        <v>1</v>
      </c>
    </row>
    <row r="2" spans="1:15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</row>
    <row r="3" spans="1:15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</row>
    <row r="4" spans="1:15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15</v>
      </c>
      <c r="O4" s="523"/>
    </row>
    <row r="5" spans="3:15" s="2" customFormat="1" ht="15" customHeight="1">
      <c r="C5" s="7"/>
      <c r="D5" s="7"/>
      <c r="E5" s="7"/>
      <c r="L5" s="3" t="s">
        <v>77</v>
      </c>
      <c r="N5" s="525" t="s">
        <v>91</v>
      </c>
      <c r="O5" s="525"/>
    </row>
    <row r="6" spans="12:15" s="2" customFormat="1" ht="9" customHeight="1">
      <c r="L6" s="3"/>
      <c r="N6" s="4"/>
      <c r="O6" s="17"/>
    </row>
    <row r="7" spans="12:15" s="2" customFormat="1" ht="15">
      <c r="L7" s="3" t="s">
        <v>145</v>
      </c>
      <c r="N7" s="526">
        <v>42412</v>
      </c>
      <c r="O7" s="525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4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114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65</v>
      </c>
      <c r="G18" s="14" t="s">
        <v>9</v>
      </c>
      <c r="H18" s="15">
        <v>1</v>
      </c>
      <c r="I18" s="14" t="s">
        <v>70</v>
      </c>
    </row>
    <row r="19" ht="15">
      <c r="B19" s="13"/>
    </row>
    <row r="20" spans="2:15" s="252" customFormat="1" ht="15">
      <c r="B20" s="373"/>
      <c r="D20" s="374"/>
      <c r="E20" s="374"/>
      <c r="F20" s="544" t="s">
        <v>10</v>
      </c>
      <c r="G20" s="545"/>
      <c r="H20" s="546"/>
      <c r="J20" s="544" t="s">
        <v>11</v>
      </c>
      <c r="K20" s="545"/>
      <c r="L20" s="546"/>
      <c r="N20" s="544" t="s">
        <v>12</v>
      </c>
      <c r="O20" s="546"/>
    </row>
    <row r="21" spans="2:15" s="252" customFormat="1" ht="15">
      <c r="B21" s="373"/>
      <c r="D21" s="548" t="s">
        <v>13</v>
      </c>
      <c r="E21" s="375"/>
      <c r="F21" s="376" t="s">
        <v>14</v>
      </c>
      <c r="G21" s="376" t="s">
        <v>15</v>
      </c>
      <c r="H21" s="377" t="s">
        <v>16</v>
      </c>
      <c r="J21" s="376" t="s">
        <v>14</v>
      </c>
      <c r="K21" s="378" t="s">
        <v>15</v>
      </c>
      <c r="L21" s="377" t="s">
        <v>16</v>
      </c>
      <c r="N21" s="550" t="s">
        <v>17</v>
      </c>
      <c r="O21" s="552" t="s">
        <v>18</v>
      </c>
    </row>
    <row r="22" spans="2:15" s="252" customFormat="1" ht="15">
      <c r="B22" s="373"/>
      <c r="D22" s="549"/>
      <c r="E22" s="375"/>
      <c r="F22" s="379" t="s">
        <v>19</v>
      </c>
      <c r="G22" s="379"/>
      <c r="H22" s="380" t="s">
        <v>19</v>
      </c>
      <c r="J22" s="379" t="s">
        <v>19</v>
      </c>
      <c r="K22" s="380"/>
      <c r="L22" s="380" t="s">
        <v>19</v>
      </c>
      <c r="N22" s="551"/>
      <c r="O22" s="553"/>
    </row>
    <row r="23" spans="2:15" s="252" customFormat="1" ht="15">
      <c r="B23" s="255" t="s">
        <v>20</v>
      </c>
      <c r="C23" s="253"/>
      <c r="D23" s="254" t="s">
        <v>62</v>
      </c>
      <c r="E23" s="255"/>
      <c r="F23" s="256">
        <v>2.04</v>
      </c>
      <c r="G23" s="303">
        <v>1</v>
      </c>
      <c r="H23" s="258">
        <f>G23*F23</f>
        <v>2.04</v>
      </c>
      <c r="I23" s="259"/>
      <c r="J23" s="264">
        <v>2.04</v>
      </c>
      <c r="K23" s="303">
        <v>1</v>
      </c>
      <c r="L23" s="258">
        <f>K23*J23</f>
        <v>2.04</v>
      </c>
      <c r="M23" s="259"/>
      <c r="N23" s="272">
        <f>L23-H23</f>
        <v>0</v>
      </c>
      <c r="O23" s="262">
        <f>IF((H23)=0,"",(N23/H23))</f>
        <v>0</v>
      </c>
    </row>
    <row r="24" spans="2:15" s="252" customFormat="1" ht="22.5" customHeight="1" hidden="1">
      <c r="B24" s="255" t="s">
        <v>92</v>
      </c>
      <c r="C24" s="253"/>
      <c r="D24" s="254" t="s">
        <v>62</v>
      </c>
      <c r="E24" s="255"/>
      <c r="F24" s="256">
        <v>0</v>
      </c>
      <c r="G24" s="303">
        <v>1</v>
      </c>
      <c r="H24" s="258">
        <f>G24*F24</f>
        <v>0</v>
      </c>
      <c r="I24" s="259"/>
      <c r="J24" s="264">
        <v>0</v>
      </c>
      <c r="K24" s="303">
        <v>1</v>
      </c>
      <c r="L24" s="258">
        <f>K24*J24</f>
        <v>0</v>
      </c>
      <c r="M24" s="259"/>
      <c r="N24" s="427">
        <f>L24-H24</f>
        <v>0</v>
      </c>
      <c r="O24" s="262">
        <f>IF((H24)=0,"",(N24/H24))</f>
      </c>
    </row>
    <row r="25" spans="2:15" s="252" customFormat="1" ht="36.75" customHeight="1" hidden="1">
      <c r="B25" s="425" t="s">
        <v>111</v>
      </c>
      <c r="C25" s="253"/>
      <c r="D25" s="266" t="s">
        <v>62</v>
      </c>
      <c r="E25" s="255"/>
      <c r="F25" s="264">
        <v>0</v>
      </c>
      <c r="G25" s="303">
        <v>1</v>
      </c>
      <c r="H25" s="258">
        <f>G25*F25</f>
        <v>0</v>
      </c>
      <c r="I25" s="259"/>
      <c r="J25" s="267">
        <f>'GS 50-4999 (60kW)'!J25</f>
        <v>0</v>
      </c>
      <c r="K25" s="303">
        <v>1</v>
      </c>
      <c r="L25" s="258">
        <f>K25*J25</f>
        <v>0</v>
      </c>
      <c r="M25" s="259"/>
      <c r="N25" s="272">
        <f>L25-H25</f>
        <v>0</v>
      </c>
      <c r="O25" s="262">
        <f>IF((H25)=0,"",(N25/H25))</f>
      </c>
    </row>
    <row r="26" spans="2:15" s="252" customFormat="1" ht="15" hidden="1">
      <c r="B26" s="425"/>
      <c r="C26" s="253"/>
      <c r="D26" s="266" t="s">
        <v>62</v>
      </c>
      <c r="E26" s="269"/>
      <c r="F26" s="264"/>
      <c r="G26" s="303">
        <v>1</v>
      </c>
      <c r="H26" s="258">
        <f aca="true" t="shared" si="0" ref="H26:H40">G26*F26</f>
        <v>0</v>
      </c>
      <c r="I26" s="259"/>
      <c r="J26" s="267"/>
      <c r="K26" s="303">
        <v>1</v>
      </c>
      <c r="L26" s="258">
        <f aca="true" t="shared" si="1" ref="L26:L40">K26*J26</f>
        <v>0</v>
      </c>
      <c r="M26" s="259"/>
      <c r="N26" s="272">
        <f aca="true" t="shared" si="2" ref="N26:N41">L26-H26</f>
        <v>0</v>
      </c>
      <c r="O26" s="262">
        <f aca="true" t="shared" si="3" ref="O26:O41">IF((H26)=0,"",(N26/H26))</f>
      </c>
    </row>
    <row r="27" spans="2:15" s="252" customFormat="1" ht="15" hidden="1">
      <c r="B27" s="425"/>
      <c r="C27" s="253"/>
      <c r="D27" s="266" t="s">
        <v>62</v>
      </c>
      <c r="E27" s="255"/>
      <c r="F27" s="270"/>
      <c r="G27" s="303">
        <v>1</v>
      </c>
      <c r="H27" s="258">
        <f t="shared" si="0"/>
        <v>0</v>
      </c>
      <c r="I27" s="259"/>
      <c r="J27" s="264"/>
      <c r="K27" s="303">
        <v>1</v>
      </c>
      <c r="L27" s="258">
        <f t="shared" si="1"/>
        <v>0</v>
      </c>
      <c r="M27" s="259"/>
      <c r="N27" s="272">
        <f t="shared" si="2"/>
        <v>0</v>
      </c>
      <c r="O27" s="262">
        <f t="shared" si="3"/>
      </c>
    </row>
    <row r="28" spans="2:15" s="252" customFormat="1" ht="15">
      <c r="B28" s="426" t="s">
        <v>66</v>
      </c>
      <c r="C28" s="253"/>
      <c r="D28" s="254" t="s">
        <v>71</v>
      </c>
      <c r="E28" s="255"/>
      <c r="F28" s="270">
        <v>0</v>
      </c>
      <c r="G28" s="303">
        <f>$H$18</f>
        <v>1</v>
      </c>
      <c r="H28" s="258">
        <f t="shared" si="0"/>
        <v>0</v>
      </c>
      <c r="I28" s="259"/>
      <c r="J28" s="465">
        <v>-0.0817</v>
      </c>
      <c r="K28" s="303">
        <f>$H$18</f>
        <v>1</v>
      </c>
      <c r="L28" s="258">
        <f t="shared" si="1"/>
        <v>-0.0817</v>
      </c>
      <c r="M28" s="259"/>
      <c r="N28" s="261">
        <f t="shared" si="2"/>
        <v>-0.0817</v>
      </c>
      <c r="O28" s="262">
        <f t="shared" si="3"/>
      </c>
    </row>
    <row r="29" spans="2:15" s="252" customFormat="1" ht="15">
      <c r="B29" s="253" t="s">
        <v>110</v>
      </c>
      <c r="C29" s="253"/>
      <c r="D29" s="254" t="s">
        <v>71</v>
      </c>
      <c r="E29" s="255"/>
      <c r="F29" s="271">
        <v>0</v>
      </c>
      <c r="G29" s="303">
        <f>$H$18</f>
        <v>1</v>
      </c>
      <c r="H29" s="258">
        <f t="shared" si="0"/>
        <v>0</v>
      </c>
      <c r="I29" s="259"/>
      <c r="J29" s="471"/>
      <c r="K29" s="303">
        <f>$H$18</f>
        <v>1</v>
      </c>
      <c r="L29" s="258">
        <f t="shared" si="1"/>
        <v>0</v>
      </c>
      <c r="M29" s="259"/>
      <c r="N29" s="272">
        <f t="shared" si="2"/>
        <v>0</v>
      </c>
      <c r="O29" s="262">
        <f t="shared" si="3"/>
      </c>
    </row>
    <row r="30" spans="2:15" s="252" customFormat="1" ht="15" hidden="1">
      <c r="B30" s="426" t="s">
        <v>93</v>
      </c>
      <c r="C30" s="253"/>
      <c r="D30" s="254" t="s">
        <v>71</v>
      </c>
      <c r="E30" s="255"/>
      <c r="F30" s="270">
        <v>0</v>
      </c>
      <c r="G30" s="303">
        <f>$H$18</f>
        <v>1</v>
      </c>
      <c r="H30" s="258">
        <f>G30*F30</f>
        <v>0</v>
      </c>
      <c r="I30" s="259"/>
      <c r="J30" s="267">
        <v>0</v>
      </c>
      <c r="K30" s="303">
        <f>H18</f>
        <v>1</v>
      </c>
      <c r="L30" s="258">
        <f t="shared" si="1"/>
        <v>0</v>
      </c>
      <c r="M30" s="259"/>
      <c r="N30" s="427">
        <f t="shared" si="2"/>
        <v>0</v>
      </c>
      <c r="O30" s="262"/>
    </row>
    <row r="31" spans="2:15" s="252" customFormat="1" ht="15">
      <c r="B31" s="255" t="s">
        <v>21</v>
      </c>
      <c r="C31" s="253"/>
      <c r="D31" s="254" t="s">
        <v>71</v>
      </c>
      <c r="E31" s="255"/>
      <c r="F31" s="270">
        <v>30.5028</v>
      </c>
      <c r="G31" s="303">
        <f>$H$18</f>
        <v>1</v>
      </c>
      <c r="H31" s="258">
        <f t="shared" si="0"/>
        <v>30.5028</v>
      </c>
      <c r="I31" s="259"/>
      <c r="J31" s="267">
        <v>30.5028</v>
      </c>
      <c r="K31" s="303">
        <f>$H$18</f>
        <v>1</v>
      </c>
      <c r="L31" s="258">
        <f t="shared" si="1"/>
        <v>30.5028</v>
      </c>
      <c r="M31" s="259"/>
      <c r="N31" s="272">
        <f t="shared" si="2"/>
        <v>0</v>
      </c>
      <c r="O31" s="262">
        <f t="shared" si="3"/>
        <v>0</v>
      </c>
    </row>
    <row r="32" spans="2:15" s="252" customFormat="1" ht="15" hidden="1">
      <c r="B32" s="253" t="s">
        <v>22</v>
      </c>
      <c r="C32" s="253"/>
      <c r="D32" s="254"/>
      <c r="E32" s="255"/>
      <c r="F32" s="270"/>
      <c r="G32" s="257">
        <f>$F$18</f>
        <v>65</v>
      </c>
      <c r="H32" s="258">
        <f t="shared" si="0"/>
        <v>0</v>
      </c>
      <c r="I32" s="259"/>
      <c r="J32" s="267"/>
      <c r="K32" s="257">
        <f aca="true" t="shared" si="4" ref="K32:K40">$F$18</f>
        <v>65</v>
      </c>
      <c r="L32" s="258">
        <f t="shared" si="1"/>
        <v>0</v>
      </c>
      <c r="M32" s="259"/>
      <c r="N32" s="272">
        <f t="shared" si="2"/>
        <v>0</v>
      </c>
      <c r="O32" s="262">
        <f t="shared" si="3"/>
      </c>
    </row>
    <row r="33" spans="2:15" s="252" customFormat="1" ht="15" hidden="1">
      <c r="B33" s="253" t="s">
        <v>110</v>
      </c>
      <c r="C33" s="253"/>
      <c r="D33" s="254" t="s">
        <v>71</v>
      </c>
      <c r="E33" s="255"/>
      <c r="F33" s="270">
        <v>0</v>
      </c>
      <c r="G33" s="441">
        <f>$H$18</f>
        <v>1</v>
      </c>
      <c r="H33" s="258">
        <f t="shared" si="0"/>
        <v>0</v>
      </c>
      <c r="I33" s="259"/>
      <c r="J33" s="267">
        <v>0</v>
      </c>
      <c r="K33" s="441">
        <f>$H$18</f>
        <v>1</v>
      </c>
      <c r="L33" s="258">
        <f t="shared" si="1"/>
        <v>0</v>
      </c>
      <c r="M33" s="259"/>
      <c r="N33" s="272">
        <f t="shared" si="2"/>
        <v>0</v>
      </c>
      <c r="O33" s="262">
        <f t="shared" si="3"/>
      </c>
    </row>
    <row r="34" spans="2:15" s="252" customFormat="1" ht="15" hidden="1">
      <c r="B34" s="273"/>
      <c r="C34" s="253"/>
      <c r="D34" s="254"/>
      <c r="E34" s="255"/>
      <c r="F34" s="270"/>
      <c r="G34" s="257">
        <f aca="true" t="shared" si="5" ref="G34:G40">$F$18</f>
        <v>65</v>
      </c>
      <c r="H34" s="258">
        <f t="shared" si="0"/>
        <v>0</v>
      </c>
      <c r="I34" s="259"/>
      <c r="J34" s="267"/>
      <c r="K34" s="257">
        <f t="shared" si="4"/>
        <v>65</v>
      </c>
      <c r="L34" s="258">
        <f t="shared" si="1"/>
        <v>0</v>
      </c>
      <c r="M34" s="259"/>
      <c r="N34" s="272">
        <f t="shared" si="2"/>
        <v>0</v>
      </c>
      <c r="O34" s="262">
        <f t="shared" si="3"/>
      </c>
    </row>
    <row r="35" spans="2:15" s="252" customFormat="1" ht="15" hidden="1">
      <c r="B35" s="273"/>
      <c r="C35" s="253"/>
      <c r="D35" s="254"/>
      <c r="E35" s="255"/>
      <c r="F35" s="270"/>
      <c r="G35" s="257">
        <f t="shared" si="5"/>
        <v>65</v>
      </c>
      <c r="H35" s="258">
        <f t="shared" si="0"/>
        <v>0</v>
      </c>
      <c r="I35" s="259"/>
      <c r="J35" s="267"/>
      <c r="K35" s="257">
        <f t="shared" si="4"/>
        <v>65</v>
      </c>
      <c r="L35" s="258">
        <f t="shared" si="1"/>
        <v>0</v>
      </c>
      <c r="M35" s="259"/>
      <c r="N35" s="272">
        <f t="shared" si="2"/>
        <v>0</v>
      </c>
      <c r="O35" s="262">
        <f t="shared" si="3"/>
      </c>
    </row>
    <row r="36" spans="2:15" s="252" customFormat="1" ht="15" hidden="1">
      <c r="B36" s="273"/>
      <c r="C36" s="253"/>
      <c r="D36" s="254"/>
      <c r="E36" s="255"/>
      <c r="F36" s="270"/>
      <c r="G36" s="257">
        <f t="shared" si="5"/>
        <v>65</v>
      </c>
      <c r="H36" s="258">
        <f t="shared" si="0"/>
        <v>0</v>
      </c>
      <c r="I36" s="259"/>
      <c r="J36" s="267"/>
      <c r="K36" s="257">
        <f t="shared" si="4"/>
        <v>65</v>
      </c>
      <c r="L36" s="258">
        <f t="shared" si="1"/>
        <v>0</v>
      </c>
      <c r="M36" s="259"/>
      <c r="N36" s="272">
        <f t="shared" si="2"/>
        <v>0</v>
      </c>
      <c r="O36" s="262">
        <f t="shared" si="3"/>
      </c>
    </row>
    <row r="37" spans="2:15" s="252" customFormat="1" ht="15" hidden="1">
      <c r="B37" s="273"/>
      <c r="C37" s="253"/>
      <c r="D37" s="254"/>
      <c r="E37" s="255"/>
      <c r="F37" s="270"/>
      <c r="G37" s="257">
        <f t="shared" si="5"/>
        <v>65</v>
      </c>
      <c r="H37" s="258">
        <f t="shared" si="0"/>
        <v>0</v>
      </c>
      <c r="I37" s="259"/>
      <c r="J37" s="267"/>
      <c r="K37" s="257">
        <f t="shared" si="4"/>
        <v>65</v>
      </c>
      <c r="L37" s="258">
        <f t="shared" si="1"/>
        <v>0</v>
      </c>
      <c r="M37" s="259"/>
      <c r="N37" s="272">
        <f t="shared" si="2"/>
        <v>0</v>
      </c>
      <c r="O37" s="262">
        <f t="shared" si="3"/>
      </c>
    </row>
    <row r="38" spans="2:15" s="252" customFormat="1" ht="15" hidden="1">
      <c r="B38" s="273"/>
      <c r="C38" s="253"/>
      <c r="D38" s="254"/>
      <c r="E38" s="255"/>
      <c r="F38" s="270"/>
      <c r="G38" s="257">
        <f t="shared" si="5"/>
        <v>65</v>
      </c>
      <c r="H38" s="258">
        <f t="shared" si="0"/>
        <v>0</v>
      </c>
      <c r="I38" s="259"/>
      <c r="J38" s="267"/>
      <c r="K38" s="257">
        <f t="shared" si="4"/>
        <v>65</v>
      </c>
      <c r="L38" s="258">
        <f t="shared" si="1"/>
        <v>0</v>
      </c>
      <c r="M38" s="259"/>
      <c r="N38" s="272">
        <f t="shared" si="2"/>
        <v>0</v>
      </c>
      <c r="O38" s="262">
        <f t="shared" si="3"/>
      </c>
    </row>
    <row r="39" spans="2:15" s="252" customFormat="1" ht="15" hidden="1">
      <c r="B39" s="273"/>
      <c r="C39" s="253"/>
      <c r="D39" s="254"/>
      <c r="E39" s="255"/>
      <c r="F39" s="270"/>
      <c r="G39" s="257">
        <f t="shared" si="5"/>
        <v>65</v>
      </c>
      <c r="H39" s="258">
        <f t="shared" si="0"/>
        <v>0</v>
      </c>
      <c r="I39" s="259"/>
      <c r="J39" s="267"/>
      <c r="K39" s="257">
        <f t="shared" si="4"/>
        <v>65</v>
      </c>
      <c r="L39" s="258">
        <f t="shared" si="1"/>
        <v>0</v>
      </c>
      <c r="M39" s="259"/>
      <c r="N39" s="272">
        <f t="shared" si="2"/>
        <v>0</v>
      </c>
      <c r="O39" s="262">
        <f t="shared" si="3"/>
      </c>
    </row>
    <row r="40" spans="2:15" s="252" customFormat="1" ht="15" hidden="1">
      <c r="B40" s="273"/>
      <c r="C40" s="253"/>
      <c r="D40" s="254"/>
      <c r="E40" s="255"/>
      <c r="F40" s="270"/>
      <c r="G40" s="257">
        <f t="shared" si="5"/>
        <v>65</v>
      </c>
      <c r="H40" s="258">
        <f t="shared" si="0"/>
        <v>0</v>
      </c>
      <c r="I40" s="259"/>
      <c r="J40" s="267"/>
      <c r="K40" s="257">
        <f t="shared" si="4"/>
        <v>65</v>
      </c>
      <c r="L40" s="258">
        <f t="shared" si="1"/>
        <v>0</v>
      </c>
      <c r="M40" s="259"/>
      <c r="N40" s="272">
        <f t="shared" si="2"/>
        <v>0</v>
      </c>
      <c r="O40" s="262">
        <f t="shared" si="3"/>
      </c>
    </row>
    <row r="41" spans="2:15" s="283" customFormat="1" ht="15">
      <c r="B41" s="382" t="s">
        <v>24</v>
      </c>
      <c r="C41" s="274"/>
      <c r="D41" s="275"/>
      <c r="E41" s="274"/>
      <c r="F41" s="276"/>
      <c r="G41" s="277"/>
      <c r="H41" s="278">
        <f>SUM(H23:H40)</f>
        <v>32.5428</v>
      </c>
      <c r="I41" s="279"/>
      <c r="J41" s="280"/>
      <c r="K41" s="281"/>
      <c r="L41" s="278">
        <f>SUM(L23:L40)</f>
        <v>32.4611</v>
      </c>
      <c r="M41" s="279"/>
      <c r="N41" s="455">
        <f t="shared" si="2"/>
        <v>-0.08169999999999789</v>
      </c>
      <c r="O41" s="383">
        <f t="shared" si="3"/>
        <v>-0.00251053996582955</v>
      </c>
    </row>
    <row r="42" spans="2:15" s="252" customFormat="1" ht="30">
      <c r="B42" s="426" t="s">
        <v>25</v>
      </c>
      <c r="C42" s="253"/>
      <c r="D42" s="266" t="s">
        <v>71</v>
      </c>
      <c r="E42" s="269"/>
      <c r="F42" s="284">
        <v>-2.4009</v>
      </c>
      <c r="G42" s="441">
        <f>G31</f>
        <v>1</v>
      </c>
      <c r="H42" s="258">
        <f aca="true" t="shared" si="6" ref="H42:H49">G42*F42</f>
        <v>-2.4009</v>
      </c>
      <c r="I42" s="259"/>
      <c r="J42" s="284">
        <v>-0.7302</v>
      </c>
      <c r="K42" s="441">
        <f>H18</f>
        <v>1</v>
      </c>
      <c r="L42" s="258">
        <f aca="true" t="shared" si="7" ref="L42:L49">K42*J42</f>
        <v>-0.7302</v>
      </c>
      <c r="M42" s="259"/>
      <c r="N42" s="261">
        <f aca="true" t="shared" si="8" ref="N42:N49">L42-H42</f>
        <v>1.6707</v>
      </c>
      <c r="O42" s="262">
        <f aca="true" t="shared" si="9" ref="O42:O48">IF((H42)=0,"",(N42/H42))</f>
        <v>-0.6958640509808822</v>
      </c>
    </row>
    <row r="43" spans="2:15" s="252" customFormat="1" ht="15" hidden="1">
      <c r="B43" s="426"/>
      <c r="C43" s="253"/>
      <c r="D43" s="254" t="s">
        <v>71</v>
      </c>
      <c r="E43" s="255"/>
      <c r="F43" s="270"/>
      <c r="G43" s="441">
        <f>H18</f>
        <v>1</v>
      </c>
      <c r="H43" s="258">
        <f t="shared" si="6"/>
        <v>0</v>
      </c>
      <c r="I43" s="285"/>
      <c r="J43" s="267"/>
      <c r="K43" s="441">
        <f>H18</f>
        <v>1</v>
      </c>
      <c r="L43" s="258">
        <f t="shared" si="7"/>
        <v>0</v>
      </c>
      <c r="M43" s="286"/>
      <c r="N43" s="261">
        <f t="shared" si="8"/>
        <v>0</v>
      </c>
      <c r="O43" s="262">
        <f t="shared" si="9"/>
      </c>
    </row>
    <row r="44" spans="2:15" s="252" customFormat="1" ht="15" hidden="1">
      <c r="B44" s="426"/>
      <c r="C44" s="253"/>
      <c r="D44" s="254" t="s">
        <v>71</v>
      </c>
      <c r="E44" s="255"/>
      <c r="F44" s="270"/>
      <c r="G44" s="441">
        <f>H18</f>
        <v>1</v>
      </c>
      <c r="H44" s="258">
        <f t="shared" si="6"/>
        <v>0</v>
      </c>
      <c r="I44" s="285"/>
      <c r="J44" s="267"/>
      <c r="K44" s="441">
        <f>H18</f>
        <v>1</v>
      </c>
      <c r="L44" s="258">
        <f t="shared" si="7"/>
        <v>0</v>
      </c>
      <c r="M44" s="286"/>
      <c r="N44" s="261">
        <f t="shared" si="8"/>
        <v>0</v>
      </c>
      <c r="O44" s="262">
        <f t="shared" si="9"/>
      </c>
    </row>
    <row r="45" spans="2:15" s="252" customFormat="1" ht="30.75" customHeight="1">
      <c r="B45" s="426" t="s">
        <v>75</v>
      </c>
      <c r="C45" s="253"/>
      <c r="D45" s="254" t="s">
        <v>71</v>
      </c>
      <c r="E45" s="255"/>
      <c r="F45" s="284">
        <v>1.9976</v>
      </c>
      <c r="G45" s="441">
        <f>H18</f>
        <v>1</v>
      </c>
      <c r="H45" s="258">
        <f t="shared" si="6"/>
        <v>1.9976</v>
      </c>
      <c r="I45" s="285"/>
      <c r="J45" s="267">
        <v>1.4728</v>
      </c>
      <c r="K45" s="441">
        <f>H18</f>
        <v>1</v>
      </c>
      <c r="L45" s="258">
        <f t="shared" si="7"/>
        <v>1.4728</v>
      </c>
      <c r="M45" s="286"/>
      <c r="N45" s="261">
        <f t="shared" si="8"/>
        <v>-0.5247999999999999</v>
      </c>
      <c r="O45" s="262">
        <f t="shared" si="9"/>
        <v>-0.26271525830997194</v>
      </c>
    </row>
    <row r="46" spans="2:15" s="252" customFormat="1" ht="15" hidden="1">
      <c r="B46" s="253" t="s">
        <v>110</v>
      </c>
      <c r="C46" s="253"/>
      <c r="D46" s="254" t="s">
        <v>71</v>
      </c>
      <c r="E46" s="255"/>
      <c r="F46" s="270">
        <v>0</v>
      </c>
      <c r="G46" s="441">
        <f>$H$18</f>
        <v>1</v>
      </c>
      <c r="H46" s="258">
        <f t="shared" si="6"/>
        <v>0</v>
      </c>
      <c r="I46" s="259"/>
      <c r="J46" s="267"/>
      <c r="K46" s="441">
        <f>$H$18</f>
        <v>1</v>
      </c>
      <c r="L46" s="258">
        <f t="shared" si="7"/>
        <v>0</v>
      </c>
      <c r="M46" s="259"/>
      <c r="N46" s="261">
        <f t="shared" si="8"/>
        <v>0</v>
      </c>
      <c r="O46" s="262">
        <f t="shared" si="9"/>
      </c>
    </row>
    <row r="47" spans="2:15" s="252" customFormat="1" ht="15">
      <c r="B47" s="384" t="s">
        <v>26</v>
      </c>
      <c r="C47" s="253"/>
      <c r="D47" s="254" t="s">
        <v>71</v>
      </c>
      <c r="E47" s="255"/>
      <c r="F47" s="270">
        <v>0.7192</v>
      </c>
      <c r="G47" s="441">
        <f>H18</f>
        <v>1</v>
      </c>
      <c r="H47" s="258">
        <f t="shared" si="6"/>
        <v>0.7192</v>
      </c>
      <c r="I47" s="259"/>
      <c r="J47" s="267">
        <v>0.7192</v>
      </c>
      <c r="K47" s="441">
        <f>H18</f>
        <v>1</v>
      </c>
      <c r="L47" s="258">
        <f t="shared" si="7"/>
        <v>0.7192</v>
      </c>
      <c r="M47" s="259"/>
      <c r="N47" s="261">
        <f t="shared" si="8"/>
        <v>0</v>
      </c>
      <c r="O47" s="262">
        <f t="shared" si="9"/>
        <v>0</v>
      </c>
    </row>
    <row r="48" spans="2:15" s="283" customFormat="1" ht="15">
      <c r="B48" s="385" t="s">
        <v>27</v>
      </c>
      <c r="C48" s="255"/>
      <c r="D48" s="254" t="s">
        <v>63</v>
      </c>
      <c r="E48" s="255"/>
      <c r="F48" s="289">
        <f>IF(ISBLANK(D16)=TRUE,0,IF(D16="TOU",0.64*$F$59+0.18*$F$60+0.18*$F$61,IF(AND(D16="non-TOU",G63&gt;0),F63,F62)))</f>
        <v>0.075</v>
      </c>
      <c r="G48" s="257">
        <f>$F$18*(1+$F$78)-$F$18</f>
        <v>3.217500000000001</v>
      </c>
      <c r="H48" s="290">
        <f t="shared" si="6"/>
        <v>0.24131250000000007</v>
      </c>
      <c r="I48" s="269"/>
      <c r="J48" s="287">
        <f>IF(ISBLANK(D16)=TRUE,0,IF(D16="TOU",0.64*$F$59+0.18*$F$60+0.18*$F$61,IF(AND(D16="non-TOU",K63&gt;0),J63,J62)))</f>
        <v>0.075</v>
      </c>
      <c r="K48" s="257">
        <f>$F$18*(1+$J$78)-$F$18</f>
        <v>3.217500000000001</v>
      </c>
      <c r="L48" s="290">
        <f t="shared" si="7"/>
        <v>0.24131250000000007</v>
      </c>
      <c r="M48" s="269"/>
      <c r="N48" s="261">
        <f t="shared" si="8"/>
        <v>0</v>
      </c>
      <c r="O48" s="291">
        <f t="shared" si="9"/>
        <v>0</v>
      </c>
    </row>
    <row r="49" spans="2:15" s="252" customFormat="1" ht="15">
      <c r="B49" s="384" t="s">
        <v>28</v>
      </c>
      <c r="C49" s="253"/>
      <c r="D49" s="254" t="s">
        <v>62</v>
      </c>
      <c r="E49" s="255"/>
      <c r="F49" s="256">
        <v>0.79</v>
      </c>
      <c r="G49" s="257">
        <v>0</v>
      </c>
      <c r="H49" s="258">
        <f t="shared" si="6"/>
        <v>0</v>
      </c>
      <c r="I49" s="259"/>
      <c r="J49" s="256">
        <v>0.79</v>
      </c>
      <c r="K49" s="257">
        <v>0</v>
      </c>
      <c r="L49" s="258">
        <f t="shared" si="7"/>
        <v>0</v>
      </c>
      <c r="M49" s="259"/>
      <c r="N49" s="261">
        <f t="shared" si="8"/>
        <v>0</v>
      </c>
      <c r="O49" s="262"/>
    </row>
    <row r="50" spans="2:15" s="252" customFormat="1" ht="30">
      <c r="B50" s="386" t="s">
        <v>29</v>
      </c>
      <c r="C50" s="293"/>
      <c r="D50" s="293"/>
      <c r="E50" s="293"/>
      <c r="F50" s="84"/>
      <c r="G50" s="294"/>
      <c r="H50" s="295">
        <f>SUM(H42:H49)+H41</f>
        <v>33.1000125</v>
      </c>
      <c r="I50" s="279"/>
      <c r="J50" s="294"/>
      <c r="K50" s="296"/>
      <c r="L50" s="295">
        <f>SUM(L42:L49)+L41</f>
        <v>34.164212500000005</v>
      </c>
      <c r="M50" s="279"/>
      <c r="N50" s="444">
        <f aca="true" t="shared" si="10" ref="N50:N69">L50-H50</f>
        <v>1.0642000000000067</v>
      </c>
      <c r="O50" s="383">
        <f aca="true" t="shared" si="11" ref="O50:O69">IF((H50)=0,"",(N50/H50))</f>
        <v>0.032151045260179485</v>
      </c>
    </row>
    <row r="51" spans="2:15" s="252" customFormat="1" ht="15">
      <c r="B51" s="259" t="s">
        <v>30</v>
      </c>
      <c r="C51" s="259"/>
      <c r="D51" s="266" t="s">
        <v>71</v>
      </c>
      <c r="E51" s="269"/>
      <c r="F51" s="267">
        <v>1.2878</v>
      </c>
      <c r="G51" s="302">
        <f>H18*(1+F78)</f>
        <v>1.0495</v>
      </c>
      <c r="H51" s="258">
        <f>G51*F51</f>
        <v>1.3515461000000002</v>
      </c>
      <c r="I51" s="259"/>
      <c r="J51" s="267">
        <v>1.7078</v>
      </c>
      <c r="K51" s="303">
        <f>H18*(1+J78)</f>
        <v>1.0495</v>
      </c>
      <c r="L51" s="258">
        <f>K51*J51</f>
        <v>1.7923361000000002</v>
      </c>
      <c r="M51" s="259"/>
      <c r="N51" s="261">
        <f t="shared" si="10"/>
        <v>0.44079</v>
      </c>
      <c r="O51" s="262">
        <f t="shared" si="11"/>
        <v>0.3261375990060568</v>
      </c>
    </row>
    <row r="52" spans="2:15" s="252" customFormat="1" ht="30">
      <c r="B52" s="298" t="s">
        <v>31</v>
      </c>
      <c r="C52" s="259"/>
      <c r="D52" s="266" t="s">
        <v>71</v>
      </c>
      <c r="E52" s="269"/>
      <c r="F52" s="267">
        <v>0.5558</v>
      </c>
      <c r="G52" s="302">
        <f>G51</f>
        <v>1.0495</v>
      </c>
      <c r="H52" s="258">
        <f>G52*F52</f>
        <v>0.5833121</v>
      </c>
      <c r="I52" s="259"/>
      <c r="J52" s="267">
        <v>0.8813</v>
      </c>
      <c r="K52" s="303">
        <f>K51</f>
        <v>1.0495</v>
      </c>
      <c r="L52" s="258">
        <f>K52*J52</f>
        <v>0.9249243500000001</v>
      </c>
      <c r="M52" s="259"/>
      <c r="N52" s="261">
        <f t="shared" si="10"/>
        <v>0.34161225000000006</v>
      </c>
      <c r="O52" s="262">
        <f t="shared" si="11"/>
        <v>0.5856423173803528</v>
      </c>
    </row>
    <row r="53" spans="2:15" s="252" customFormat="1" ht="30">
      <c r="B53" s="386" t="s">
        <v>32</v>
      </c>
      <c r="C53" s="274"/>
      <c r="D53" s="274"/>
      <c r="E53" s="274"/>
      <c r="F53" s="85"/>
      <c r="G53" s="294"/>
      <c r="H53" s="295">
        <f>SUM(H50:H52)</f>
        <v>35.0348707</v>
      </c>
      <c r="I53" s="299"/>
      <c r="J53" s="300"/>
      <c r="K53" s="301"/>
      <c r="L53" s="295">
        <f>SUM(L50:L52)</f>
        <v>36.88147295</v>
      </c>
      <c r="M53" s="299"/>
      <c r="N53" s="444">
        <f t="shared" si="10"/>
        <v>1.8466022500000037</v>
      </c>
      <c r="O53" s="383">
        <f t="shared" si="11"/>
        <v>0.052707551451017735</v>
      </c>
    </row>
    <row r="54" spans="2:15" s="252" customFormat="1" ht="15">
      <c r="B54" s="265" t="s">
        <v>33</v>
      </c>
      <c r="C54" s="253"/>
      <c r="D54" s="254" t="s">
        <v>63</v>
      </c>
      <c r="E54" s="255"/>
      <c r="F54" s="270">
        <v>0.0044</v>
      </c>
      <c r="G54" s="473">
        <f>F18*(1+F78)</f>
        <v>68.2175</v>
      </c>
      <c r="H54" s="258">
        <f aca="true" t="shared" si="12" ref="H54:H61">G54*F54</f>
        <v>0.300157</v>
      </c>
      <c r="I54" s="259"/>
      <c r="J54" s="471">
        <v>0.0036</v>
      </c>
      <c r="K54" s="486">
        <f>F18*(1+J78)</f>
        <v>68.2175</v>
      </c>
      <c r="L54" s="258">
        <f aca="true" t="shared" si="13" ref="L54:L61">K54*J54</f>
        <v>0.245583</v>
      </c>
      <c r="M54" s="259"/>
      <c r="N54" s="261">
        <f t="shared" si="10"/>
        <v>-0.05457400000000001</v>
      </c>
      <c r="O54" s="262">
        <f t="shared" si="11"/>
        <v>-0.18181818181818185</v>
      </c>
    </row>
    <row r="55" spans="2:15" s="252" customFormat="1" ht="15">
      <c r="B55" s="265" t="s">
        <v>34</v>
      </c>
      <c r="C55" s="253"/>
      <c r="D55" s="254" t="s">
        <v>63</v>
      </c>
      <c r="E55" s="255"/>
      <c r="F55" s="270">
        <v>0.0013</v>
      </c>
      <c r="G55" s="473">
        <f>G54</f>
        <v>68.2175</v>
      </c>
      <c r="H55" s="258">
        <f t="shared" si="12"/>
        <v>0.08868274999999999</v>
      </c>
      <c r="I55" s="259"/>
      <c r="J55" s="267">
        <v>0.0013</v>
      </c>
      <c r="K55" s="486">
        <f>K54</f>
        <v>68.2175</v>
      </c>
      <c r="L55" s="258">
        <f t="shared" si="13"/>
        <v>0.08868274999999999</v>
      </c>
      <c r="M55" s="259"/>
      <c r="N55" s="261">
        <f t="shared" si="10"/>
        <v>0</v>
      </c>
      <c r="O55" s="262">
        <f t="shared" si="11"/>
        <v>0</v>
      </c>
    </row>
    <row r="56" spans="2:15" s="252" customFormat="1" ht="30">
      <c r="B56" s="265" t="s">
        <v>121</v>
      </c>
      <c r="C56" s="253"/>
      <c r="D56" s="254" t="s">
        <v>63</v>
      </c>
      <c r="E56" s="255"/>
      <c r="F56" s="270">
        <v>0</v>
      </c>
      <c r="G56" s="485">
        <f>G54</f>
        <v>68.2175</v>
      </c>
      <c r="H56" s="258">
        <f t="shared" si="12"/>
        <v>0</v>
      </c>
      <c r="I56" s="259"/>
      <c r="J56" s="471">
        <v>0.0011</v>
      </c>
      <c r="K56" s="486">
        <f>K54</f>
        <v>68.2175</v>
      </c>
      <c r="L56" s="258">
        <f t="shared" si="13"/>
        <v>0.07503925</v>
      </c>
      <c r="M56" s="259"/>
      <c r="N56" s="261">
        <f t="shared" si="10"/>
        <v>0.07503925</v>
      </c>
      <c r="O56" s="262">
        <f t="shared" si="11"/>
      </c>
    </row>
    <row r="57" spans="2:15" s="252" customFormat="1" ht="15">
      <c r="B57" s="253" t="s">
        <v>35</v>
      </c>
      <c r="C57" s="253"/>
      <c r="D57" s="254" t="s">
        <v>62</v>
      </c>
      <c r="E57" s="255"/>
      <c r="F57" s="256">
        <v>0.25</v>
      </c>
      <c r="G57" s="257">
        <v>1</v>
      </c>
      <c r="H57" s="258">
        <f t="shared" si="12"/>
        <v>0.25</v>
      </c>
      <c r="I57" s="259"/>
      <c r="J57" s="264">
        <v>0.25</v>
      </c>
      <c r="K57" s="260">
        <v>1</v>
      </c>
      <c r="L57" s="258">
        <f t="shared" si="13"/>
        <v>0.25</v>
      </c>
      <c r="M57" s="259"/>
      <c r="N57" s="261">
        <f t="shared" si="10"/>
        <v>0</v>
      </c>
      <c r="O57" s="262">
        <f t="shared" si="11"/>
        <v>0</v>
      </c>
    </row>
    <row r="58" spans="2:15" s="252" customFormat="1" ht="15">
      <c r="B58" s="253" t="s">
        <v>36</v>
      </c>
      <c r="C58" s="253"/>
      <c r="D58" s="254" t="s">
        <v>63</v>
      </c>
      <c r="E58" s="255"/>
      <c r="F58" s="270">
        <v>0.007</v>
      </c>
      <c r="G58" s="302">
        <f>F18</f>
        <v>65</v>
      </c>
      <c r="H58" s="258">
        <f t="shared" si="12"/>
        <v>0.455</v>
      </c>
      <c r="I58" s="259"/>
      <c r="J58" s="267">
        <v>0.007</v>
      </c>
      <c r="K58" s="303">
        <f>F18</f>
        <v>65</v>
      </c>
      <c r="L58" s="258">
        <f t="shared" si="13"/>
        <v>0.455</v>
      </c>
      <c r="M58" s="259"/>
      <c r="N58" s="261">
        <f t="shared" si="10"/>
        <v>0</v>
      </c>
      <c r="O58" s="262">
        <f t="shared" si="11"/>
        <v>0</v>
      </c>
    </row>
    <row r="59" spans="2:19" s="252" customFormat="1" ht="15.75" thickBot="1">
      <c r="B59" s="384" t="s">
        <v>74</v>
      </c>
      <c r="C59" s="253"/>
      <c r="D59" s="254" t="s">
        <v>63</v>
      </c>
      <c r="E59" s="255"/>
      <c r="F59" s="270">
        <v>0.1</v>
      </c>
      <c r="G59" s="302">
        <f>F18</f>
        <v>65</v>
      </c>
      <c r="H59" s="290">
        <f t="shared" si="12"/>
        <v>6.5</v>
      </c>
      <c r="I59" s="269"/>
      <c r="J59" s="267">
        <f>F59</f>
        <v>0.1</v>
      </c>
      <c r="K59" s="302">
        <f>G59</f>
        <v>65</v>
      </c>
      <c r="L59" s="258">
        <f t="shared" si="13"/>
        <v>6.5</v>
      </c>
      <c r="M59" s="259"/>
      <c r="N59" s="261">
        <f t="shared" si="10"/>
        <v>0</v>
      </c>
      <c r="O59" s="262">
        <f t="shared" si="11"/>
        <v>0</v>
      </c>
      <c r="S59" s="304"/>
    </row>
    <row r="60" spans="2:19" s="252" customFormat="1" ht="15" hidden="1">
      <c r="B60" s="384" t="s">
        <v>38</v>
      </c>
      <c r="C60" s="253"/>
      <c r="D60" s="254"/>
      <c r="E60" s="255"/>
      <c r="F60" s="289">
        <v>0.104</v>
      </c>
      <c r="G60" s="297">
        <v>0</v>
      </c>
      <c r="H60" s="258">
        <f t="shared" si="12"/>
        <v>0</v>
      </c>
      <c r="I60" s="259"/>
      <c r="J60" s="270">
        <v>0.104</v>
      </c>
      <c r="K60" s="297">
        <v>0</v>
      </c>
      <c r="L60" s="258">
        <f t="shared" si="13"/>
        <v>0</v>
      </c>
      <c r="M60" s="259"/>
      <c r="N60" s="272">
        <f t="shared" si="10"/>
        <v>0</v>
      </c>
      <c r="O60" s="262">
        <f t="shared" si="11"/>
      </c>
      <c r="S60" s="304"/>
    </row>
    <row r="61" spans="2:19" s="252" customFormat="1" ht="15" hidden="1">
      <c r="B61" s="373" t="s">
        <v>39</v>
      </c>
      <c r="C61" s="253"/>
      <c r="D61" s="254"/>
      <c r="E61" s="255"/>
      <c r="F61" s="289">
        <v>0.124</v>
      </c>
      <c r="G61" s="297">
        <v>0</v>
      </c>
      <c r="H61" s="258">
        <f t="shared" si="12"/>
        <v>0</v>
      </c>
      <c r="I61" s="259"/>
      <c r="J61" s="270">
        <v>0.124</v>
      </c>
      <c r="K61" s="297">
        <v>0</v>
      </c>
      <c r="L61" s="258">
        <f t="shared" si="13"/>
        <v>0</v>
      </c>
      <c r="M61" s="259"/>
      <c r="N61" s="272">
        <f t="shared" si="10"/>
        <v>0</v>
      </c>
      <c r="O61" s="262">
        <f t="shared" si="11"/>
      </c>
      <c r="S61" s="304"/>
    </row>
    <row r="62" spans="2:15" s="390" customFormat="1" ht="15" hidden="1">
      <c r="B62" s="451" t="s">
        <v>40</v>
      </c>
      <c r="C62" s="387"/>
      <c r="D62" s="388"/>
      <c r="E62" s="389"/>
      <c r="F62" s="289">
        <v>0.075</v>
      </c>
      <c r="G62" s="305">
        <f>IF(AND($T$1=1,F18&gt;=600),600,IF(AND($T$1=1,AND(F18&lt;600,F18&gt;=0)),F18,IF(AND($T$1=2,F18&gt;=1000),1000,IF(AND($T$1=2,AND(F18&lt;1000,F18&gt;=0)),F18))))</f>
        <v>65</v>
      </c>
      <c r="H62" s="258">
        <f>G62*F62</f>
        <v>4.875</v>
      </c>
      <c r="I62" s="306"/>
      <c r="J62" s="270">
        <v>0.075</v>
      </c>
      <c r="K62" s="305">
        <f>G62</f>
        <v>65</v>
      </c>
      <c r="L62" s="258">
        <f>K62*J62</f>
        <v>4.875</v>
      </c>
      <c r="M62" s="306"/>
      <c r="N62" s="428">
        <f t="shared" si="10"/>
        <v>0</v>
      </c>
      <c r="O62" s="262">
        <f t="shared" si="11"/>
        <v>0</v>
      </c>
    </row>
    <row r="63" spans="2:15" s="390" customFormat="1" ht="15.75" hidden="1" thickBot="1">
      <c r="B63" s="451" t="s">
        <v>41</v>
      </c>
      <c r="C63" s="387"/>
      <c r="D63" s="388"/>
      <c r="E63" s="389"/>
      <c r="F63" s="289">
        <v>0.088</v>
      </c>
      <c r="G63" s="305">
        <f>IF(AND($T$1=1,F18&gt;=600),F18-600,IF(AND($T$1=1,AND(F18&lt;600,F18&gt;=0)),0,IF(AND($T$1=2,F18&gt;=1000),F18-1000,IF(AND($T$1=2,AND(F18&lt;1000,F18&gt;=0)),0))))</f>
        <v>0</v>
      </c>
      <c r="H63" s="258">
        <f>G63*F63</f>
        <v>0</v>
      </c>
      <c r="I63" s="306"/>
      <c r="J63" s="270">
        <v>0.088</v>
      </c>
      <c r="K63" s="305">
        <f>G63</f>
        <v>0</v>
      </c>
      <c r="L63" s="258">
        <f>K63*J63</f>
        <v>0</v>
      </c>
      <c r="M63" s="306"/>
      <c r="N63" s="428">
        <f t="shared" si="10"/>
        <v>0</v>
      </c>
      <c r="O63" s="262">
        <f t="shared" si="11"/>
      </c>
    </row>
    <row r="64" spans="2:15" s="252" customFormat="1" ht="8.25" customHeight="1" thickBot="1">
      <c r="B64" s="391"/>
      <c r="C64" s="307"/>
      <c r="D64" s="308"/>
      <c r="E64" s="307"/>
      <c r="F64" s="309"/>
      <c r="G64" s="310"/>
      <c r="H64" s="311"/>
      <c r="I64" s="312"/>
      <c r="J64" s="309"/>
      <c r="K64" s="313"/>
      <c r="L64" s="311"/>
      <c r="M64" s="312"/>
      <c r="N64" s="314"/>
      <c r="O64" s="315"/>
    </row>
    <row r="65" spans="2:19" s="252" customFormat="1" ht="15" hidden="1">
      <c r="B65" s="392" t="s">
        <v>42</v>
      </c>
      <c r="C65" s="253"/>
      <c r="D65" s="253"/>
      <c r="E65" s="253"/>
      <c r="F65" s="316"/>
      <c r="G65" s="317"/>
      <c r="H65" s="318">
        <f>SUM(H54:H61,H53)</f>
        <v>42.62871045</v>
      </c>
      <c r="I65" s="319"/>
      <c r="J65" s="320"/>
      <c r="K65" s="320"/>
      <c r="L65" s="318">
        <f>SUM(L54:L61,L53)</f>
        <v>44.495777950000004</v>
      </c>
      <c r="M65" s="322"/>
      <c r="N65" s="445">
        <f>L65-H65</f>
        <v>1.8670675000000045</v>
      </c>
      <c r="O65" s="393">
        <f>IF((H65)=0,"",(N65/H65))</f>
        <v>0.0437983574987548</v>
      </c>
      <c r="S65" s="304"/>
    </row>
    <row r="66" spans="2:19" s="252" customFormat="1" ht="15" hidden="1">
      <c r="B66" s="394" t="s">
        <v>43</v>
      </c>
      <c r="C66" s="253"/>
      <c r="D66" s="253"/>
      <c r="E66" s="253"/>
      <c r="F66" s="324">
        <v>0.13</v>
      </c>
      <c r="G66" s="325"/>
      <c r="H66" s="326">
        <f>H65*F66</f>
        <v>5.5417323585</v>
      </c>
      <c r="I66" s="327"/>
      <c r="J66" s="328">
        <v>0.13</v>
      </c>
      <c r="K66" s="327"/>
      <c r="L66" s="329">
        <f>L65*J66</f>
        <v>5.784451133500001</v>
      </c>
      <c r="M66" s="330"/>
      <c r="N66" s="446">
        <f t="shared" si="10"/>
        <v>0.24271877500000105</v>
      </c>
      <c r="O66" s="395">
        <f t="shared" si="11"/>
        <v>0.04379835749875488</v>
      </c>
      <c r="S66" s="304"/>
    </row>
    <row r="67" spans="2:19" s="252" customFormat="1" ht="15" hidden="1">
      <c r="B67" s="396" t="s">
        <v>127</v>
      </c>
      <c r="C67" s="253"/>
      <c r="D67" s="253"/>
      <c r="E67" s="253"/>
      <c r="F67" s="331"/>
      <c r="G67" s="325"/>
      <c r="H67" s="326">
        <f>H65+H66</f>
        <v>48.1704428085</v>
      </c>
      <c r="I67" s="327"/>
      <c r="J67" s="327"/>
      <c r="K67" s="327"/>
      <c r="L67" s="329">
        <f>L65+L66</f>
        <v>50.280229083500004</v>
      </c>
      <c r="M67" s="330"/>
      <c r="N67" s="446">
        <f t="shared" si="10"/>
        <v>2.1097862750000047</v>
      </c>
      <c r="O67" s="395">
        <f t="shared" si="11"/>
        <v>0.04379835749875479</v>
      </c>
      <c r="S67" s="304"/>
    </row>
    <row r="68" spans="2:15" s="252" customFormat="1" ht="15.75" customHeight="1" hidden="1">
      <c r="B68" s="554" t="s">
        <v>128</v>
      </c>
      <c r="C68" s="554"/>
      <c r="D68" s="554"/>
      <c r="E68" s="253"/>
      <c r="F68" s="331"/>
      <c r="G68" s="325"/>
      <c r="H68" s="452">
        <f>ROUND(-H67*10%,2)</f>
        <v>-4.82</v>
      </c>
      <c r="I68" s="327"/>
      <c r="J68" s="327"/>
      <c r="K68" s="327"/>
      <c r="L68" s="453">
        <f>ROUND(-L67*10%,2)</f>
        <v>-5.03</v>
      </c>
      <c r="M68" s="330"/>
      <c r="N68" s="432">
        <f t="shared" si="10"/>
        <v>-0.20999999999999996</v>
      </c>
      <c r="O68" s="397">
        <f t="shared" si="11"/>
        <v>0.04356846473029045</v>
      </c>
    </row>
    <row r="69" spans="2:15" s="252" customFormat="1" ht="15" hidden="1">
      <c r="B69" s="555" t="s">
        <v>46</v>
      </c>
      <c r="C69" s="555"/>
      <c r="D69" s="555"/>
      <c r="E69" s="334"/>
      <c r="F69" s="335"/>
      <c r="G69" s="336"/>
      <c r="H69" s="337">
        <f>H67+H68</f>
        <v>43.3504428085</v>
      </c>
      <c r="I69" s="338"/>
      <c r="J69" s="338"/>
      <c r="K69" s="338"/>
      <c r="L69" s="339">
        <f>L67+L68</f>
        <v>45.2502290835</v>
      </c>
      <c r="M69" s="340"/>
      <c r="N69" s="447">
        <f t="shared" si="10"/>
        <v>1.8997862750000039</v>
      </c>
      <c r="O69" s="398">
        <f t="shared" si="11"/>
        <v>0.04382391855585615</v>
      </c>
    </row>
    <row r="70" spans="2:15" s="390" customFormat="1" ht="8.25" customHeight="1" hidden="1">
      <c r="B70" s="399"/>
      <c r="C70" s="400"/>
      <c r="D70" s="401"/>
      <c r="E70" s="400"/>
      <c r="F70" s="309"/>
      <c r="G70" s="342"/>
      <c r="H70" s="311"/>
      <c r="I70" s="343"/>
      <c r="J70" s="309"/>
      <c r="K70" s="344"/>
      <c r="L70" s="311"/>
      <c r="M70" s="343"/>
      <c r="N70" s="345"/>
      <c r="O70" s="315"/>
    </row>
    <row r="71" spans="2:15" s="390" customFormat="1" ht="15">
      <c r="B71" s="402" t="s">
        <v>47</v>
      </c>
      <c r="C71" s="387"/>
      <c r="D71" s="387"/>
      <c r="E71" s="387"/>
      <c r="F71" s="346"/>
      <c r="G71" s="347"/>
      <c r="H71" s="348">
        <f>SUM(H59,H53,H54:H58)</f>
        <v>42.62871044999999</v>
      </c>
      <c r="I71" s="349"/>
      <c r="J71" s="350"/>
      <c r="K71" s="350"/>
      <c r="L71" s="351">
        <f>SUM(L59,L53,L54:L58)</f>
        <v>44.495777950000004</v>
      </c>
      <c r="M71" s="352"/>
      <c r="N71" s="448">
        <f>L71-H71</f>
        <v>1.8670675000000116</v>
      </c>
      <c r="O71" s="393">
        <f>IF((H71)=0,"",(N71/H71))</f>
        <v>0.04379835749875497</v>
      </c>
    </row>
    <row r="72" spans="2:15" s="390" customFormat="1" ht="15">
      <c r="B72" s="403" t="s">
        <v>43</v>
      </c>
      <c r="C72" s="387"/>
      <c r="D72" s="387"/>
      <c r="E72" s="387"/>
      <c r="F72" s="353">
        <v>0.13</v>
      </c>
      <c r="G72" s="347"/>
      <c r="H72" s="354">
        <f>H71*F72</f>
        <v>5.541732358499999</v>
      </c>
      <c r="I72" s="355"/>
      <c r="J72" s="353">
        <v>0.13</v>
      </c>
      <c r="K72" s="356"/>
      <c r="L72" s="357">
        <f>L71*J72</f>
        <v>5.784451133500001</v>
      </c>
      <c r="M72" s="358"/>
      <c r="N72" s="449">
        <f>L72-H72</f>
        <v>0.24271877500000194</v>
      </c>
      <c r="O72" s="395">
        <f>IF((H72)=0,"",(N72/H72))</f>
        <v>0.04379835749875505</v>
      </c>
    </row>
    <row r="73" spans="2:15" s="390" customFormat="1" ht="15">
      <c r="B73" s="404" t="s">
        <v>127</v>
      </c>
      <c r="C73" s="387"/>
      <c r="D73" s="387"/>
      <c r="E73" s="387"/>
      <c r="F73" s="359"/>
      <c r="G73" s="358"/>
      <c r="H73" s="354">
        <f>H71+H72</f>
        <v>48.17044280849999</v>
      </c>
      <c r="I73" s="355"/>
      <c r="J73" s="355"/>
      <c r="K73" s="355"/>
      <c r="L73" s="357">
        <f>L71+L72</f>
        <v>50.280229083500004</v>
      </c>
      <c r="M73" s="358"/>
      <c r="N73" s="449">
        <f>L73-H73</f>
        <v>2.109786275000012</v>
      </c>
      <c r="O73" s="395">
        <f>IF((H73)=0,"",(N73/H73))</f>
        <v>0.04379835749875494</v>
      </c>
    </row>
    <row r="74" spans="2:15" s="390" customFormat="1" ht="15.75" customHeight="1">
      <c r="B74" s="556" t="s">
        <v>128</v>
      </c>
      <c r="C74" s="556"/>
      <c r="D74" s="556"/>
      <c r="E74" s="387"/>
      <c r="F74" s="359"/>
      <c r="G74" s="358"/>
      <c r="H74" s="360">
        <f>ROUND(-H73*10%,2)</f>
        <v>-4.82</v>
      </c>
      <c r="I74" s="355"/>
      <c r="J74" s="355"/>
      <c r="K74" s="355"/>
      <c r="L74" s="454">
        <v>0</v>
      </c>
      <c r="M74" s="358"/>
      <c r="N74" s="435">
        <f>L74-H74</f>
        <v>4.82</v>
      </c>
      <c r="O74" s="395">
        <f>IF((H74)=0,"",(N74/H74))</f>
        <v>-1</v>
      </c>
    </row>
    <row r="75" spans="2:15" s="390" customFormat="1" ht="15.75" thickBot="1">
      <c r="B75" s="547" t="s">
        <v>48</v>
      </c>
      <c r="C75" s="547"/>
      <c r="D75" s="547"/>
      <c r="E75" s="405"/>
      <c r="F75" s="362"/>
      <c r="G75" s="363"/>
      <c r="H75" s="364">
        <f>SUM(H73:H74)</f>
        <v>43.35044280849999</v>
      </c>
      <c r="I75" s="365"/>
      <c r="J75" s="365"/>
      <c r="K75" s="365"/>
      <c r="L75" s="366">
        <f>SUM(L73:L74)</f>
        <v>50.280229083500004</v>
      </c>
      <c r="M75" s="367"/>
      <c r="N75" s="450">
        <f>L75-H75</f>
        <v>6.929786275000012</v>
      </c>
      <c r="O75" s="406">
        <f>IF((H75)=0,"",(N75/H75))</f>
        <v>0.15985502860056705</v>
      </c>
    </row>
    <row r="76" spans="2:15" s="390" customFormat="1" ht="8.25" customHeight="1" thickBot="1">
      <c r="B76" s="399"/>
      <c r="C76" s="400"/>
      <c r="D76" s="401"/>
      <c r="E76" s="400"/>
      <c r="F76" s="368"/>
      <c r="G76" s="407"/>
      <c r="H76" s="369"/>
      <c r="I76" s="408"/>
      <c r="J76" s="368"/>
      <c r="K76" s="342"/>
      <c r="L76" s="370"/>
      <c r="M76" s="343"/>
      <c r="N76" s="409"/>
      <c r="O76" s="315"/>
    </row>
    <row r="77" s="252" customFormat="1" ht="10.5" customHeight="1">
      <c r="L77" s="304"/>
    </row>
    <row r="78" spans="2:10" s="252" customFormat="1" ht="15">
      <c r="B78" s="410" t="s">
        <v>49</v>
      </c>
      <c r="F78" s="371">
        <v>0.0495</v>
      </c>
      <c r="J78" s="371">
        <v>0.0495</v>
      </c>
    </row>
    <row r="79" s="252" customFormat="1" ht="10.5" customHeight="1"/>
    <row r="80" spans="2:15" s="252" customFormat="1" ht="15">
      <c r="B80" s="470" t="s">
        <v>143</v>
      </c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0"/>
      <c r="N80" s="470"/>
      <c r="O80" s="470"/>
    </row>
    <row r="81" spans="2:15" s="283" customFormat="1" ht="15">
      <c r="B81" s="470" t="s">
        <v>144</v>
      </c>
      <c r="C81" s="470"/>
      <c r="D81" s="470"/>
      <c r="E81" s="470"/>
      <c r="F81" s="470"/>
      <c r="G81" s="470"/>
      <c r="H81" s="470"/>
      <c r="I81" s="470"/>
      <c r="J81" s="470"/>
      <c r="K81" s="470"/>
      <c r="L81" s="470"/>
      <c r="M81" s="470"/>
      <c r="N81" s="470"/>
      <c r="O81" s="470"/>
    </row>
    <row r="82" s="252" customFormat="1" ht="10.5" customHeight="1">
      <c r="A82" s="411" t="s">
        <v>129</v>
      </c>
    </row>
    <row r="83" s="252" customFormat="1" ht="15"/>
    <row r="84" s="252" customFormat="1" ht="15">
      <c r="A84" s="252" t="s">
        <v>51</v>
      </c>
    </row>
    <row r="85" s="252" customFormat="1" ht="15">
      <c r="A85" s="252" t="s">
        <v>52</v>
      </c>
    </row>
    <row r="86" s="252" customFormat="1" ht="15"/>
    <row r="87" s="252" customFormat="1" ht="15">
      <c r="A87" s="373" t="s">
        <v>53</v>
      </c>
    </row>
    <row r="88" s="252" customFormat="1" ht="15">
      <c r="A88" s="373" t="s">
        <v>54</v>
      </c>
    </row>
    <row r="89" s="252" customFormat="1" ht="15"/>
    <row r="90" s="252" customFormat="1" ht="15">
      <c r="A90" s="252" t="s">
        <v>55</v>
      </c>
    </row>
    <row r="91" s="252" customFormat="1" ht="15">
      <c r="A91" s="252" t="s">
        <v>56</v>
      </c>
    </row>
    <row r="92" s="252" customFormat="1" ht="15">
      <c r="A92" s="252" t="s">
        <v>57</v>
      </c>
    </row>
    <row r="93" s="252" customFormat="1" ht="15">
      <c r="A93" s="252" t="s">
        <v>58</v>
      </c>
    </row>
    <row r="94" s="252" customFormat="1" ht="15">
      <c r="A94" s="252" t="s">
        <v>59</v>
      </c>
    </row>
    <row r="95" s="252" customFormat="1" ht="15"/>
    <row r="96" spans="1:2" s="252" customFormat="1" ht="15">
      <c r="A96" s="372"/>
      <c r="B96" s="252" t="s">
        <v>60</v>
      </c>
    </row>
    <row r="97" spans="1:10" ht="15">
      <c r="A97" s="252"/>
      <c r="B97" s="252"/>
      <c r="C97" s="252"/>
      <c r="D97" s="252"/>
      <c r="E97" s="252"/>
      <c r="F97" s="252"/>
      <c r="G97" s="252"/>
      <c r="H97" s="252"/>
      <c r="I97" s="252"/>
      <c r="J97" s="252"/>
    </row>
  </sheetData>
  <sheetProtection/>
  <mergeCells count="20">
    <mergeCell ref="N1:O1"/>
    <mergeCell ref="N2:O2"/>
    <mergeCell ref="N3:O3"/>
    <mergeCell ref="N4:O4"/>
    <mergeCell ref="B75:D75"/>
    <mergeCell ref="D21:D22"/>
    <mergeCell ref="N21:N22"/>
    <mergeCell ref="O21:O22"/>
    <mergeCell ref="B68:D68"/>
    <mergeCell ref="B69:D69"/>
    <mergeCell ref="B74:D74"/>
    <mergeCell ref="A3:K3"/>
    <mergeCell ref="B10:O10"/>
    <mergeCell ref="B11:O11"/>
    <mergeCell ref="D14:O14"/>
    <mergeCell ref="F20:H20"/>
    <mergeCell ref="J20:L20"/>
    <mergeCell ref="N20:O20"/>
    <mergeCell ref="N5:O5"/>
    <mergeCell ref="N7:O7"/>
  </mergeCells>
  <dataValidations count="4">
    <dataValidation type="list" allowBlank="1" showInputMessage="1" showErrorMessage="1" sqref="E51:E52 E23:E40 E64 E42:E49 E54:E61">
      <formula1>Sentinel!#REF!</formula1>
    </dataValidation>
    <dataValidation type="list" allowBlank="1" showInputMessage="1" showErrorMessage="1" prompt="Select Charge Unit - monthly, per kWh, per kW" sqref="D51:D52 D23:D40 D70 D54:D64 D76 D42:D49">
      <formula1>"Monthly, per kWh, per kW"</formula1>
    </dataValidation>
    <dataValidation type="list" allowBlank="1" showInputMessage="1" showErrorMessage="1" sqref="E76 E70 E62:E63">
      <formula1>Sentinel!#REF!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7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6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46.14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9.00390625" style="8" bestFit="1" customWidth="1"/>
    <col min="8" max="8" width="14.28125" style="8" bestFit="1" customWidth="1"/>
    <col min="9" max="9" width="2.8515625" style="8" customWidth="1"/>
    <col min="10" max="10" width="12.140625" style="8" customWidth="1"/>
    <col min="11" max="11" width="9.00390625" style="8" bestFit="1" customWidth="1"/>
    <col min="12" max="12" width="14.2812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16</v>
      </c>
      <c r="O4" s="523"/>
      <c r="P4"/>
    </row>
    <row r="5" spans="3:16" s="2" customFormat="1" ht="15" customHeight="1">
      <c r="C5" s="7"/>
      <c r="D5" s="7"/>
      <c r="E5" s="7"/>
      <c r="L5" s="3" t="s">
        <v>77</v>
      </c>
      <c r="N5" s="525" t="s">
        <v>146</v>
      </c>
      <c r="O5" s="525"/>
      <c r="P5"/>
    </row>
    <row r="6" spans="12:16" s="2" customFormat="1" ht="9" customHeight="1">
      <c r="L6" s="3"/>
      <c r="N6" s="4"/>
      <c r="O6" s="17"/>
      <c r="P6"/>
    </row>
    <row r="7" spans="12:16" s="2" customFormat="1" ht="15">
      <c r="L7" s="3" t="s">
        <v>145</v>
      </c>
      <c r="N7" s="526">
        <v>42412</v>
      </c>
      <c r="O7" s="525"/>
      <c r="P7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4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73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800</v>
      </c>
      <c r="G18" s="14" t="s">
        <v>9</v>
      </c>
      <c r="H18" s="15">
        <v>1</v>
      </c>
      <c r="I18" s="14"/>
    </row>
    <row r="19" ht="15">
      <c r="B19" s="13"/>
    </row>
    <row r="20" spans="2:15" s="252" customFormat="1" ht="15">
      <c r="B20" s="373"/>
      <c r="D20" s="374"/>
      <c r="E20" s="374"/>
      <c r="F20" s="544" t="s">
        <v>10</v>
      </c>
      <c r="G20" s="545"/>
      <c r="H20" s="546"/>
      <c r="J20" s="544" t="s">
        <v>11</v>
      </c>
      <c r="K20" s="545"/>
      <c r="L20" s="546"/>
      <c r="N20" s="544" t="s">
        <v>12</v>
      </c>
      <c r="O20" s="546"/>
    </row>
    <row r="21" spans="2:15" s="252" customFormat="1" ht="15">
      <c r="B21" s="373"/>
      <c r="D21" s="548" t="s">
        <v>13</v>
      </c>
      <c r="E21" s="375"/>
      <c r="F21" s="376" t="s">
        <v>14</v>
      </c>
      <c r="G21" s="376" t="s">
        <v>15</v>
      </c>
      <c r="H21" s="377" t="s">
        <v>16</v>
      </c>
      <c r="J21" s="376" t="s">
        <v>14</v>
      </c>
      <c r="K21" s="378" t="s">
        <v>15</v>
      </c>
      <c r="L21" s="377" t="s">
        <v>16</v>
      </c>
      <c r="N21" s="550" t="s">
        <v>17</v>
      </c>
      <c r="O21" s="552" t="s">
        <v>18</v>
      </c>
    </row>
    <row r="22" spans="2:15" s="252" customFormat="1" ht="15">
      <c r="B22" s="373"/>
      <c r="D22" s="549"/>
      <c r="E22" s="375"/>
      <c r="F22" s="379" t="s">
        <v>19</v>
      </c>
      <c r="G22" s="379"/>
      <c r="H22" s="380" t="s">
        <v>19</v>
      </c>
      <c r="J22" s="379" t="s">
        <v>19</v>
      </c>
      <c r="K22" s="380"/>
      <c r="L22" s="380" t="s">
        <v>19</v>
      </c>
      <c r="N22" s="551"/>
      <c r="O22" s="553"/>
    </row>
    <row r="23" spans="2:15" s="252" customFormat="1" ht="15">
      <c r="B23" s="253" t="s">
        <v>20</v>
      </c>
      <c r="C23" s="253"/>
      <c r="D23" s="254" t="s">
        <v>62</v>
      </c>
      <c r="E23" s="255"/>
      <c r="F23" s="256">
        <v>2.04</v>
      </c>
      <c r="G23" s="257">
        <v>1</v>
      </c>
      <c r="H23" s="258">
        <f>G23*F23</f>
        <v>2.04</v>
      </c>
      <c r="I23" s="259"/>
      <c r="J23" s="264">
        <f>F23</f>
        <v>2.04</v>
      </c>
      <c r="K23" s="257">
        <v>1</v>
      </c>
      <c r="L23" s="258">
        <f>K23*J23</f>
        <v>2.04</v>
      </c>
      <c r="M23" s="259"/>
      <c r="N23" s="272">
        <f>L23-H23</f>
        <v>0</v>
      </c>
      <c r="O23" s="262">
        <f>IF((H23)=0,"",(N23/H23))</f>
        <v>0</v>
      </c>
    </row>
    <row r="24" spans="2:15" s="252" customFormat="1" ht="22.5" customHeight="1" hidden="1">
      <c r="B24" s="253" t="s">
        <v>92</v>
      </c>
      <c r="C24" s="253"/>
      <c r="D24" s="254" t="s">
        <v>62</v>
      </c>
      <c r="E24" s="255"/>
      <c r="F24" s="263">
        <v>0</v>
      </c>
      <c r="G24" s="257">
        <v>1</v>
      </c>
      <c r="H24" s="258">
        <f>G24*F24</f>
        <v>0</v>
      </c>
      <c r="I24" s="259"/>
      <c r="J24" s="264">
        <v>0</v>
      </c>
      <c r="K24" s="257">
        <v>1</v>
      </c>
      <c r="L24" s="258">
        <f>K24*J24</f>
        <v>0</v>
      </c>
      <c r="M24" s="259"/>
      <c r="N24" s="272">
        <f>L24-H24</f>
        <v>0</v>
      </c>
      <c r="O24" s="262">
        <f>IF((H24)=0,"",(N24/H24))</f>
      </c>
    </row>
    <row r="25" spans="2:15" s="252" customFormat="1" ht="36.75" customHeight="1" hidden="1">
      <c r="B25" s="265" t="s">
        <v>111</v>
      </c>
      <c r="C25" s="253"/>
      <c r="D25" s="266" t="s">
        <v>62</v>
      </c>
      <c r="E25" s="255"/>
      <c r="F25" s="264">
        <v>0</v>
      </c>
      <c r="G25" s="257">
        <v>1</v>
      </c>
      <c r="H25" s="258">
        <f>G25*F25</f>
        <v>0</v>
      </c>
      <c r="I25" s="259"/>
      <c r="J25" s="267">
        <f>Sentinel!J25</f>
        <v>0</v>
      </c>
      <c r="K25" s="257">
        <v>1</v>
      </c>
      <c r="L25" s="258">
        <f>K25*J25</f>
        <v>0</v>
      </c>
      <c r="M25" s="259"/>
      <c r="N25" s="272">
        <f>L25-H25</f>
        <v>0</v>
      </c>
      <c r="O25" s="262">
        <f>IF((H25)=0,"",(N25/H25))</f>
      </c>
    </row>
    <row r="26" spans="2:15" s="252" customFormat="1" ht="15" hidden="1">
      <c r="B26" s="268"/>
      <c r="C26" s="253"/>
      <c r="D26" s="266" t="s">
        <v>62</v>
      </c>
      <c r="E26" s="269"/>
      <c r="F26" s="264"/>
      <c r="G26" s="257">
        <v>1</v>
      </c>
      <c r="H26" s="258">
        <f aca="true" t="shared" si="0" ref="H26:H40">G26*F26</f>
        <v>0</v>
      </c>
      <c r="I26" s="259"/>
      <c r="J26" s="267"/>
      <c r="K26" s="257">
        <v>1</v>
      </c>
      <c r="L26" s="258">
        <f aca="true" t="shared" si="1" ref="L26:L40">K26*J26</f>
        <v>0</v>
      </c>
      <c r="M26" s="259"/>
      <c r="N26" s="272">
        <f aca="true" t="shared" si="2" ref="N26:N41">L26-H26</f>
        <v>0</v>
      </c>
      <c r="O26" s="262">
        <f aca="true" t="shared" si="3" ref="O26:O41">IF((H26)=0,"",(N26/H26))</f>
      </c>
    </row>
    <row r="27" spans="2:15" s="252" customFormat="1" ht="15" hidden="1">
      <c r="B27" s="268"/>
      <c r="C27" s="253"/>
      <c r="D27" s="266" t="s">
        <v>62</v>
      </c>
      <c r="E27" s="255"/>
      <c r="F27" s="270"/>
      <c r="G27" s="257">
        <v>1</v>
      </c>
      <c r="H27" s="258">
        <f t="shared" si="0"/>
        <v>0</v>
      </c>
      <c r="I27" s="259"/>
      <c r="J27" s="264"/>
      <c r="K27" s="257">
        <v>1</v>
      </c>
      <c r="L27" s="258">
        <f t="shared" si="1"/>
        <v>0</v>
      </c>
      <c r="M27" s="259"/>
      <c r="N27" s="272">
        <f t="shared" si="2"/>
        <v>0</v>
      </c>
      <c r="O27" s="262">
        <f t="shared" si="3"/>
      </c>
    </row>
    <row r="28" spans="2:15" s="252" customFormat="1" ht="15" hidden="1">
      <c r="B28" s="381" t="s">
        <v>66</v>
      </c>
      <c r="C28" s="253"/>
      <c r="D28" s="254" t="s">
        <v>63</v>
      </c>
      <c r="E28" s="255"/>
      <c r="F28" s="270">
        <v>0</v>
      </c>
      <c r="G28" s="441">
        <f aca="true" t="shared" si="4" ref="G28:G33">$F$18</f>
        <v>800</v>
      </c>
      <c r="H28" s="258">
        <f t="shared" si="0"/>
        <v>0</v>
      </c>
      <c r="I28" s="259"/>
      <c r="J28" s="267">
        <v>0</v>
      </c>
      <c r="K28" s="441">
        <f>$F$18</f>
        <v>800</v>
      </c>
      <c r="L28" s="258">
        <f t="shared" si="1"/>
        <v>0</v>
      </c>
      <c r="M28" s="259"/>
      <c r="N28" s="272">
        <f t="shared" si="2"/>
        <v>0</v>
      </c>
      <c r="O28" s="262">
        <f t="shared" si="3"/>
      </c>
    </row>
    <row r="29" spans="2:15" s="252" customFormat="1" ht="15" hidden="1">
      <c r="B29" s="381" t="s">
        <v>67</v>
      </c>
      <c r="C29" s="253"/>
      <c r="D29" s="254" t="s">
        <v>63</v>
      </c>
      <c r="E29" s="255"/>
      <c r="F29" s="271">
        <v>0</v>
      </c>
      <c r="G29" s="441">
        <f t="shared" si="4"/>
        <v>800</v>
      </c>
      <c r="H29" s="258">
        <f t="shared" si="0"/>
        <v>0</v>
      </c>
      <c r="I29" s="259"/>
      <c r="J29" s="267">
        <v>0</v>
      </c>
      <c r="K29" s="441">
        <f>$F$18</f>
        <v>800</v>
      </c>
      <c r="L29" s="258">
        <f t="shared" si="1"/>
        <v>0</v>
      </c>
      <c r="M29" s="259"/>
      <c r="N29" s="272">
        <f t="shared" si="2"/>
        <v>0</v>
      </c>
      <c r="O29" s="262">
        <f t="shared" si="3"/>
      </c>
    </row>
    <row r="30" spans="2:15" s="252" customFormat="1" ht="15" hidden="1">
      <c r="B30" s="381" t="s">
        <v>93</v>
      </c>
      <c r="C30" s="253"/>
      <c r="D30" s="254" t="s">
        <v>63</v>
      </c>
      <c r="E30" s="255"/>
      <c r="F30" s="271">
        <v>0</v>
      </c>
      <c r="G30" s="441">
        <f t="shared" si="4"/>
        <v>800</v>
      </c>
      <c r="H30" s="258">
        <f t="shared" si="0"/>
        <v>0</v>
      </c>
      <c r="I30" s="259"/>
      <c r="J30" s="267">
        <v>0</v>
      </c>
      <c r="K30" s="441">
        <f>F18</f>
        <v>800</v>
      </c>
      <c r="L30" s="258">
        <f t="shared" si="1"/>
        <v>0</v>
      </c>
      <c r="M30" s="259"/>
      <c r="N30" s="272">
        <f t="shared" si="2"/>
        <v>0</v>
      </c>
      <c r="O30" s="262"/>
    </row>
    <row r="31" spans="2:15" s="252" customFormat="1" ht="15">
      <c r="B31" s="253" t="s">
        <v>21</v>
      </c>
      <c r="C31" s="253"/>
      <c r="D31" s="254" t="s">
        <v>63</v>
      </c>
      <c r="E31" s="255"/>
      <c r="F31" s="270">
        <v>0.0233</v>
      </c>
      <c r="G31" s="257">
        <f t="shared" si="4"/>
        <v>800</v>
      </c>
      <c r="H31" s="258">
        <f t="shared" si="0"/>
        <v>18.64</v>
      </c>
      <c r="I31" s="259"/>
      <c r="J31" s="267">
        <f>F31</f>
        <v>0.0233</v>
      </c>
      <c r="K31" s="257">
        <f>$F$18</f>
        <v>800</v>
      </c>
      <c r="L31" s="258">
        <f t="shared" si="1"/>
        <v>18.64</v>
      </c>
      <c r="M31" s="259"/>
      <c r="N31" s="272">
        <f t="shared" si="2"/>
        <v>0</v>
      </c>
      <c r="O31" s="262">
        <f t="shared" si="3"/>
        <v>0</v>
      </c>
    </row>
    <row r="32" spans="2:15" s="252" customFormat="1" ht="15" hidden="1">
      <c r="B32" s="253" t="s">
        <v>22</v>
      </c>
      <c r="C32" s="253"/>
      <c r="D32" s="254"/>
      <c r="E32" s="255"/>
      <c r="F32" s="270"/>
      <c r="G32" s="257">
        <f t="shared" si="4"/>
        <v>800</v>
      </c>
      <c r="H32" s="258">
        <f t="shared" si="0"/>
        <v>0</v>
      </c>
      <c r="I32" s="259"/>
      <c r="J32" s="267"/>
      <c r="K32" s="257">
        <f aca="true" t="shared" si="5" ref="K32:K40">$F$18</f>
        <v>800</v>
      </c>
      <c r="L32" s="258">
        <f t="shared" si="1"/>
        <v>0</v>
      </c>
      <c r="M32" s="259"/>
      <c r="N32" s="272">
        <f t="shared" si="2"/>
        <v>0</v>
      </c>
      <c r="O32" s="262">
        <f t="shared" si="3"/>
      </c>
    </row>
    <row r="33" spans="2:15" s="252" customFormat="1" ht="15" hidden="1">
      <c r="B33" s="253" t="s">
        <v>23</v>
      </c>
      <c r="C33" s="253"/>
      <c r="D33" s="254"/>
      <c r="E33" s="255"/>
      <c r="F33" s="270"/>
      <c r="G33" s="257">
        <f t="shared" si="4"/>
        <v>800</v>
      </c>
      <c r="H33" s="258">
        <f t="shared" si="0"/>
        <v>0</v>
      </c>
      <c r="I33" s="259"/>
      <c r="J33" s="267"/>
      <c r="K33" s="257">
        <f t="shared" si="5"/>
        <v>800</v>
      </c>
      <c r="L33" s="258">
        <f t="shared" si="1"/>
        <v>0</v>
      </c>
      <c r="M33" s="259"/>
      <c r="N33" s="272">
        <f t="shared" si="2"/>
        <v>0</v>
      </c>
      <c r="O33" s="262">
        <f t="shared" si="3"/>
      </c>
    </row>
    <row r="34" spans="2:15" s="252" customFormat="1" ht="15" hidden="1">
      <c r="B34" s="273"/>
      <c r="C34" s="253"/>
      <c r="D34" s="254"/>
      <c r="E34" s="255"/>
      <c r="F34" s="270"/>
      <c r="G34" s="257">
        <f aca="true" t="shared" si="6" ref="G34:G40">$F$18</f>
        <v>800</v>
      </c>
      <c r="H34" s="258">
        <f t="shared" si="0"/>
        <v>0</v>
      </c>
      <c r="I34" s="259"/>
      <c r="J34" s="267"/>
      <c r="K34" s="257">
        <f t="shared" si="5"/>
        <v>800</v>
      </c>
      <c r="L34" s="258">
        <f t="shared" si="1"/>
        <v>0</v>
      </c>
      <c r="M34" s="259"/>
      <c r="N34" s="272">
        <f t="shared" si="2"/>
        <v>0</v>
      </c>
      <c r="O34" s="262">
        <f t="shared" si="3"/>
      </c>
    </row>
    <row r="35" spans="2:15" s="252" customFormat="1" ht="15" hidden="1">
      <c r="B35" s="273"/>
      <c r="C35" s="253"/>
      <c r="D35" s="254"/>
      <c r="E35" s="255"/>
      <c r="F35" s="270"/>
      <c r="G35" s="257">
        <f t="shared" si="6"/>
        <v>800</v>
      </c>
      <c r="H35" s="258">
        <f t="shared" si="0"/>
        <v>0</v>
      </c>
      <c r="I35" s="259"/>
      <c r="J35" s="267"/>
      <c r="K35" s="257">
        <f t="shared" si="5"/>
        <v>800</v>
      </c>
      <c r="L35" s="258">
        <f t="shared" si="1"/>
        <v>0</v>
      </c>
      <c r="M35" s="259"/>
      <c r="N35" s="272">
        <f t="shared" si="2"/>
        <v>0</v>
      </c>
      <c r="O35" s="262">
        <f t="shared" si="3"/>
      </c>
    </row>
    <row r="36" spans="2:15" s="252" customFormat="1" ht="15" hidden="1">
      <c r="B36" s="273"/>
      <c r="C36" s="253"/>
      <c r="D36" s="254"/>
      <c r="E36" s="255"/>
      <c r="F36" s="270"/>
      <c r="G36" s="257">
        <f t="shared" si="6"/>
        <v>800</v>
      </c>
      <c r="H36" s="258">
        <f t="shared" si="0"/>
        <v>0</v>
      </c>
      <c r="I36" s="259"/>
      <c r="J36" s="267"/>
      <c r="K36" s="257">
        <f t="shared" si="5"/>
        <v>800</v>
      </c>
      <c r="L36" s="258">
        <f t="shared" si="1"/>
        <v>0</v>
      </c>
      <c r="M36" s="259"/>
      <c r="N36" s="272">
        <f t="shared" si="2"/>
        <v>0</v>
      </c>
      <c r="O36" s="262">
        <f t="shared" si="3"/>
      </c>
    </row>
    <row r="37" spans="2:15" s="252" customFormat="1" ht="15" hidden="1">
      <c r="B37" s="273"/>
      <c r="C37" s="253"/>
      <c r="D37" s="254"/>
      <c r="E37" s="255"/>
      <c r="F37" s="270"/>
      <c r="G37" s="257">
        <f t="shared" si="6"/>
        <v>800</v>
      </c>
      <c r="H37" s="258">
        <f t="shared" si="0"/>
        <v>0</v>
      </c>
      <c r="I37" s="259"/>
      <c r="J37" s="267"/>
      <c r="K37" s="257">
        <f t="shared" si="5"/>
        <v>800</v>
      </c>
      <c r="L37" s="258">
        <f t="shared" si="1"/>
        <v>0</v>
      </c>
      <c r="M37" s="259"/>
      <c r="N37" s="272">
        <f t="shared" si="2"/>
        <v>0</v>
      </c>
      <c r="O37" s="262">
        <f t="shared" si="3"/>
      </c>
    </row>
    <row r="38" spans="2:15" s="252" customFormat="1" ht="15" hidden="1">
      <c r="B38" s="273"/>
      <c r="C38" s="253"/>
      <c r="D38" s="254"/>
      <c r="E38" s="255"/>
      <c r="F38" s="270"/>
      <c r="G38" s="257">
        <f t="shared" si="6"/>
        <v>800</v>
      </c>
      <c r="H38" s="258">
        <f t="shared" si="0"/>
        <v>0</v>
      </c>
      <c r="I38" s="259"/>
      <c r="J38" s="267"/>
      <c r="K38" s="257">
        <f t="shared" si="5"/>
        <v>800</v>
      </c>
      <c r="L38" s="258">
        <f t="shared" si="1"/>
        <v>0</v>
      </c>
      <c r="M38" s="259"/>
      <c r="N38" s="272">
        <f t="shared" si="2"/>
        <v>0</v>
      </c>
      <c r="O38" s="262">
        <f t="shared" si="3"/>
      </c>
    </row>
    <row r="39" spans="2:15" s="252" customFormat="1" ht="15" hidden="1">
      <c r="B39" s="273"/>
      <c r="C39" s="253"/>
      <c r="D39" s="254"/>
      <c r="E39" s="255"/>
      <c r="F39" s="270"/>
      <c r="G39" s="257">
        <f t="shared" si="6"/>
        <v>800</v>
      </c>
      <c r="H39" s="258">
        <f t="shared" si="0"/>
        <v>0</v>
      </c>
      <c r="I39" s="259"/>
      <c r="J39" s="267"/>
      <c r="K39" s="257">
        <f t="shared" si="5"/>
        <v>800</v>
      </c>
      <c r="L39" s="258">
        <f t="shared" si="1"/>
        <v>0</v>
      </c>
      <c r="M39" s="259"/>
      <c r="N39" s="272">
        <f t="shared" si="2"/>
        <v>0</v>
      </c>
      <c r="O39" s="262">
        <f t="shared" si="3"/>
      </c>
    </row>
    <row r="40" spans="2:15" s="252" customFormat="1" ht="15" hidden="1">
      <c r="B40" s="273"/>
      <c r="C40" s="253"/>
      <c r="D40" s="254"/>
      <c r="E40" s="255"/>
      <c r="F40" s="270"/>
      <c r="G40" s="257">
        <f t="shared" si="6"/>
        <v>800</v>
      </c>
      <c r="H40" s="258">
        <f t="shared" si="0"/>
        <v>0</v>
      </c>
      <c r="I40" s="259"/>
      <c r="J40" s="267"/>
      <c r="K40" s="257">
        <f t="shared" si="5"/>
        <v>800</v>
      </c>
      <c r="L40" s="258">
        <f t="shared" si="1"/>
        <v>0</v>
      </c>
      <c r="M40" s="259"/>
      <c r="N40" s="272">
        <f t="shared" si="2"/>
        <v>0</v>
      </c>
      <c r="O40" s="262">
        <f t="shared" si="3"/>
      </c>
    </row>
    <row r="41" spans="2:15" s="283" customFormat="1" ht="15">
      <c r="B41" s="382" t="s">
        <v>24</v>
      </c>
      <c r="C41" s="274"/>
      <c r="D41" s="275"/>
      <c r="E41" s="274"/>
      <c r="F41" s="276"/>
      <c r="G41" s="277"/>
      <c r="H41" s="278">
        <f>SUM(H23:H40)</f>
        <v>20.68</v>
      </c>
      <c r="I41" s="279"/>
      <c r="J41" s="280"/>
      <c r="K41" s="277"/>
      <c r="L41" s="278">
        <f>SUM(L23:L40)</f>
        <v>20.68</v>
      </c>
      <c r="M41" s="279"/>
      <c r="N41" s="444">
        <f t="shared" si="2"/>
        <v>0</v>
      </c>
      <c r="O41" s="383">
        <f t="shared" si="3"/>
        <v>0</v>
      </c>
    </row>
    <row r="42" spans="2:15" s="252" customFormat="1" ht="30">
      <c r="B42" s="426" t="s">
        <v>25</v>
      </c>
      <c r="C42" s="253"/>
      <c r="D42" s="266" t="s">
        <v>63</v>
      </c>
      <c r="E42" s="269"/>
      <c r="F42" s="284">
        <v>-0.0071</v>
      </c>
      <c r="G42" s="257">
        <f>F18</f>
        <v>800</v>
      </c>
      <c r="H42" s="258">
        <f aca="true" t="shared" si="7" ref="H42:H48">G42*F42</f>
        <v>-5.680000000000001</v>
      </c>
      <c r="I42" s="259"/>
      <c r="J42" s="284">
        <v>0.0023</v>
      </c>
      <c r="K42" s="257">
        <f>F18</f>
        <v>800</v>
      </c>
      <c r="L42" s="258">
        <f aca="true" t="shared" si="8" ref="L42:L48">K42*J42</f>
        <v>1.8399999999999999</v>
      </c>
      <c r="M42" s="259"/>
      <c r="N42" s="261">
        <f aca="true" t="shared" si="9" ref="N42:N48">L42-H42</f>
        <v>7.5200000000000005</v>
      </c>
      <c r="O42" s="262">
        <f aca="true" t="shared" si="10" ref="O42:O47">IF((H42)=0,"",(N42/H42))</f>
        <v>-1.323943661971831</v>
      </c>
    </row>
    <row r="43" spans="2:15" s="252" customFormat="1" ht="0.75" customHeight="1">
      <c r="B43" s="426"/>
      <c r="C43" s="253"/>
      <c r="D43" s="254" t="s">
        <v>63</v>
      </c>
      <c r="E43" s="255"/>
      <c r="F43" s="270"/>
      <c r="G43" s="257">
        <f>F18</f>
        <v>800</v>
      </c>
      <c r="H43" s="258">
        <f t="shared" si="7"/>
        <v>0</v>
      </c>
      <c r="I43" s="285"/>
      <c r="J43" s="267"/>
      <c r="K43" s="257">
        <f>F18</f>
        <v>800</v>
      </c>
      <c r="L43" s="258">
        <f t="shared" si="8"/>
        <v>0</v>
      </c>
      <c r="M43" s="286"/>
      <c r="N43" s="261">
        <f t="shared" si="9"/>
        <v>0</v>
      </c>
      <c r="O43" s="262">
        <f t="shared" si="10"/>
      </c>
    </row>
    <row r="44" spans="2:15" s="252" customFormat="1" ht="15" hidden="1">
      <c r="B44" s="426"/>
      <c r="C44" s="253"/>
      <c r="D44" s="254" t="s">
        <v>63</v>
      </c>
      <c r="E44" s="255"/>
      <c r="F44" s="270"/>
      <c r="G44" s="257">
        <f>F18</f>
        <v>800</v>
      </c>
      <c r="H44" s="258">
        <f t="shared" si="7"/>
        <v>0</v>
      </c>
      <c r="I44" s="285"/>
      <c r="J44" s="267"/>
      <c r="K44" s="257">
        <f>F18</f>
        <v>800</v>
      </c>
      <c r="L44" s="258">
        <f t="shared" si="8"/>
        <v>0</v>
      </c>
      <c r="M44" s="286"/>
      <c r="N44" s="261">
        <f t="shared" si="9"/>
        <v>0</v>
      </c>
      <c r="O44" s="262">
        <f t="shared" si="10"/>
      </c>
    </row>
    <row r="45" spans="2:15" s="252" customFormat="1" ht="27.75" customHeight="1">
      <c r="B45" s="426" t="s">
        <v>75</v>
      </c>
      <c r="C45" s="253"/>
      <c r="D45" s="254" t="s">
        <v>63</v>
      </c>
      <c r="E45" s="255"/>
      <c r="F45" s="284">
        <v>0.0061</v>
      </c>
      <c r="G45" s="257">
        <f>$F$18</f>
        <v>800</v>
      </c>
      <c r="H45" s="258">
        <f t="shared" si="7"/>
        <v>4.88</v>
      </c>
      <c r="I45" s="285"/>
      <c r="J45" s="284">
        <v>0.0001</v>
      </c>
      <c r="K45" s="257">
        <f>$F$18</f>
        <v>800</v>
      </c>
      <c r="L45" s="258">
        <f t="shared" si="8"/>
        <v>0.08</v>
      </c>
      <c r="M45" s="286"/>
      <c r="N45" s="261">
        <f t="shared" si="9"/>
        <v>-4.8</v>
      </c>
      <c r="O45" s="262">
        <f t="shared" si="10"/>
        <v>-0.9836065573770492</v>
      </c>
    </row>
    <row r="46" spans="2:15" s="252" customFormat="1" ht="15">
      <c r="B46" s="384" t="s">
        <v>26</v>
      </c>
      <c r="C46" s="253"/>
      <c r="D46" s="254" t="s">
        <v>63</v>
      </c>
      <c r="E46" s="255"/>
      <c r="F46" s="270">
        <v>0.0024</v>
      </c>
      <c r="G46" s="257">
        <f>F18</f>
        <v>800</v>
      </c>
      <c r="H46" s="258">
        <f t="shared" si="7"/>
        <v>1.92</v>
      </c>
      <c r="I46" s="259"/>
      <c r="J46" s="267">
        <v>0.0024</v>
      </c>
      <c r="K46" s="257">
        <f>F18</f>
        <v>800</v>
      </c>
      <c r="L46" s="258">
        <f t="shared" si="8"/>
        <v>1.92</v>
      </c>
      <c r="M46" s="259"/>
      <c r="N46" s="261">
        <f t="shared" si="9"/>
        <v>0</v>
      </c>
      <c r="O46" s="262">
        <f t="shared" si="10"/>
        <v>0</v>
      </c>
    </row>
    <row r="47" spans="2:15" s="283" customFormat="1" ht="15">
      <c r="B47" s="385" t="s">
        <v>27</v>
      </c>
      <c r="C47" s="255"/>
      <c r="D47" s="266" t="s">
        <v>63</v>
      </c>
      <c r="E47" s="255"/>
      <c r="F47" s="289">
        <f>IF(ISBLANK(D16)=TRUE,0,IF(D16="TOU",0.64*$F$58+0.18*$F$59+0.18*$F$60,IF(AND(D16="non-TOU",G62&gt;0),F62,F61)))</f>
        <v>0.088</v>
      </c>
      <c r="G47" s="257">
        <f>$F$18*(1+$F$77)-$F$18</f>
        <v>39.600000000000136</v>
      </c>
      <c r="H47" s="290">
        <f t="shared" si="7"/>
        <v>3.484800000000012</v>
      </c>
      <c r="I47" s="269"/>
      <c r="J47" s="287">
        <f>IF(ISBLANK(D16)=TRUE,0,IF(D16="TOU",0.64*$F$58+0.18*$F$59+0.18*$F$60,IF(AND(D16="non-TOU",K62&gt;0),J62,J61)))</f>
        <v>0.088</v>
      </c>
      <c r="K47" s="257">
        <f>$F$18*(1+$J$77)-$F$18</f>
        <v>39.600000000000136</v>
      </c>
      <c r="L47" s="290">
        <f t="shared" si="8"/>
        <v>3.484800000000012</v>
      </c>
      <c r="M47" s="269"/>
      <c r="N47" s="261">
        <f t="shared" si="9"/>
        <v>0</v>
      </c>
      <c r="O47" s="291">
        <f t="shared" si="10"/>
        <v>0</v>
      </c>
    </row>
    <row r="48" spans="2:15" s="252" customFormat="1" ht="15" hidden="1">
      <c r="B48" s="384" t="s">
        <v>28</v>
      </c>
      <c r="C48" s="253"/>
      <c r="D48" s="254" t="s">
        <v>62</v>
      </c>
      <c r="E48" s="255"/>
      <c r="F48" s="292">
        <v>0</v>
      </c>
      <c r="G48" s="257">
        <v>0</v>
      </c>
      <c r="H48" s="258">
        <f t="shared" si="7"/>
        <v>0</v>
      </c>
      <c r="I48" s="259"/>
      <c r="J48" s="292">
        <v>0</v>
      </c>
      <c r="K48" s="257">
        <v>0</v>
      </c>
      <c r="L48" s="258">
        <f t="shared" si="8"/>
        <v>0</v>
      </c>
      <c r="M48" s="259"/>
      <c r="N48" s="272">
        <f t="shared" si="9"/>
        <v>0</v>
      </c>
      <c r="O48" s="262"/>
    </row>
    <row r="49" spans="2:15" s="252" customFormat="1" ht="30">
      <c r="B49" s="386" t="s">
        <v>29</v>
      </c>
      <c r="C49" s="293"/>
      <c r="D49" s="293"/>
      <c r="E49" s="293"/>
      <c r="F49" s="84"/>
      <c r="G49" s="294"/>
      <c r="H49" s="295">
        <f>SUM(H42:H48)+H41</f>
        <v>25.28480000000001</v>
      </c>
      <c r="I49" s="279"/>
      <c r="J49" s="294"/>
      <c r="K49" s="296"/>
      <c r="L49" s="295">
        <f>SUM(L42:L48)+L41</f>
        <v>28.00480000000001</v>
      </c>
      <c r="M49" s="279"/>
      <c r="N49" s="444">
        <f aca="true" t="shared" si="11" ref="N49:N68">L49-H49</f>
        <v>2.719999999999999</v>
      </c>
      <c r="O49" s="383">
        <f aca="true" t="shared" si="12" ref="O49:O68">IF((H49)=0,"",(N49/H49))</f>
        <v>0.10757451116876533</v>
      </c>
    </row>
    <row r="50" spans="2:15" s="252" customFormat="1" ht="15">
      <c r="B50" s="259" t="s">
        <v>30</v>
      </c>
      <c r="C50" s="259"/>
      <c r="D50" s="266" t="s">
        <v>63</v>
      </c>
      <c r="E50" s="269"/>
      <c r="F50" s="267">
        <v>0.0044</v>
      </c>
      <c r="G50" s="485">
        <f>F18*(1+F77)</f>
        <v>839.6000000000001</v>
      </c>
      <c r="H50" s="258">
        <f>G50*F50</f>
        <v>3.6942400000000006</v>
      </c>
      <c r="I50" s="259"/>
      <c r="J50" s="267">
        <v>0.0058</v>
      </c>
      <c r="K50" s="486">
        <f>F18*(1+J77)</f>
        <v>839.6000000000001</v>
      </c>
      <c r="L50" s="258">
        <f>K50*J50</f>
        <v>4.869680000000001</v>
      </c>
      <c r="M50" s="259"/>
      <c r="N50" s="272">
        <f t="shared" si="11"/>
        <v>1.17544</v>
      </c>
      <c r="O50" s="262">
        <f t="shared" si="12"/>
        <v>0.3181818181818181</v>
      </c>
    </row>
    <row r="51" spans="2:15" s="252" customFormat="1" ht="30">
      <c r="B51" s="298" t="s">
        <v>31</v>
      </c>
      <c r="C51" s="259"/>
      <c r="D51" s="266" t="s">
        <v>63</v>
      </c>
      <c r="E51" s="269"/>
      <c r="F51" s="267">
        <v>0.0017</v>
      </c>
      <c r="G51" s="485">
        <f>G50</f>
        <v>839.6000000000001</v>
      </c>
      <c r="H51" s="258">
        <f>G51*F51</f>
        <v>1.4273200000000001</v>
      </c>
      <c r="I51" s="259"/>
      <c r="J51" s="267">
        <v>0.0027</v>
      </c>
      <c r="K51" s="486">
        <f>K50</f>
        <v>839.6000000000001</v>
      </c>
      <c r="L51" s="258">
        <f>K51*J51</f>
        <v>2.2669200000000003</v>
      </c>
      <c r="M51" s="259"/>
      <c r="N51" s="272">
        <f t="shared" si="11"/>
        <v>0.8396000000000001</v>
      </c>
      <c r="O51" s="262">
        <f t="shared" si="12"/>
        <v>0.5882352941176471</v>
      </c>
    </row>
    <row r="52" spans="2:15" s="252" customFormat="1" ht="30">
      <c r="B52" s="386" t="s">
        <v>32</v>
      </c>
      <c r="C52" s="274"/>
      <c r="D52" s="274"/>
      <c r="E52" s="274"/>
      <c r="F52" s="85"/>
      <c r="G52" s="489"/>
      <c r="H52" s="295">
        <f>SUM(H49:H51)</f>
        <v>30.406360000000014</v>
      </c>
      <c r="I52" s="299"/>
      <c r="J52" s="300"/>
      <c r="K52" s="301"/>
      <c r="L52" s="295">
        <f>SUM(L49:L51)</f>
        <v>35.14140000000001</v>
      </c>
      <c r="M52" s="299"/>
      <c r="N52" s="444">
        <f t="shared" si="11"/>
        <v>4.735039999999998</v>
      </c>
      <c r="O52" s="383">
        <f t="shared" si="12"/>
        <v>0.15572531536165446</v>
      </c>
    </row>
    <row r="53" spans="2:15" s="252" customFormat="1" ht="30">
      <c r="B53" s="265" t="s">
        <v>33</v>
      </c>
      <c r="C53" s="253"/>
      <c r="D53" s="254" t="s">
        <v>63</v>
      </c>
      <c r="E53" s="255"/>
      <c r="F53" s="270">
        <v>0.0044</v>
      </c>
      <c r="G53" s="485">
        <f>F18*(1+F77)</f>
        <v>839.6000000000001</v>
      </c>
      <c r="H53" s="258">
        <f aca="true" t="shared" si="13" ref="H53:H60">G53*F53</f>
        <v>3.6942400000000006</v>
      </c>
      <c r="I53" s="259"/>
      <c r="J53" s="471">
        <v>0.0036</v>
      </c>
      <c r="K53" s="486">
        <f>F18*(1+J77)</f>
        <v>839.6000000000001</v>
      </c>
      <c r="L53" s="258">
        <f aca="true" t="shared" si="14" ref="L53:L60">K53*J53</f>
        <v>3.0225600000000004</v>
      </c>
      <c r="M53" s="259"/>
      <c r="N53" s="261">
        <f t="shared" si="11"/>
        <v>-0.6716800000000003</v>
      </c>
      <c r="O53" s="262">
        <f t="shared" si="12"/>
        <v>-0.18181818181818185</v>
      </c>
    </row>
    <row r="54" spans="2:15" s="252" customFormat="1" ht="15">
      <c r="B54" s="265" t="s">
        <v>34</v>
      </c>
      <c r="C54" s="253"/>
      <c r="D54" s="254" t="s">
        <v>63</v>
      </c>
      <c r="E54" s="255"/>
      <c r="F54" s="270">
        <v>0.0013</v>
      </c>
      <c r="G54" s="485">
        <f>G53</f>
        <v>839.6000000000001</v>
      </c>
      <c r="H54" s="258">
        <f t="shared" si="13"/>
        <v>1.0914800000000002</v>
      </c>
      <c r="I54" s="259"/>
      <c r="J54" s="267">
        <v>0.0013</v>
      </c>
      <c r="K54" s="486">
        <f>K53</f>
        <v>839.6000000000001</v>
      </c>
      <c r="L54" s="258">
        <f t="shared" si="14"/>
        <v>1.0914800000000002</v>
      </c>
      <c r="M54" s="259"/>
      <c r="N54" s="261">
        <f t="shared" si="11"/>
        <v>0</v>
      </c>
      <c r="O54" s="262">
        <f t="shared" si="12"/>
        <v>0</v>
      </c>
    </row>
    <row r="55" spans="2:15" s="252" customFormat="1" ht="30">
      <c r="B55" s="265" t="s">
        <v>121</v>
      </c>
      <c r="C55" s="253"/>
      <c r="D55" s="254" t="s">
        <v>63</v>
      </c>
      <c r="E55" s="255"/>
      <c r="F55" s="270">
        <v>0</v>
      </c>
      <c r="G55" s="485">
        <f>G51</f>
        <v>839.6000000000001</v>
      </c>
      <c r="H55" s="258">
        <f t="shared" si="13"/>
        <v>0</v>
      </c>
      <c r="I55" s="259"/>
      <c r="J55" s="471">
        <v>0.0011</v>
      </c>
      <c r="K55" s="486">
        <f>K51</f>
        <v>839.6000000000001</v>
      </c>
      <c r="L55" s="258">
        <f t="shared" si="14"/>
        <v>0.9235600000000002</v>
      </c>
      <c r="M55" s="259"/>
      <c r="N55" s="261">
        <f t="shared" si="11"/>
        <v>0.9235600000000002</v>
      </c>
      <c r="O55" s="262">
        <f t="shared" si="12"/>
      </c>
    </row>
    <row r="56" spans="2:15" s="252" customFormat="1" ht="15">
      <c r="B56" s="253" t="s">
        <v>35</v>
      </c>
      <c r="C56" s="253"/>
      <c r="D56" s="254" t="s">
        <v>62</v>
      </c>
      <c r="E56" s="255"/>
      <c r="F56" s="256">
        <v>0.25</v>
      </c>
      <c r="G56" s="257">
        <v>1</v>
      </c>
      <c r="H56" s="258">
        <f t="shared" si="13"/>
        <v>0.25</v>
      </c>
      <c r="I56" s="259"/>
      <c r="J56" s="264">
        <v>0.25</v>
      </c>
      <c r="K56" s="260">
        <v>1</v>
      </c>
      <c r="L56" s="258">
        <f t="shared" si="14"/>
        <v>0.25</v>
      </c>
      <c r="M56" s="259"/>
      <c r="N56" s="261">
        <f t="shared" si="11"/>
        <v>0</v>
      </c>
      <c r="O56" s="262">
        <f t="shared" si="12"/>
        <v>0</v>
      </c>
    </row>
    <row r="57" spans="2:15" s="252" customFormat="1" ht="15">
      <c r="B57" s="253" t="s">
        <v>36</v>
      </c>
      <c r="C57" s="253"/>
      <c r="D57" s="254" t="s">
        <v>63</v>
      </c>
      <c r="E57" s="255"/>
      <c r="F57" s="270">
        <v>0.007</v>
      </c>
      <c r="G57" s="302">
        <f>F18</f>
        <v>800</v>
      </c>
      <c r="H57" s="258">
        <f t="shared" si="13"/>
        <v>5.6000000000000005</v>
      </c>
      <c r="I57" s="259"/>
      <c r="J57" s="267">
        <f>0.007</f>
        <v>0.007</v>
      </c>
      <c r="K57" s="303">
        <f>F18</f>
        <v>800</v>
      </c>
      <c r="L57" s="258">
        <f t="shared" si="14"/>
        <v>5.6000000000000005</v>
      </c>
      <c r="M57" s="259"/>
      <c r="N57" s="261">
        <f t="shared" si="11"/>
        <v>0</v>
      </c>
      <c r="O57" s="262">
        <f t="shared" si="12"/>
        <v>0</v>
      </c>
    </row>
    <row r="58" spans="2:19" s="252" customFormat="1" ht="15.75" thickBot="1">
      <c r="B58" s="384" t="s">
        <v>74</v>
      </c>
      <c r="C58" s="253"/>
      <c r="D58" s="254" t="s">
        <v>63</v>
      </c>
      <c r="E58" s="255"/>
      <c r="F58" s="270">
        <v>0.1</v>
      </c>
      <c r="G58" s="302">
        <f>F18</f>
        <v>800</v>
      </c>
      <c r="H58" s="258">
        <f t="shared" si="13"/>
        <v>80</v>
      </c>
      <c r="I58" s="259"/>
      <c r="J58" s="270">
        <f>F58</f>
        <v>0.1</v>
      </c>
      <c r="K58" s="302">
        <f>F18</f>
        <v>800</v>
      </c>
      <c r="L58" s="258">
        <f t="shared" si="14"/>
        <v>80</v>
      </c>
      <c r="M58" s="259"/>
      <c r="N58" s="261">
        <f t="shared" si="11"/>
        <v>0</v>
      </c>
      <c r="O58" s="262">
        <f t="shared" si="12"/>
        <v>0</v>
      </c>
      <c r="S58" s="304"/>
    </row>
    <row r="59" spans="2:19" s="252" customFormat="1" ht="15" hidden="1">
      <c r="B59" s="384" t="s">
        <v>38</v>
      </c>
      <c r="C59" s="253"/>
      <c r="D59" s="254"/>
      <c r="E59" s="255"/>
      <c r="F59" s="289">
        <v>0.104</v>
      </c>
      <c r="G59" s="297">
        <v>0</v>
      </c>
      <c r="H59" s="258">
        <f t="shared" si="13"/>
        <v>0</v>
      </c>
      <c r="I59" s="259"/>
      <c r="J59" s="270">
        <v>0.104</v>
      </c>
      <c r="K59" s="297">
        <v>0</v>
      </c>
      <c r="L59" s="258">
        <f t="shared" si="14"/>
        <v>0</v>
      </c>
      <c r="M59" s="259"/>
      <c r="N59" s="272">
        <f t="shared" si="11"/>
        <v>0</v>
      </c>
      <c r="O59" s="262">
        <f t="shared" si="12"/>
      </c>
      <c r="S59" s="304"/>
    </row>
    <row r="60" spans="2:19" s="252" customFormat="1" ht="15" hidden="1">
      <c r="B60" s="373" t="s">
        <v>39</v>
      </c>
      <c r="C60" s="253"/>
      <c r="D60" s="254"/>
      <c r="E60" s="255"/>
      <c r="F60" s="289">
        <v>0.124</v>
      </c>
      <c r="G60" s="297">
        <v>0</v>
      </c>
      <c r="H60" s="258">
        <f t="shared" si="13"/>
        <v>0</v>
      </c>
      <c r="I60" s="259"/>
      <c r="J60" s="270">
        <v>0.124</v>
      </c>
      <c r="K60" s="297">
        <v>0</v>
      </c>
      <c r="L60" s="258">
        <f t="shared" si="14"/>
        <v>0</v>
      </c>
      <c r="M60" s="259"/>
      <c r="N60" s="272">
        <f t="shared" si="11"/>
        <v>0</v>
      </c>
      <c r="O60" s="262">
        <f t="shared" si="12"/>
      </c>
      <c r="S60" s="304"/>
    </row>
    <row r="61" spans="2:15" s="390" customFormat="1" ht="15" hidden="1">
      <c r="B61" s="451" t="s">
        <v>40</v>
      </c>
      <c r="C61" s="387"/>
      <c r="D61" s="388"/>
      <c r="E61" s="389"/>
      <c r="F61" s="289">
        <v>0.075</v>
      </c>
      <c r="G61" s="305">
        <f>IF(AND($T$1=1,F18&gt;=600),600,IF(AND($T$1=1,AND(F18&lt;600,F18&gt;=0)),F18,IF(AND($T$1=2,F18&gt;=1000),1000,IF(AND($T$1=2,AND(F18&lt;1000,F18&gt;=0)),F18))))</f>
        <v>600</v>
      </c>
      <c r="H61" s="258">
        <f>G61*F61</f>
        <v>45</v>
      </c>
      <c r="I61" s="306"/>
      <c r="J61" s="270">
        <v>0.075</v>
      </c>
      <c r="K61" s="305">
        <f>G61</f>
        <v>600</v>
      </c>
      <c r="L61" s="258">
        <f>K61*J61</f>
        <v>45</v>
      </c>
      <c r="M61" s="306"/>
      <c r="N61" s="428">
        <f t="shared" si="11"/>
        <v>0</v>
      </c>
      <c r="O61" s="262">
        <f t="shared" si="12"/>
        <v>0</v>
      </c>
    </row>
    <row r="62" spans="2:15" s="390" customFormat="1" ht="15.75" hidden="1" thickBot="1">
      <c r="B62" s="451" t="s">
        <v>41</v>
      </c>
      <c r="C62" s="387"/>
      <c r="D62" s="388"/>
      <c r="E62" s="389"/>
      <c r="F62" s="289">
        <v>0.088</v>
      </c>
      <c r="G62" s="305">
        <f>IF(AND($T$1=1,F18&gt;=600),F18-600,IF(AND($T$1=1,AND(F18&lt;600,F18&gt;=0)),0,IF(AND($T$1=2,F18&gt;=1000),F18-1000,IF(AND($T$1=2,AND(F18&lt;1000,F18&gt;=0)),0))))</f>
        <v>200</v>
      </c>
      <c r="H62" s="258">
        <f>G62*F62</f>
        <v>17.599999999999998</v>
      </c>
      <c r="I62" s="306"/>
      <c r="J62" s="270">
        <v>0.088</v>
      </c>
      <c r="K62" s="305">
        <f>G62</f>
        <v>200</v>
      </c>
      <c r="L62" s="258">
        <f>K62*J62</f>
        <v>17.599999999999998</v>
      </c>
      <c r="M62" s="306"/>
      <c r="N62" s="428">
        <f t="shared" si="11"/>
        <v>0</v>
      </c>
      <c r="O62" s="262">
        <f t="shared" si="12"/>
        <v>0</v>
      </c>
    </row>
    <row r="63" spans="2:15" s="252" customFormat="1" ht="8.25" customHeight="1" thickBot="1">
      <c r="B63" s="391"/>
      <c r="C63" s="307"/>
      <c r="D63" s="308"/>
      <c r="E63" s="307"/>
      <c r="F63" s="309"/>
      <c r="G63" s="310"/>
      <c r="H63" s="311"/>
      <c r="I63" s="312"/>
      <c r="J63" s="309"/>
      <c r="K63" s="313"/>
      <c r="L63" s="311"/>
      <c r="M63" s="312"/>
      <c r="N63" s="314"/>
      <c r="O63" s="315"/>
    </row>
    <row r="64" spans="2:19" s="252" customFormat="1" ht="15" hidden="1">
      <c r="B64" s="392" t="s">
        <v>42</v>
      </c>
      <c r="C64" s="253"/>
      <c r="D64" s="253"/>
      <c r="E64" s="253"/>
      <c r="F64" s="316"/>
      <c r="G64" s="317"/>
      <c r="H64" s="318">
        <f>SUM(H53:H60,H52)</f>
        <v>121.04208000000003</v>
      </c>
      <c r="I64" s="319"/>
      <c r="J64" s="320"/>
      <c r="K64" s="320"/>
      <c r="L64" s="318">
        <f>SUM(L53:L60,L52)</f>
        <v>126.02900000000002</v>
      </c>
      <c r="M64" s="322"/>
      <c r="N64" s="445">
        <f>L64-H64</f>
        <v>4.986919999999998</v>
      </c>
      <c r="O64" s="393">
        <f>IF((H64)=0,"",(N64/H64))</f>
        <v>0.0411998868492676</v>
      </c>
      <c r="S64" s="304"/>
    </row>
    <row r="65" spans="2:19" s="252" customFormat="1" ht="15" hidden="1">
      <c r="B65" s="394" t="s">
        <v>43</v>
      </c>
      <c r="C65" s="253"/>
      <c r="D65" s="253"/>
      <c r="E65" s="253"/>
      <c r="F65" s="324">
        <v>0.13</v>
      </c>
      <c r="G65" s="325"/>
      <c r="H65" s="326">
        <f>H64*F65</f>
        <v>15.735470400000004</v>
      </c>
      <c r="I65" s="327"/>
      <c r="J65" s="328">
        <v>0.13</v>
      </c>
      <c r="K65" s="327"/>
      <c r="L65" s="329">
        <f>L64*J65</f>
        <v>16.383770000000005</v>
      </c>
      <c r="M65" s="330"/>
      <c r="N65" s="446">
        <f t="shared" si="11"/>
        <v>0.6482996000000014</v>
      </c>
      <c r="O65" s="395">
        <f t="shared" si="12"/>
        <v>0.0411998868492677</v>
      </c>
      <c r="S65" s="304"/>
    </row>
    <row r="66" spans="2:19" s="252" customFormat="1" ht="15" hidden="1">
      <c r="B66" s="396" t="s">
        <v>127</v>
      </c>
      <c r="C66" s="253"/>
      <c r="D66" s="253"/>
      <c r="E66" s="253"/>
      <c r="F66" s="331"/>
      <c r="G66" s="325"/>
      <c r="H66" s="326">
        <f>H64+H65</f>
        <v>136.77755040000002</v>
      </c>
      <c r="I66" s="327"/>
      <c r="J66" s="327"/>
      <c r="K66" s="327"/>
      <c r="L66" s="329">
        <f>L64+L65</f>
        <v>142.41277000000002</v>
      </c>
      <c r="M66" s="330"/>
      <c r="N66" s="446">
        <f t="shared" si="11"/>
        <v>5.635219599999999</v>
      </c>
      <c r="O66" s="395">
        <f t="shared" si="12"/>
        <v>0.04119988684926761</v>
      </c>
      <c r="S66" s="304"/>
    </row>
    <row r="67" spans="2:15" s="252" customFormat="1" ht="15.75" customHeight="1" hidden="1">
      <c r="B67" s="554" t="s">
        <v>128</v>
      </c>
      <c r="C67" s="554"/>
      <c r="D67" s="554"/>
      <c r="E67" s="253"/>
      <c r="F67" s="331"/>
      <c r="G67" s="325"/>
      <c r="H67" s="452">
        <f>ROUND(-H66*10%,2)</f>
        <v>-13.68</v>
      </c>
      <c r="I67" s="327"/>
      <c r="J67" s="327"/>
      <c r="K67" s="327"/>
      <c r="L67" s="453">
        <f>ROUND(-L66*10%,2)</f>
        <v>-14.24</v>
      </c>
      <c r="M67" s="330"/>
      <c r="N67" s="432">
        <f t="shared" si="11"/>
        <v>-0.5600000000000005</v>
      </c>
      <c r="O67" s="397">
        <f t="shared" si="12"/>
        <v>0.04093567251461992</v>
      </c>
    </row>
    <row r="68" spans="2:15" s="252" customFormat="1" ht="15" hidden="1">
      <c r="B68" s="555" t="s">
        <v>46</v>
      </c>
      <c r="C68" s="555"/>
      <c r="D68" s="555"/>
      <c r="E68" s="334"/>
      <c r="F68" s="335"/>
      <c r="G68" s="336"/>
      <c r="H68" s="337">
        <f>H66+H67</f>
        <v>123.09755040000002</v>
      </c>
      <c r="I68" s="338"/>
      <c r="J68" s="338"/>
      <c r="K68" s="338"/>
      <c r="L68" s="339">
        <f>L66+L67</f>
        <v>128.17277</v>
      </c>
      <c r="M68" s="340"/>
      <c r="N68" s="447">
        <f t="shared" si="11"/>
        <v>5.075219599999997</v>
      </c>
      <c r="O68" s="398">
        <f t="shared" si="12"/>
        <v>0.041229249351496404</v>
      </c>
    </row>
    <row r="69" spans="2:15" s="390" customFormat="1" ht="8.25" customHeight="1" hidden="1">
      <c r="B69" s="399"/>
      <c r="C69" s="400"/>
      <c r="D69" s="401"/>
      <c r="E69" s="400"/>
      <c r="F69" s="309"/>
      <c r="G69" s="342"/>
      <c r="H69" s="311"/>
      <c r="I69" s="343"/>
      <c r="J69" s="309"/>
      <c r="K69" s="344"/>
      <c r="L69" s="311"/>
      <c r="M69" s="343"/>
      <c r="N69" s="345"/>
      <c r="O69" s="315"/>
    </row>
    <row r="70" spans="2:15" s="390" customFormat="1" ht="15">
      <c r="B70" s="402" t="s">
        <v>47</v>
      </c>
      <c r="C70" s="387"/>
      <c r="D70" s="387"/>
      <c r="E70" s="387"/>
      <c r="F70" s="346"/>
      <c r="G70" s="347"/>
      <c r="H70" s="348">
        <f>SUM(H58,H52,H53:H57)</f>
        <v>121.04208000000001</v>
      </c>
      <c r="I70" s="349"/>
      <c r="J70" s="350"/>
      <c r="K70" s="350"/>
      <c r="L70" s="351">
        <f>SUM(L58,L52,L53:L57)</f>
        <v>126.029</v>
      </c>
      <c r="M70" s="352"/>
      <c r="N70" s="448">
        <f>L70-H70</f>
        <v>4.986919999999984</v>
      </c>
      <c r="O70" s="393">
        <f>IF((H70)=0,"",(N70/H70))</f>
        <v>0.04119988684926749</v>
      </c>
    </row>
    <row r="71" spans="2:15" s="390" customFormat="1" ht="15">
      <c r="B71" s="403" t="s">
        <v>43</v>
      </c>
      <c r="C71" s="387"/>
      <c r="D71" s="387"/>
      <c r="E71" s="387"/>
      <c r="F71" s="353">
        <v>0.13</v>
      </c>
      <c r="G71" s="347"/>
      <c r="H71" s="354">
        <f>H70*F71</f>
        <v>15.735470400000002</v>
      </c>
      <c r="I71" s="355"/>
      <c r="J71" s="353">
        <v>0.13</v>
      </c>
      <c r="K71" s="356"/>
      <c r="L71" s="357">
        <f>L70*J71</f>
        <v>16.38377</v>
      </c>
      <c r="M71" s="358"/>
      <c r="N71" s="449">
        <f>L71-H71</f>
        <v>0.6482995999999961</v>
      </c>
      <c r="O71" s="395">
        <f>IF((H71)=0,"",(N71/H71))</f>
        <v>0.04119988684926737</v>
      </c>
    </row>
    <row r="72" spans="2:15" s="390" customFormat="1" ht="15">
      <c r="B72" s="404" t="s">
        <v>127</v>
      </c>
      <c r="C72" s="387"/>
      <c r="D72" s="387"/>
      <c r="E72" s="387"/>
      <c r="F72" s="359"/>
      <c r="G72" s="358"/>
      <c r="H72" s="354">
        <f>H70+H71</f>
        <v>136.77755040000002</v>
      </c>
      <c r="I72" s="355"/>
      <c r="J72" s="355"/>
      <c r="K72" s="355"/>
      <c r="L72" s="357">
        <f>L70+L71</f>
        <v>142.41277</v>
      </c>
      <c r="M72" s="358"/>
      <c r="N72" s="449">
        <f>L72-H72</f>
        <v>5.635219599999971</v>
      </c>
      <c r="O72" s="395">
        <f>IF((H72)=0,"",(N72/H72))</f>
        <v>0.041199886849267404</v>
      </c>
    </row>
    <row r="73" spans="2:15" s="390" customFormat="1" ht="15.75" customHeight="1">
      <c r="B73" s="556" t="s">
        <v>128</v>
      </c>
      <c r="C73" s="556"/>
      <c r="D73" s="556"/>
      <c r="E73" s="387"/>
      <c r="F73" s="359"/>
      <c r="G73" s="358"/>
      <c r="H73" s="472">
        <v>0</v>
      </c>
      <c r="I73" s="355"/>
      <c r="J73" s="355"/>
      <c r="K73" s="355"/>
      <c r="L73" s="454">
        <v>0</v>
      </c>
      <c r="M73" s="358"/>
      <c r="N73" s="435">
        <f>L73-H73</f>
        <v>0</v>
      </c>
      <c r="O73" s="262">
        <f>IF((H73)=0,"",(N73/H73))</f>
      </c>
    </row>
    <row r="74" spans="2:15" s="390" customFormat="1" ht="15.75" thickBot="1">
      <c r="B74" s="547" t="s">
        <v>48</v>
      </c>
      <c r="C74" s="547"/>
      <c r="D74" s="547"/>
      <c r="E74" s="405"/>
      <c r="F74" s="362"/>
      <c r="G74" s="363"/>
      <c r="H74" s="364">
        <f>SUM(H72:H73)</f>
        <v>136.77755040000002</v>
      </c>
      <c r="I74" s="365"/>
      <c r="J74" s="365"/>
      <c r="K74" s="365"/>
      <c r="L74" s="366">
        <f>SUM(L72:L73)</f>
        <v>142.41277</v>
      </c>
      <c r="M74" s="367"/>
      <c r="N74" s="450">
        <f>L74-H74</f>
        <v>5.635219599999971</v>
      </c>
      <c r="O74" s="406">
        <f>IF((H74)=0,"",(N74/H74))</f>
        <v>0.041199886849267404</v>
      </c>
    </row>
    <row r="75" spans="2:15" s="390" customFormat="1" ht="8.25" customHeight="1" thickBot="1">
      <c r="B75" s="399"/>
      <c r="C75" s="400"/>
      <c r="D75" s="401"/>
      <c r="E75" s="400"/>
      <c r="F75" s="368"/>
      <c r="G75" s="407"/>
      <c r="H75" s="369"/>
      <c r="I75" s="408"/>
      <c r="J75" s="368"/>
      <c r="K75" s="342"/>
      <c r="L75" s="370"/>
      <c r="M75" s="343"/>
      <c r="N75" s="409"/>
      <c r="O75" s="315"/>
    </row>
    <row r="76" s="252" customFormat="1" ht="10.5" customHeight="1">
      <c r="L76" s="304"/>
    </row>
    <row r="77" spans="2:10" s="252" customFormat="1" ht="15">
      <c r="B77" s="410" t="s">
        <v>49</v>
      </c>
      <c r="F77" s="371">
        <v>0.0495</v>
      </c>
      <c r="J77" s="371">
        <v>0.0495</v>
      </c>
    </row>
    <row r="78" s="252" customFormat="1" ht="15"/>
    <row r="79" spans="2:15" s="252" customFormat="1" ht="15">
      <c r="B79" s="470" t="s">
        <v>132</v>
      </c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</row>
    <row r="80" s="283" customFormat="1" ht="15"/>
    <row r="81" s="252" customFormat="1" ht="10.5" customHeight="1">
      <c r="A81" s="411" t="s">
        <v>129</v>
      </c>
    </row>
    <row r="82" s="252" customFormat="1" ht="15"/>
    <row r="83" s="252" customFormat="1" ht="15">
      <c r="A83" s="252" t="s">
        <v>51</v>
      </c>
    </row>
    <row r="84" s="252" customFormat="1" ht="15">
      <c r="A84" s="252" t="s">
        <v>52</v>
      </c>
    </row>
    <row r="85" s="252" customFormat="1" ht="15"/>
    <row r="86" s="252" customFormat="1" ht="15">
      <c r="A86" s="373" t="s">
        <v>53</v>
      </c>
    </row>
    <row r="87" s="252" customFormat="1" ht="15">
      <c r="A87" s="373" t="s">
        <v>54</v>
      </c>
    </row>
    <row r="88" s="252" customFormat="1" ht="15"/>
    <row r="89" s="252" customFormat="1" ht="15">
      <c r="A89" s="252" t="s">
        <v>55</v>
      </c>
    </row>
    <row r="90" s="252" customFormat="1" ht="15">
      <c r="A90" s="252" t="s">
        <v>56</v>
      </c>
    </row>
    <row r="91" s="252" customFormat="1" ht="15">
      <c r="A91" s="252" t="s">
        <v>57</v>
      </c>
    </row>
    <row r="92" s="252" customFormat="1" ht="15">
      <c r="A92" s="252" t="s">
        <v>58</v>
      </c>
    </row>
    <row r="93" s="252" customFormat="1" ht="15">
      <c r="A93" s="252" t="s">
        <v>59</v>
      </c>
    </row>
    <row r="94" s="252" customFormat="1" ht="15"/>
    <row r="95" spans="1:2" s="252" customFormat="1" ht="15">
      <c r="A95" s="372"/>
      <c r="B95" s="252" t="s">
        <v>60</v>
      </c>
    </row>
    <row r="96" spans="1:14" ht="15">
      <c r="A96" s="252"/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</row>
  </sheetData>
  <sheetProtection/>
  <mergeCells count="20">
    <mergeCell ref="N1:O1"/>
    <mergeCell ref="N2:O2"/>
    <mergeCell ref="N3:O3"/>
    <mergeCell ref="N4:O4"/>
    <mergeCell ref="N5:O5"/>
    <mergeCell ref="N7:O7"/>
    <mergeCell ref="B74:D74"/>
    <mergeCell ref="D21:D22"/>
    <mergeCell ref="N21:N22"/>
    <mergeCell ref="O21:O22"/>
    <mergeCell ref="B67:D67"/>
    <mergeCell ref="B68:D68"/>
    <mergeCell ref="B73:D73"/>
    <mergeCell ref="A3:K3"/>
    <mergeCell ref="B10:O10"/>
    <mergeCell ref="B11:O11"/>
    <mergeCell ref="D14:O14"/>
    <mergeCell ref="F20:H20"/>
    <mergeCell ref="J20:L20"/>
    <mergeCell ref="N20:O20"/>
  </mergeCells>
  <dataValidations count="4">
    <dataValidation type="list" allowBlank="1" showInputMessage="1" showErrorMessage="1" sqref="E50:E51 E42:E48 E63 E23:E40 E53:E60">
      <formula1>'USL (800kWh)'!#REF!</formula1>
    </dataValidation>
    <dataValidation type="list" allowBlank="1" showInputMessage="1" showErrorMessage="1" prompt="Select Charge Unit - monthly, per kWh, per kW" sqref="D50:D51 D53:D63 D69 D23:D40 D75 D42:D48">
      <formula1>"Monthly, per kWh, per kW"</formula1>
    </dataValidation>
    <dataValidation type="list" allowBlank="1" showInputMessage="1" showErrorMessage="1" sqref="E75 E69 E61:E62">
      <formula1>'USL (800kWh)'!#REF!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48.0039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10.00390625" style="8" bestFit="1" customWidth="1"/>
    <col min="7" max="8" width="8.00390625" style="8" bestFit="1" customWidth="1"/>
    <col min="9" max="9" width="2.8515625" style="8" customWidth="1"/>
    <col min="10" max="10" width="10.00390625" style="8" bestFit="1" customWidth="1"/>
    <col min="11" max="11" width="8.00390625" style="8" bestFit="1" customWidth="1"/>
    <col min="12" max="12" width="12.7109375" style="8" bestFit="1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17</v>
      </c>
      <c r="O4" s="523"/>
      <c r="P4"/>
    </row>
    <row r="5" spans="3:16" s="2" customFormat="1" ht="15" customHeight="1">
      <c r="C5" s="7"/>
      <c r="D5" s="7"/>
      <c r="E5" s="7"/>
      <c r="L5" s="3" t="s">
        <v>77</v>
      </c>
      <c r="N5" s="525" t="s">
        <v>147</v>
      </c>
      <c r="O5" s="525"/>
      <c r="P5"/>
    </row>
    <row r="6" spans="12:16" s="2" customFormat="1" ht="9" customHeight="1">
      <c r="L6" s="3"/>
      <c r="N6" s="4"/>
      <c r="O6" s="17"/>
      <c r="P6"/>
    </row>
    <row r="7" spans="12:16" s="2" customFormat="1" ht="15">
      <c r="L7" s="3" t="s">
        <v>145</v>
      </c>
      <c r="N7" s="526">
        <v>42412</v>
      </c>
      <c r="O7" s="525"/>
      <c r="P7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4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72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150</v>
      </c>
      <c r="G18" s="14" t="s">
        <v>9</v>
      </c>
      <c r="H18" s="15">
        <v>1</v>
      </c>
      <c r="I18" s="14" t="s">
        <v>70</v>
      </c>
    </row>
    <row r="19" ht="15">
      <c r="B19" s="13"/>
    </row>
    <row r="20" spans="2:15" s="252" customFormat="1" ht="15">
      <c r="B20" s="373"/>
      <c r="D20" s="374"/>
      <c r="E20" s="374"/>
      <c r="F20" s="544" t="s">
        <v>10</v>
      </c>
      <c r="G20" s="545"/>
      <c r="H20" s="546"/>
      <c r="J20" s="544" t="s">
        <v>11</v>
      </c>
      <c r="K20" s="545"/>
      <c r="L20" s="546"/>
      <c r="N20" s="544" t="s">
        <v>12</v>
      </c>
      <c r="O20" s="546"/>
    </row>
    <row r="21" spans="2:15" s="252" customFormat="1" ht="15">
      <c r="B21" s="373"/>
      <c r="D21" s="548" t="s">
        <v>13</v>
      </c>
      <c r="E21" s="375"/>
      <c r="F21" s="376" t="s">
        <v>14</v>
      </c>
      <c r="G21" s="376" t="s">
        <v>15</v>
      </c>
      <c r="H21" s="377" t="s">
        <v>16</v>
      </c>
      <c r="J21" s="376" t="s">
        <v>14</v>
      </c>
      <c r="K21" s="378" t="s">
        <v>15</v>
      </c>
      <c r="L21" s="377" t="s">
        <v>16</v>
      </c>
      <c r="N21" s="550" t="s">
        <v>17</v>
      </c>
      <c r="O21" s="552" t="s">
        <v>18</v>
      </c>
    </row>
    <row r="22" spans="2:15" s="252" customFormat="1" ht="15">
      <c r="B22" s="373"/>
      <c r="D22" s="549"/>
      <c r="E22" s="375"/>
      <c r="F22" s="379" t="s">
        <v>19</v>
      </c>
      <c r="G22" s="379"/>
      <c r="H22" s="380" t="s">
        <v>19</v>
      </c>
      <c r="J22" s="379" t="s">
        <v>19</v>
      </c>
      <c r="K22" s="380"/>
      <c r="L22" s="380" t="s">
        <v>19</v>
      </c>
      <c r="N22" s="551"/>
      <c r="O22" s="553"/>
    </row>
    <row r="23" spans="2:15" s="252" customFormat="1" ht="18" customHeight="1">
      <c r="B23" s="253" t="s">
        <v>20</v>
      </c>
      <c r="C23" s="253"/>
      <c r="D23" s="254" t="s">
        <v>62</v>
      </c>
      <c r="E23" s="255"/>
      <c r="F23" s="256">
        <v>1.53</v>
      </c>
      <c r="G23" s="441">
        <v>1</v>
      </c>
      <c r="H23" s="258">
        <f>G23*F23</f>
        <v>1.53</v>
      </c>
      <c r="I23" s="259"/>
      <c r="J23" s="264">
        <v>1.53</v>
      </c>
      <c r="K23" s="441">
        <v>1</v>
      </c>
      <c r="L23" s="258">
        <f>K23*J23</f>
        <v>1.53</v>
      </c>
      <c r="M23" s="259"/>
      <c r="N23" s="261">
        <f>L23-H23</f>
        <v>0</v>
      </c>
      <c r="O23" s="262">
        <f>IF((H23)=0,"",(N23/H23))</f>
        <v>0</v>
      </c>
    </row>
    <row r="24" spans="2:15" s="252" customFormat="1" ht="22.5" customHeight="1" hidden="1">
      <c r="B24" s="253" t="s">
        <v>92</v>
      </c>
      <c r="C24" s="253"/>
      <c r="D24" s="254" t="s">
        <v>62</v>
      </c>
      <c r="E24" s="255"/>
      <c r="F24" s="256">
        <v>0</v>
      </c>
      <c r="G24" s="257">
        <v>1</v>
      </c>
      <c r="H24" s="258">
        <f>G24*F24</f>
        <v>0</v>
      </c>
      <c r="I24" s="259"/>
      <c r="J24" s="264">
        <v>0</v>
      </c>
      <c r="K24" s="260">
        <v>1</v>
      </c>
      <c r="L24" s="258">
        <f>K24*J24</f>
        <v>0</v>
      </c>
      <c r="M24" s="259"/>
      <c r="N24" s="261">
        <f>L24-H24</f>
        <v>0</v>
      </c>
      <c r="O24" s="262">
        <f>IF((H24)=0,"",(N24/H24))</f>
      </c>
    </row>
    <row r="25" spans="2:15" s="252" customFormat="1" ht="36.75" customHeight="1" hidden="1">
      <c r="B25" s="265" t="s">
        <v>111</v>
      </c>
      <c r="C25" s="253"/>
      <c r="D25" s="266" t="s">
        <v>62</v>
      </c>
      <c r="E25" s="255"/>
      <c r="F25" s="264">
        <v>0</v>
      </c>
      <c r="G25" s="257">
        <v>1</v>
      </c>
      <c r="H25" s="258">
        <f>G25*F25</f>
        <v>0</v>
      </c>
      <c r="I25" s="259"/>
      <c r="J25" s="267">
        <f>Sentinel!J25</f>
        <v>0</v>
      </c>
      <c r="K25" s="260">
        <v>1</v>
      </c>
      <c r="L25" s="258">
        <f>K25*J25</f>
        <v>0</v>
      </c>
      <c r="M25" s="259"/>
      <c r="N25" s="261">
        <f>L25-H25</f>
        <v>0</v>
      </c>
      <c r="O25" s="262">
        <f>IF((H25)=0,"",(N25/H25))</f>
      </c>
    </row>
    <row r="26" spans="2:15" s="252" customFormat="1" ht="15" hidden="1">
      <c r="B26" s="268"/>
      <c r="C26" s="253"/>
      <c r="D26" s="266" t="s">
        <v>62</v>
      </c>
      <c r="E26" s="269"/>
      <c r="F26" s="264"/>
      <c r="G26" s="257">
        <v>1</v>
      </c>
      <c r="H26" s="258">
        <f aca="true" t="shared" si="0" ref="H26:H40">G26*F26</f>
        <v>0</v>
      </c>
      <c r="I26" s="259"/>
      <c r="J26" s="267"/>
      <c r="K26" s="260">
        <v>1</v>
      </c>
      <c r="L26" s="258">
        <f aca="true" t="shared" si="1" ref="L26:L40">K26*J26</f>
        <v>0</v>
      </c>
      <c r="M26" s="259"/>
      <c r="N26" s="261">
        <f aca="true" t="shared" si="2" ref="N26:N41">L26-H26</f>
        <v>0</v>
      </c>
      <c r="O26" s="262">
        <f aca="true" t="shared" si="3" ref="O26:O41">IF((H26)=0,"",(N26/H26))</f>
      </c>
    </row>
    <row r="27" spans="2:15" s="252" customFormat="1" ht="15" hidden="1">
      <c r="B27" s="268"/>
      <c r="C27" s="253"/>
      <c r="D27" s="266" t="s">
        <v>62</v>
      </c>
      <c r="E27" s="255"/>
      <c r="F27" s="270"/>
      <c r="G27" s="257">
        <v>1</v>
      </c>
      <c r="H27" s="258">
        <f t="shared" si="0"/>
        <v>0</v>
      </c>
      <c r="I27" s="259"/>
      <c r="J27" s="264"/>
      <c r="K27" s="260">
        <v>1</v>
      </c>
      <c r="L27" s="258">
        <f t="shared" si="1"/>
        <v>0</v>
      </c>
      <c r="M27" s="259"/>
      <c r="N27" s="261">
        <f t="shared" si="2"/>
        <v>0</v>
      </c>
      <c r="O27" s="262">
        <f t="shared" si="3"/>
      </c>
    </row>
    <row r="28" spans="2:15" s="252" customFormat="1" ht="15">
      <c r="B28" s="426" t="s">
        <v>66</v>
      </c>
      <c r="C28" s="253"/>
      <c r="D28" s="254" t="s">
        <v>71</v>
      </c>
      <c r="E28" s="255"/>
      <c r="F28" s="270">
        <v>0</v>
      </c>
      <c r="G28" s="441">
        <f>$H$18</f>
        <v>1</v>
      </c>
      <c r="H28" s="258">
        <f t="shared" si="0"/>
        <v>0</v>
      </c>
      <c r="I28" s="259"/>
      <c r="J28" s="465">
        <v>-0.0696</v>
      </c>
      <c r="K28" s="441">
        <f>$H$18</f>
        <v>1</v>
      </c>
      <c r="L28" s="258">
        <f t="shared" si="1"/>
        <v>-0.0696</v>
      </c>
      <c r="M28" s="259"/>
      <c r="N28" s="261">
        <f t="shared" si="2"/>
        <v>-0.0696</v>
      </c>
      <c r="O28" s="262">
        <f t="shared" si="3"/>
      </c>
    </row>
    <row r="29" spans="2:15" s="252" customFormat="1" ht="15" hidden="1">
      <c r="B29" s="381" t="s">
        <v>67</v>
      </c>
      <c r="C29" s="253"/>
      <c r="D29" s="254" t="s">
        <v>71</v>
      </c>
      <c r="E29" s="255"/>
      <c r="F29" s="271">
        <v>0</v>
      </c>
      <c r="G29" s="441">
        <f>$H$18</f>
        <v>1</v>
      </c>
      <c r="H29" s="258">
        <f t="shared" si="0"/>
        <v>0</v>
      </c>
      <c r="I29" s="259"/>
      <c r="J29" s="267">
        <v>0</v>
      </c>
      <c r="K29" s="441">
        <f>$H$18</f>
        <v>1</v>
      </c>
      <c r="L29" s="258">
        <f t="shared" si="1"/>
        <v>0</v>
      </c>
      <c r="M29" s="259"/>
      <c r="N29" s="261">
        <f t="shared" si="2"/>
        <v>0</v>
      </c>
      <c r="O29" s="262">
        <f t="shared" si="3"/>
      </c>
    </row>
    <row r="30" spans="2:15" s="252" customFormat="1" ht="15" hidden="1">
      <c r="B30" s="381" t="s">
        <v>93</v>
      </c>
      <c r="C30" s="253"/>
      <c r="D30" s="254" t="s">
        <v>63</v>
      </c>
      <c r="E30" s="255"/>
      <c r="F30" s="270">
        <v>0</v>
      </c>
      <c r="G30" s="441">
        <f>$H$18</f>
        <v>1</v>
      </c>
      <c r="H30" s="258">
        <f t="shared" si="0"/>
        <v>0</v>
      </c>
      <c r="I30" s="259"/>
      <c r="J30" s="267">
        <v>0</v>
      </c>
      <c r="K30" s="441">
        <f>H18</f>
        <v>1</v>
      </c>
      <c r="L30" s="258">
        <f t="shared" si="1"/>
        <v>0</v>
      </c>
      <c r="M30" s="259"/>
      <c r="N30" s="261">
        <f t="shared" si="2"/>
        <v>0</v>
      </c>
      <c r="O30" s="262"/>
    </row>
    <row r="31" spans="2:15" s="252" customFormat="1" ht="15">
      <c r="B31" s="253" t="s">
        <v>21</v>
      </c>
      <c r="C31" s="253"/>
      <c r="D31" s="254" t="s">
        <v>71</v>
      </c>
      <c r="E31" s="255"/>
      <c r="F31" s="270">
        <v>44.8917</v>
      </c>
      <c r="G31" s="441">
        <f>$H$18</f>
        <v>1</v>
      </c>
      <c r="H31" s="258">
        <f t="shared" si="0"/>
        <v>44.8917</v>
      </c>
      <c r="I31" s="259"/>
      <c r="J31" s="267">
        <v>44.8917</v>
      </c>
      <c r="K31" s="441">
        <f>$H$18</f>
        <v>1</v>
      </c>
      <c r="L31" s="258">
        <f t="shared" si="1"/>
        <v>44.8917</v>
      </c>
      <c r="M31" s="259"/>
      <c r="N31" s="261">
        <f t="shared" si="2"/>
        <v>0</v>
      </c>
      <c r="O31" s="262">
        <f t="shared" si="3"/>
        <v>0</v>
      </c>
    </row>
    <row r="32" spans="2:15" s="252" customFormat="1" ht="15" hidden="1">
      <c r="B32" s="253" t="s">
        <v>22</v>
      </c>
      <c r="C32" s="253"/>
      <c r="D32" s="254"/>
      <c r="E32" s="255"/>
      <c r="F32" s="270"/>
      <c r="G32" s="257">
        <f>$F$18</f>
        <v>150</v>
      </c>
      <c r="H32" s="258">
        <f t="shared" si="0"/>
        <v>0</v>
      </c>
      <c r="I32" s="259"/>
      <c r="J32" s="267"/>
      <c r="K32" s="257">
        <f aca="true" t="shared" si="4" ref="K32:K40">$F$18</f>
        <v>150</v>
      </c>
      <c r="L32" s="258">
        <f t="shared" si="1"/>
        <v>0</v>
      </c>
      <c r="M32" s="259"/>
      <c r="N32" s="261">
        <f t="shared" si="2"/>
        <v>0</v>
      </c>
      <c r="O32" s="262">
        <f t="shared" si="3"/>
      </c>
    </row>
    <row r="33" spans="2:15" s="252" customFormat="1" ht="15" hidden="1">
      <c r="B33" s="253" t="s">
        <v>23</v>
      </c>
      <c r="C33" s="253"/>
      <c r="D33" s="254"/>
      <c r="E33" s="255"/>
      <c r="F33" s="270"/>
      <c r="G33" s="257">
        <f>$F$18</f>
        <v>150</v>
      </c>
      <c r="H33" s="258">
        <f t="shared" si="0"/>
        <v>0</v>
      </c>
      <c r="I33" s="259"/>
      <c r="J33" s="267"/>
      <c r="K33" s="257">
        <f t="shared" si="4"/>
        <v>150</v>
      </c>
      <c r="L33" s="258">
        <f t="shared" si="1"/>
        <v>0</v>
      </c>
      <c r="M33" s="259"/>
      <c r="N33" s="261">
        <f t="shared" si="2"/>
        <v>0</v>
      </c>
      <c r="O33" s="262">
        <f t="shared" si="3"/>
      </c>
    </row>
    <row r="34" spans="2:15" s="252" customFormat="1" ht="15" hidden="1">
      <c r="B34" s="273"/>
      <c r="C34" s="253"/>
      <c r="D34" s="254"/>
      <c r="E34" s="255"/>
      <c r="F34" s="270"/>
      <c r="G34" s="257">
        <f aca="true" t="shared" si="5" ref="G34:G40">$F$18</f>
        <v>150</v>
      </c>
      <c r="H34" s="258">
        <f t="shared" si="0"/>
        <v>0</v>
      </c>
      <c r="I34" s="259"/>
      <c r="J34" s="267"/>
      <c r="K34" s="257">
        <f t="shared" si="4"/>
        <v>150</v>
      </c>
      <c r="L34" s="258">
        <f t="shared" si="1"/>
        <v>0</v>
      </c>
      <c r="M34" s="259"/>
      <c r="N34" s="272">
        <f t="shared" si="2"/>
        <v>0</v>
      </c>
      <c r="O34" s="262">
        <f t="shared" si="3"/>
      </c>
    </row>
    <row r="35" spans="2:15" s="252" customFormat="1" ht="15" hidden="1">
      <c r="B35" s="273"/>
      <c r="C35" s="253"/>
      <c r="D35" s="254"/>
      <c r="E35" s="255"/>
      <c r="F35" s="270"/>
      <c r="G35" s="257">
        <f t="shared" si="5"/>
        <v>150</v>
      </c>
      <c r="H35" s="258">
        <f t="shared" si="0"/>
        <v>0</v>
      </c>
      <c r="I35" s="259"/>
      <c r="J35" s="267"/>
      <c r="K35" s="257">
        <f t="shared" si="4"/>
        <v>150</v>
      </c>
      <c r="L35" s="258">
        <f t="shared" si="1"/>
        <v>0</v>
      </c>
      <c r="M35" s="259"/>
      <c r="N35" s="272">
        <f t="shared" si="2"/>
        <v>0</v>
      </c>
      <c r="O35" s="262">
        <f t="shared" si="3"/>
      </c>
    </row>
    <row r="36" spans="2:15" s="252" customFormat="1" ht="15" hidden="1">
      <c r="B36" s="273"/>
      <c r="C36" s="253"/>
      <c r="D36" s="254"/>
      <c r="E36" s="255"/>
      <c r="F36" s="270"/>
      <c r="G36" s="257">
        <f t="shared" si="5"/>
        <v>150</v>
      </c>
      <c r="H36" s="258">
        <f t="shared" si="0"/>
        <v>0</v>
      </c>
      <c r="I36" s="259"/>
      <c r="J36" s="267"/>
      <c r="K36" s="257">
        <f t="shared" si="4"/>
        <v>150</v>
      </c>
      <c r="L36" s="258">
        <f t="shared" si="1"/>
        <v>0</v>
      </c>
      <c r="M36" s="259"/>
      <c r="N36" s="272">
        <f t="shared" si="2"/>
        <v>0</v>
      </c>
      <c r="O36" s="262">
        <f t="shared" si="3"/>
      </c>
    </row>
    <row r="37" spans="2:15" s="252" customFormat="1" ht="15" hidden="1">
      <c r="B37" s="273"/>
      <c r="C37" s="253"/>
      <c r="D37" s="254"/>
      <c r="E37" s="255"/>
      <c r="F37" s="270"/>
      <c r="G37" s="257">
        <f t="shared" si="5"/>
        <v>150</v>
      </c>
      <c r="H37" s="258">
        <f t="shared" si="0"/>
        <v>0</v>
      </c>
      <c r="I37" s="259"/>
      <c r="J37" s="267"/>
      <c r="K37" s="257">
        <f t="shared" si="4"/>
        <v>150</v>
      </c>
      <c r="L37" s="258">
        <f t="shared" si="1"/>
        <v>0</v>
      </c>
      <c r="M37" s="259"/>
      <c r="N37" s="272">
        <f t="shared" si="2"/>
        <v>0</v>
      </c>
      <c r="O37" s="262">
        <f t="shared" si="3"/>
      </c>
    </row>
    <row r="38" spans="2:15" s="252" customFormat="1" ht="15" hidden="1">
      <c r="B38" s="273"/>
      <c r="C38" s="253"/>
      <c r="D38" s="254"/>
      <c r="E38" s="255"/>
      <c r="F38" s="270"/>
      <c r="G38" s="257">
        <f t="shared" si="5"/>
        <v>150</v>
      </c>
      <c r="H38" s="258">
        <f t="shared" si="0"/>
        <v>0</v>
      </c>
      <c r="I38" s="259"/>
      <c r="J38" s="267"/>
      <c r="K38" s="257">
        <f t="shared" si="4"/>
        <v>150</v>
      </c>
      <c r="L38" s="258">
        <f t="shared" si="1"/>
        <v>0</v>
      </c>
      <c r="M38" s="259"/>
      <c r="N38" s="272">
        <f t="shared" si="2"/>
        <v>0</v>
      </c>
      <c r="O38" s="262">
        <f t="shared" si="3"/>
      </c>
    </row>
    <row r="39" spans="2:15" s="252" customFormat="1" ht="15" hidden="1">
      <c r="B39" s="273"/>
      <c r="C39" s="253"/>
      <c r="D39" s="254"/>
      <c r="E39" s="255"/>
      <c r="F39" s="270"/>
      <c r="G39" s="257">
        <f t="shared" si="5"/>
        <v>150</v>
      </c>
      <c r="H39" s="258">
        <f t="shared" si="0"/>
        <v>0</v>
      </c>
      <c r="I39" s="259"/>
      <c r="J39" s="267"/>
      <c r="K39" s="257">
        <f t="shared" si="4"/>
        <v>150</v>
      </c>
      <c r="L39" s="258">
        <f t="shared" si="1"/>
        <v>0</v>
      </c>
      <c r="M39" s="259"/>
      <c r="N39" s="272">
        <f t="shared" si="2"/>
        <v>0</v>
      </c>
      <c r="O39" s="262">
        <f t="shared" si="3"/>
      </c>
    </row>
    <row r="40" spans="2:15" s="252" customFormat="1" ht="15" hidden="1">
      <c r="B40" s="273"/>
      <c r="C40" s="253"/>
      <c r="D40" s="254"/>
      <c r="E40" s="255"/>
      <c r="F40" s="270"/>
      <c r="G40" s="257">
        <f t="shared" si="5"/>
        <v>150</v>
      </c>
      <c r="H40" s="258">
        <f t="shared" si="0"/>
        <v>0</v>
      </c>
      <c r="I40" s="259"/>
      <c r="J40" s="267"/>
      <c r="K40" s="257">
        <f t="shared" si="4"/>
        <v>150</v>
      </c>
      <c r="L40" s="258">
        <f t="shared" si="1"/>
        <v>0</v>
      </c>
      <c r="M40" s="259"/>
      <c r="N40" s="272">
        <f t="shared" si="2"/>
        <v>0</v>
      </c>
      <c r="O40" s="262">
        <f t="shared" si="3"/>
      </c>
    </row>
    <row r="41" spans="2:15" s="283" customFormat="1" ht="15">
      <c r="B41" s="382" t="s">
        <v>24</v>
      </c>
      <c r="C41" s="274"/>
      <c r="D41" s="275"/>
      <c r="E41" s="274"/>
      <c r="F41" s="276"/>
      <c r="G41" s="277"/>
      <c r="H41" s="278">
        <f>SUM(H23:H40)</f>
        <v>46.4217</v>
      </c>
      <c r="I41" s="279"/>
      <c r="J41" s="280"/>
      <c r="K41" s="281"/>
      <c r="L41" s="278">
        <f>SUM(L23:L40)</f>
        <v>46.3521</v>
      </c>
      <c r="M41" s="279"/>
      <c r="N41" s="282">
        <f t="shared" si="2"/>
        <v>-0.06960000000000122</v>
      </c>
      <c r="O41" s="383">
        <f t="shared" si="3"/>
        <v>-0.001499298819302206</v>
      </c>
    </row>
    <row r="42" spans="2:15" s="252" customFormat="1" ht="30">
      <c r="B42" s="426" t="s">
        <v>25</v>
      </c>
      <c r="C42" s="253"/>
      <c r="D42" s="266" t="s">
        <v>71</v>
      </c>
      <c r="E42" s="269"/>
      <c r="F42" s="284">
        <v>-2.1744</v>
      </c>
      <c r="G42" s="441">
        <f>G31</f>
        <v>1</v>
      </c>
      <c r="H42" s="258">
        <f aca="true" t="shared" si="6" ref="H42:H48">G42*F42</f>
        <v>-2.1744</v>
      </c>
      <c r="I42" s="259"/>
      <c r="J42" s="284">
        <v>-0.6472</v>
      </c>
      <c r="K42" s="441">
        <f>H18</f>
        <v>1</v>
      </c>
      <c r="L42" s="258">
        <f aca="true" t="shared" si="7" ref="L42:L48">K42*J42</f>
        <v>-0.6472</v>
      </c>
      <c r="M42" s="259"/>
      <c r="N42" s="261">
        <f aca="true" t="shared" si="8" ref="N42:N48">L42-H42</f>
        <v>1.5272</v>
      </c>
      <c r="O42" s="262">
        <f aca="true" t="shared" si="9" ref="O42:O47">IF((H42)=0,"",(N42/H42))</f>
        <v>-0.702354672553348</v>
      </c>
    </row>
    <row r="43" spans="2:15" s="252" customFormat="1" ht="15" hidden="1">
      <c r="B43" s="426"/>
      <c r="C43" s="253"/>
      <c r="D43" s="254" t="s">
        <v>71</v>
      </c>
      <c r="E43" s="255"/>
      <c r="F43" s="270"/>
      <c r="G43" s="441">
        <f>H18</f>
        <v>1</v>
      </c>
      <c r="H43" s="258">
        <f t="shared" si="6"/>
        <v>0</v>
      </c>
      <c r="I43" s="285"/>
      <c r="J43" s="267"/>
      <c r="K43" s="441">
        <f>H18</f>
        <v>1</v>
      </c>
      <c r="L43" s="258">
        <f t="shared" si="7"/>
        <v>0</v>
      </c>
      <c r="M43" s="286"/>
      <c r="N43" s="261">
        <f t="shared" si="8"/>
        <v>0</v>
      </c>
      <c r="O43" s="262">
        <f t="shared" si="9"/>
      </c>
    </row>
    <row r="44" spans="2:15" s="252" customFormat="1" ht="15" hidden="1">
      <c r="B44" s="426"/>
      <c r="C44" s="253"/>
      <c r="D44" s="254" t="s">
        <v>71</v>
      </c>
      <c r="E44" s="255"/>
      <c r="F44" s="270"/>
      <c r="G44" s="441">
        <f>H18</f>
        <v>1</v>
      </c>
      <c r="H44" s="258">
        <f t="shared" si="6"/>
        <v>0</v>
      </c>
      <c r="I44" s="285"/>
      <c r="J44" s="267"/>
      <c r="K44" s="441">
        <f>H18</f>
        <v>1</v>
      </c>
      <c r="L44" s="258">
        <f t="shared" si="7"/>
        <v>0</v>
      </c>
      <c r="M44" s="286"/>
      <c r="N44" s="261">
        <f t="shared" si="8"/>
        <v>0</v>
      </c>
      <c r="O44" s="262">
        <f t="shared" si="9"/>
      </c>
    </row>
    <row r="45" spans="2:15" s="252" customFormat="1" ht="45">
      <c r="B45" s="426" t="s">
        <v>75</v>
      </c>
      <c r="C45" s="253"/>
      <c r="D45" s="254" t="s">
        <v>71</v>
      </c>
      <c r="E45" s="255"/>
      <c r="F45" s="284">
        <v>2.1719</v>
      </c>
      <c r="G45" s="441">
        <f>H18</f>
        <v>1</v>
      </c>
      <c r="H45" s="258">
        <f t="shared" si="6"/>
        <v>2.1719</v>
      </c>
      <c r="I45" s="285"/>
      <c r="J45" s="284">
        <v>1.3053</v>
      </c>
      <c r="K45" s="441">
        <f>H18</f>
        <v>1</v>
      </c>
      <c r="L45" s="258">
        <f t="shared" si="7"/>
        <v>1.3053</v>
      </c>
      <c r="M45" s="286"/>
      <c r="N45" s="261">
        <f t="shared" si="8"/>
        <v>-0.8666</v>
      </c>
      <c r="O45" s="262">
        <f t="shared" si="9"/>
        <v>-0.3990054790736222</v>
      </c>
    </row>
    <row r="46" spans="2:15" s="252" customFormat="1" ht="15">
      <c r="B46" s="385" t="s">
        <v>26</v>
      </c>
      <c r="C46" s="253"/>
      <c r="D46" s="254" t="s">
        <v>71</v>
      </c>
      <c r="E46" s="255"/>
      <c r="F46" s="270"/>
      <c r="G46" s="441">
        <f>H18</f>
        <v>1</v>
      </c>
      <c r="H46" s="258">
        <f t="shared" si="6"/>
        <v>0</v>
      </c>
      <c r="I46" s="259"/>
      <c r="J46" s="267">
        <v>0.027</v>
      </c>
      <c r="K46" s="441">
        <f>H18</f>
        <v>1</v>
      </c>
      <c r="L46" s="258">
        <f t="shared" si="7"/>
        <v>0.027</v>
      </c>
      <c r="M46" s="259"/>
      <c r="N46" s="261">
        <f t="shared" si="8"/>
        <v>0.027</v>
      </c>
      <c r="O46" s="262">
        <f t="shared" si="9"/>
      </c>
    </row>
    <row r="47" spans="2:15" s="283" customFormat="1" ht="15">
      <c r="B47" s="385" t="s">
        <v>27</v>
      </c>
      <c r="C47" s="255"/>
      <c r="D47" s="266" t="s">
        <v>71</v>
      </c>
      <c r="E47" s="255"/>
      <c r="F47" s="289">
        <f>IF(ISBLANK(D16)=TRUE,0,IF(D16="TOU",0.64*$F$58+0.18*$F$59+0.18*$F$60,IF(AND(D16="non-TOU",G62&gt;0),F62,F61)))</f>
        <v>0.075</v>
      </c>
      <c r="G47" s="257">
        <f>$F$18*(1+$F$77)-$F$18</f>
        <v>7.425000000000011</v>
      </c>
      <c r="H47" s="290">
        <f t="shared" si="6"/>
        <v>0.5568750000000008</v>
      </c>
      <c r="I47" s="269"/>
      <c r="J47" s="287">
        <f>IF(ISBLANK(D16)=TRUE,0,IF(D16="TOU",0.64*$F$58+0.18*$F$59+0.18*$F$60,IF(AND(D16="non-TOU",K62&gt;0),J62,J61)))</f>
        <v>0.075</v>
      </c>
      <c r="K47" s="257">
        <f>$F$18*(1+$J$77)-$F$18</f>
        <v>7.425000000000011</v>
      </c>
      <c r="L47" s="290">
        <f t="shared" si="7"/>
        <v>0.5568750000000008</v>
      </c>
      <c r="M47" s="269"/>
      <c r="N47" s="261">
        <f t="shared" si="8"/>
        <v>0</v>
      </c>
      <c r="O47" s="291">
        <f t="shared" si="9"/>
        <v>0</v>
      </c>
    </row>
    <row r="48" spans="2:15" s="252" customFormat="1" ht="15" hidden="1">
      <c r="B48" s="384" t="s">
        <v>28</v>
      </c>
      <c r="C48" s="253"/>
      <c r="D48" s="254" t="s">
        <v>62</v>
      </c>
      <c r="E48" s="255"/>
      <c r="F48" s="292">
        <v>0</v>
      </c>
      <c r="G48" s="257">
        <v>0</v>
      </c>
      <c r="H48" s="258">
        <f t="shared" si="6"/>
        <v>0</v>
      </c>
      <c r="I48" s="259"/>
      <c r="J48" s="292">
        <v>0</v>
      </c>
      <c r="K48" s="257">
        <v>0</v>
      </c>
      <c r="L48" s="258">
        <f t="shared" si="7"/>
        <v>0</v>
      </c>
      <c r="M48" s="259"/>
      <c r="N48" s="261">
        <f t="shared" si="8"/>
        <v>0</v>
      </c>
      <c r="O48" s="262"/>
    </row>
    <row r="49" spans="2:15" s="252" customFormat="1" ht="30">
      <c r="B49" s="386" t="s">
        <v>29</v>
      </c>
      <c r="C49" s="293"/>
      <c r="D49" s="293"/>
      <c r="E49" s="293"/>
      <c r="F49" s="84"/>
      <c r="G49" s="294"/>
      <c r="H49" s="295">
        <f>SUM(H42:H48)+H41</f>
        <v>46.976075</v>
      </c>
      <c r="I49" s="279"/>
      <c r="J49" s="294"/>
      <c r="K49" s="296"/>
      <c r="L49" s="295">
        <f>SUM(L42:L48)+L41</f>
        <v>47.594075000000004</v>
      </c>
      <c r="M49" s="279"/>
      <c r="N49" s="444">
        <f aca="true" t="shared" si="10" ref="N49:N68">L49-H49</f>
        <v>0.6180000000000021</v>
      </c>
      <c r="O49" s="383">
        <f aca="true" t="shared" si="11" ref="O49:O68">IF((H49)=0,"",(N49/H49))</f>
        <v>0.0131556329471971</v>
      </c>
    </row>
    <row r="50" spans="2:15" s="252" customFormat="1" ht="15">
      <c r="B50" s="259" t="s">
        <v>30</v>
      </c>
      <c r="C50" s="259"/>
      <c r="D50" s="266" t="s">
        <v>71</v>
      </c>
      <c r="E50" s="269"/>
      <c r="F50" s="267">
        <v>1.3177</v>
      </c>
      <c r="G50" s="302">
        <f>H18*(1+F77)</f>
        <v>1.0495</v>
      </c>
      <c r="H50" s="258">
        <f>G50*F50</f>
        <v>1.3829261500000003</v>
      </c>
      <c r="I50" s="259"/>
      <c r="J50" s="267">
        <v>1.9593</v>
      </c>
      <c r="K50" s="303">
        <f>H18*(1+J77)</f>
        <v>1.0495</v>
      </c>
      <c r="L50" s="258">
        <f>K50*J50</f>
        <v>2.0562853500000005</v>
      </c>
      <c r="M50" s="259"/>
      <c r="N50" s="261">
        <f t="shared" si="10"/>
        <v>0.6733592000000002</v>
      </c>
      <c r="O50" s="262">
        <f t="shared" si="11"/>
        <v>0.4869090081202095</v>
      </c>
    </row>
    <row r="51" spans="2:15" s="252" customFormat="1" ht="30">
      <c r="B51" s="298" t="s">
        <v>31</v>
      </c>
      <c r="C51" s="259"/>
      <c r="D51" s="266" t="s">
        <v>71</v>
      </c>
      <c r="E51" s="269"/>
      <c r="F51" s="267">
        <v>0.5317</v>
      </c>
      <c r="G51" s="302">
        <f>G50</f>
        <v>1.0495</v>
      </c>
      <c r="H51" s="258">
        <f>G51*F51</f>
        <v>0.55801915</v>
      </c>
      <c r="I51" s="259"/>
      <c r="J51" s="267">
        <v>1.222</v>
      </c>
      <c r="K51" s="303">
        <f>K50</f>
        <v>1.0495</v>
      </c>
      <c r="L51" s="258">
        <f>K51*J51</f>
        <v>1.282489</v>
      </c>
      <c r="M51" s="259"/>
      <c r="N51" s="261">
        <f t="shared" si="10"/>
        <v>0.72446985</v>
      </c>
      <c r="O51" s="262">
        <f t="shared" si="11"/>
        <v>1.2982885085574571</v>
      </c>
    </row>
    <row r="52" spans="2:15" s="252" customFormat="1" ht="30">
      <c r="B52" s="386" t="s">
        <v>32</v>
      </c>
      <c r="C52" s="274"/>
      <c r="D52" s="274"/>
      <c r="E52" s="274"/>
      <c r="F52" s="85"/>
      <c r="G52" s="294"/>
      <c r="H52" s="295">
        <f>SUM(H49:H51)</f>
        <v>48.917020300000004</v>
      </c>
      <c r="I52" s="299"/>
      <c r="J52" s="300"/>
      <c r="K52" s="301"/>
      <c r="L52" s="295">
        <f>SUM(L49:L51)</f>
        <v>50.932849350000005</v>
      </c>
      <c r="M52" s="299"/>
      <c r="N52" s="444">
        <f t="shared" si="10"/>
        <v>2.0158290500000007</v>
      </c>
      <c r="O52" s="383">
        <f t="shared" si="11"/>
        <v>0.04120915455678319</v>
      </c>
    </row>
    <row r="53" spans="2:15" s="252" customFormat="1" ht="15">
      <c r="B53" s="265" t="s">
        <v>33</v>
      </c>
      <c r="C53" s="253"/>
      <c r="D53" s="254" t="s">
        <v>63</v>
      </c>
      <c r="E53" s="255"/>
      <c r="F53" s="270">
        <v>0.0044</v>
      </c>
      <c r="G53" s="485">
        <f>F18*(1+F77)</f>
        <v>157.425</v>
      </c>
      <c r="H53" s="258">
        <f aca="true" t="shared" si="12" ref="H53:H60">G53*F53</f>
        <v>0.6926700000000001</v>
      </c>
      <c r="I53" s="259"/>
      <c r="J53" s="471">
        <v>0.0036</v>
      </c>
      <c r="K53" s="486">
        <f>F18*(1+J77)</f>
        <v>157.425</v>
      </c>
      <c r="L53" s="258">
        <f aca="true" t="shared" si="13" ref="L53:L60">K53*J53</f>
        <v>0.5667300000000001</v>
      </c>
      <c r="M53" s="259"/>
      <c r="N53" s="261">
        <f t="shared" si="10"/>
        <v>-0.12594000000000005</v>
      </c>
      <c r="O53" s="262">
        <f t="shared" si="11"/>
        <v>-0.18181818181818185</v>
      </c>
    </row>
    <row r="54" spans="2:15" s="252" customFormat="1" ht="15">
      <c r="B54" s="265" t="s">
        <v>34</v>
      </c>
      <c r="C54" s="253"/>
      <c r="D54" s="254" t="s">
        <v>63</v>
      </c>
      <c r="E54" s="255"/>
      <c r="F54" s="270">
        <v>0.0013</v>
      </c>
      <c r="G54" s="485">
        <f>G53</f>
        <v>157.425</v>
      </c>
      <c r="H54" s="258">
        <f t="shared" si="12"/>
        <v>0.20465250000000001</v>
      </c>
      <c r="I54" s="259"/>
      <c r="J54" s="267">
        <v>0.0013</v>
      </c>
      <c r="K54" s="486">
        <f>K53</f>
        <v>157.425</v>
      </c>
      <c r="L54" s="258">
        <f t="shared" si="13"/>
        <v>0.20465250000000001</v>
      </c>
      <c r="M54" s="259"/>
      <c r="N54" s="261">
        <f t="shared" si="10"/>
        <v>0</v>
      </c>
      <c r="O54" s="262">
        <f t="shared" si="11"/>
        <v>0</v>
      </c>
    </row>
    <row r="55" spans="2:15" s="252" customFormat="1" ht="15">
      <c r="B55" s="265" t="s">
        <v>121</v>
      </c>
      <c r="C55" s="253"/>
      <c r="D55" s="254" t="s">
        <v>63</v>
      </c>
      <c r="E55" s="255"/>
      <c r="F55" s="270">
        <v>0</v>
      </c>
      <c r="G55" s="485">
        <f>G53</f>
        <v>157.425</v>
      </c>
      <c r="H55" s="258">
        <f t="shared" si="12"/>
        <v>0</v>
      </c>
      <c r="I55" s="259"/>
      <c r="J55" s="471">
        <v>0.0011</v>
      </c>
      <c r="K55" s="486">
        <f>G53</f>
        <v>157.425</v>
      </c>
      <c r="L55" s="258">
        <f t="shared" si="13"/>
        <v>0.17316750000000003</v>
      </c>
      <c r="M55" s="259"/>
      <c r="N55" s="261">
        <f t="shared" si="10"/>
        <v>0.17316750000000003</v>
      </c>
      <c r="O55" s="262">
        <f t="shared" si="11"/>
      </c>
    </row>
    <row r="56" spans="2:15" s="252" customFormat="1" ht="15">
      <c r="B56" s="253" t="s">
        <v>35</v>
      </c>
      <c r="C56" s="253"/>
      <c r="D56" s="254" t="s">
        <v>62</v>
      </c>
      <c r="E56" s="255"/>
      <c r="F56" s="256">
        <v>0.25</v>
      </c>
      <c r="G56" s="257">
        <v>1</v>
      </c>
      <c r="H56" s="258">
        <f t="shared" si="12"/>
        <v>0.25</v>
      </c>
      <c r="I56" s="259"/>
      <c r="J56" s="264">
        <v>0.25</v>
      </c>
      <c r="K56" s="260">
        <v>1</v>
      </c>
      <c r="L56" s="258">
        <f t="shared" si="13"/>
        <v>0.25</v>
      </c>
      <c r="M56" s="259"/>
      <c r="N56" s="261">
        <f t="shared" si="10"/>
        <v>0</v>
      </c>
      <c r="O56" s="262">
        <f t="shared" si="11"/>
        <v>0</v>
      </c>
    </row>
    <row r="57" spans="2:15" s="252" customFormat="1" ht="15">
      <c r="B57" s="253" t="s">
        <v>36</v>
      </c>
      <c r="C57" s="253"/>
      <c r="D57" s="254" t="s">
        <v>63</v>
      </c>
      <c r="E57" s="255"/>
      <c r="F57" s="270">
        <v>0.007</v>
      </c>
      <c r="G57" s="302">
        <f>F18</f>
        <v>150</v>
      </c>
      <c r="H57" s="258">
        <f t="shared" si="12"/>
        <v>1.05</v>
      </c>
      <c r="I57" s="259"/>
      <c r="J57" s="267">
        <f>0.007</f>
        <v>0.007</v>
      </c>
      <c r="K57" s="303">
        <f>F18</f>
        <v>150</v>
      </c>
      <c r="L57" s="258">
        <f t="shared" si="13"/>
        <v>1.05</v>
      </c>
      <c r="M57" s="259"/>
      <c r="N57" s="261">
        <f t="shared" si="10"/>
        <v>0</v>
      </c>
      <c r="O57" s="262">
        <f t="shared" si="11"/>
        <v>0</v>
      </c>
    </row>
    <row r="58" spans="2:19" s="252" customFormat="1" ht="15.75" thickBot="1">
      <c r="B58" s="384" t="s">
        <v>74</v>
      </c>
      <c r="C58" s="253"/>
      <c r="D58" s="254" t="s">
        <v>63</v>
      </c>
      <c r="E58" s="255"/>
      <c r="F58" s="270">
        <v>0.1</v>
      </c>
      <c r="G58" s="302">
        <f>F18</f>
        <v>150</v>
      </c>
      <c r="H58" s="258">
        <f t="shared" si="12"/>
        <v>15</v>
      </c>
      <c r="I58" s="259"/>
      <c r="J58" s="270">
        <f>F58</f>
        <v>0.1</v>
      </c>
      <c r="K58" s="302">
        <f>F18</f>
        <v>150</v>
      </c>
      <c r="L58" s="258">
        <f t="shared" si="13"/>
        <v>15</v>
      </c>
      <c r="M58" s="259"/>
      <c r="N58" s="261">
        <f t="shared" si="10"/>
        <v>0</v>
      </c>
      <c r="O58" s="262">
        <f t="shared" si="11"/>
        <v>0</v>
      </c>
      <c r="S58" s="304"/>
    </row>
    <row r="59" spans="2:19" s="252" customFormat="1" ht="15" hidden="1">
      <c r="B59" s="384" t="s">
        <v>38</v>
      </c>
      <c r="C59" s="253"/>
      <c r="D59" s="254"/>
      <c r="E59" s="255"/>
      <c r="F59" s="289">
        <v>0.104</v>
      </c>
      <c r="G59" s="302">
        <v>0</v>
      </c>
      <c r="H59" s="258">
        <f t="shared" si="12"/>
        <v>0</v>
      </c>
      <c r="I59" s="259"/>
      <c r="J59" s="270">
        <v>0.104</v>
      </c>
      <c r="K59" s="302">
        <v>0</v>
      </c>
      <c r="L59" s="258">
        <f t="shared" si="13"/>
        <v>0</v>
      </c>
      <c r="M59" s="259"/>
      <c r="N59" s="272">
        <f t="shared" si="10"/>
        <v>0</v>
      </c>
      <c r="O59" s="262">
        <f t="shared" si="11"/>
      </c>
      <c r="S59" s="304"/>
    </row>
    <row r="60" spans="2:19" s="252" customFormat="1" ht="15" hidden="1">
      <c r="B60" s="373" t="s">
        <v>39</v>
      </c>
      <c r="C60" s="253"/>
      <c r="D60" s="254"/>
      <c r="E60" s="255"/>
      <c r="F60" s="289">
        <v>0.124</v>
      </c>
      <c r="G60" s="302">
        <v>0</v>
      </c>
      <c r="H60" s="258">
        <f t="shared" si="12"/>
        <v>0</v>
      </c>
      <c r="I60" s="259"/>
      <c r="J60" s="270">
        <v>0.124</v>
      </c>
      <c r="K60" s="302">
        <v>0</v>
      </c>
      <c r="L60" s="258">
        <f t="shared" si="13"/>
        <v>0</v>
      </c>
      <c r="M60" s="259"/>
      <c r="N60" s="272">
        <f t="shared" si="10"/>
        <v>0</v>
      </c>
      <c r="O60" s="262">
        <f t="shared" si="11"/>
      </c>
      <c r="S60" s="304"/>
    </row>
    <row r="61" spans="2:15" s="390" customFormat="1" ht="15" hidden="1">
      <c r="B61" s="451" t="s">
        <v>40</v>
      </c>
      <c r="C61" s="387"/>
      <c r="D61" s="388"/>
      <c r="E61" s="389"/>
      <c r="F61" s="289">
        <v>0.075</v>
      </c>
      <c r="G61" s="305">
        <f>IF(AND($T$1=1,F18&gt;=600),600,IF(AND($T$1=1,AND(F18&lt;600,F18&gt;=0)),F18,IF(AND($T$1=2,F18&gt;=1000),1000,IF(AND($T$1=2,AND(F18&lt;1000,F18&gt;=0)),F18))))</f>
        <v>150</v>
      </c>
      <c r="H61" s="258">
        <f>G61*F61</f>
        <v>11.25</v>
      </c>
      <c r="I61" s="306"/>
      <c r="J61" s="270">
        <v>0.075</v>
      </c>
      <c r="K61" s="305">
        <f>G61</f>
        <v>150</v>
      </c>
      <c r="L61" s="258">
        <f>K61*J61</f>
        <v>11.25</v>
      </c>
      <c r="M61" s="306"/>
      <c r="N61" s="428">
        <f t="shared" si="10"/>
        <v>0</v>
      </c>
      <c r="O61" s="262">
        <f t="shared" si="11"/>
        <v>0</v>
      </c>
    </row>
    <row r="62" spans="2:15" s="390" customFormat="1" ht="15.75" hidden="1" thickBot="1">
      <c r="B62" s="451" t="s">
        <v>41</v>
      </c>
      <c r="C62" s="387"/>
      <c r="D62" s="388"/>
      <c r="E62" s="389"/>
      <c r="F62" s="289">
        <v>0.088</v>
      </c>
      <c r="G62" s="305">
        <f>IF(AND($T$1=1,F18&gt;=600),F18-600,IF(AND($T$1=1,AND(F18&lt;600,F18&gt;=0)),0,IF(AND($T$1=2,F18&gt;=1000),F18-1000,IF(AND($T$1=2,AND(F18&lt;1000,F18&gt;=0)),0))))</f>
        <v>0</v>
      </c>
      <c r="H62" s="258">
        <f>G62*F62</f>
        <v>0</v>
      </c>
      <c r="I62" s="306"/>
      <c r="J62" s="270">
        <v>0.088</v>
      </c>
      <c r="K62" s="305">
        <f>G62</f>
        <v>0</v>
      </c>
      <c r="L62" s="258">
        <f>K62*J62</f>
        <v>0</v>
      </c>
      <c r="M62" s="306"/>
      <c r="N62" s="428">
        <f t="shared" si="10"/>
        <v>0</v>
      </c>
      <c r="O62" s="262">
        <f t="shared" si="11"/>
      </c>
    </row>
    <row r="63" spans="2:15" s="252" customFormat="1" ht="8.25" customHeight="1" thickBot="1">
      <c r="B63" s="391"/>
      <c r="C63" s="307"/>
      <c r="D63" s="308"/>
      <c r="E63" s="307"/>
      <c r="F63" s="309"/>
      <c r="G63" s="310"/>
      <c r="H63" s="311"/>
      <c r="I63" s="312"/>
      <c r="J63" s="309"/>
      <c r="K63" s="313"/>
      <c r="L63" s="311"/>
      <c r="M63" s="312"/>
      <c r="N63" s="314"/>
      <c r="O63" s="315"/>
    </row>
    <row r="64" spans="2:19" s="252" customFormat="1" ht="15" hidden="1">
      <c r="B64" s="392" t="s">
        <v>42</v>
      </c>
      <c r="C64" s="253"/>
      <c r="D64" s="253"/>
      <c r="E64" s="253"/>
      <c r="F64" s="316"/>
      <c r="G64" s="317"/>
      <c r="H64" s="318">
        <f>SUM(H53:H60,H52)</f>
        <v>66.1143428</v>
      </c>
      <c r="I64" s="319"/>
      <c r="J64" s="320"/>
      <c r="K64" s="320"/>
      <c r="L64" s="318">
        <f>SUM(L53:L60,L52)</f>
        <v>68.17739935</v>
      </c>
      <c r="M64" s="322"/>
      <c r="N64" s="445">
        <f>L64-H64</f>
        <v>2.063056549999999</v>
      </c>
      <c r="O64" s="393">
        <f>IF((H64)=0,"",(N64/H64))</f>
        <v>0.031204372041341667</v>
      </c>
      <c r="S64" s="304"/>
    </row>
    <row r="65" spans="2:19" s="252" customFormat="1" ht="15" hidden="1">
      <c r="B65" s="394" t="s">
        <v>43</v>
      </c>
      <c r="C65" s="253"/>
      <c r="D65" s="253"/>
      <c r="E65" s="253"/>
      <c r="F65" s="324">
        <v>0.13</v>
      </c>
      <c r="G65" s="325"/>
      <c r="H65" s="326">
        <f>H64*F65</f>
        <v>8.594864564</v>
      </c>
      <c r="I65" s="327"/>
      <c r="J65" s="328">
        <v>0.13</v>
      </c>
      <c r="K65" s="327"/>
      <c r="L65" s="329">
        <f>L64*J65</f>
        <v>8.863061915500001</v>
      </c>
      <c r="M65" s="330"/>
      <c r="N65" s="446">
        <f t="shared" si="10"/>
        <v>0.26819735150000135</v>
      </c>
      <c r="O65" s="395">
        <f t="shared" si="11"/>
        <v>0.031204372041341844</v>
      </c>
      <c r="S65" s="304"/>
    </row>
    <row r="66" spans="2:19" s="252" customFormat="1" ht="15" hidden="1">
      <c r="B66" s="396" t="s">
        <v>127</v>
      </c>
      <c r="C66" s="253"/>
      <c r="D66" s="253"/>
      <c r="E66" s="253"/>
      <c r="F66" s="331"/>
      <c r="G66" s="325"/>
      <c r="H66" s="326">
        <f>H64+H65</f>
        <v>74.70920736400001</v>
      </c>
      <c r="I66" s="327"/>
      <c r="J66" s="327"/>
      <c r="K66" s="327"/>
      <c r="L66" s="329">
        <f>L64+L65</f>
        <v>77.0404612655</v>
      </c>
      <c r="M66" s="330"/>
      <c r="N66" s="446">
        <f t="shared" si="10"/>
        <v>2.3312539014999913</v>
      </c>
      <c r="O66" s="395">
        <f t="shared" si="11"/>
        <v>0.031204372041341567</v>
      </c>
      <c r="S66" s="304"/>
    </row>
    <row r="67" spans="2:15" s="252" customFormat="1" ht="15.75" customHeight="1" hidden="1">
      <c r="B67" s="554" t="s">
        <v>128</v>
      </c>
      <c r="C67" s="554"/>
      <c r="D67" s="554"/>
      <c r="E67" s="253"/>
      <c r="F67" s="331"/>
      <c r="G67" s="325"/>
      <c r="H67" s="452">
        <f>ROUND(-H66*10%,2)</f>
        <v>-7.47</v>
      </c>
      <c r="I67" s="327"/>
      <c r="J67" s="327"/>
      <c r="K67" s="327"/>
      <c r="L67" s="453">
        <f>ROUND(-L66*10%,2)</f>
        <v>-7.7</v>
      </c>
      <c r="M67" s="330"/>
      <c r="N67" s="432">
        <f t="shared" si="10"/>
        <v>-0.23000000000000043</v>
      </c>
      <c r="O67" s="397">
        <f t="shared" si="11"/>
        <v>0.03078982597054892</v>
      </c>
    </row>
    <row r="68" spans="2:15" s="252" customFormat="1" ht="15" hidden="1">
      <c r="B68" s="555" t="s">
        <v>46</v>
      </c>
      <c r="C68" s="555"/>
      <c r="D68" s="555"/>
      <c r="E68" s="334"/>
      <c r="F68" s="335"/>
      <c r="G68" s="336"/>
      <c r="H68" s="337">
        <f>H66+H67</f>
        <v>67.23920736400001</v>
      </c>
      <c r="I68" s="338"/>
      <c r="J68" s="338"/>
      <c r="K68" s="338"/>
      <c r="L68" s="339">
        <f>L66+L67</f>
        <v>69.3404612655</v>
      </c>
      <c r="M68" s="340"/>
      <c r="N68" s="447">
        <f t="shared" si="10"/>
        <v>2.1012539014999874</v>
      </c>
      <c r="O68" s="398">
        <f t="shared" si="11"/>
        <v>0.03125042640858081</v>
      </c>
    </row>
    <row r="69" spans="2:15" s="390" customFormat="1" ht="8.25" customHeight="1" hidden="1">
      <c r="B69" s="399"/>
      <c r="C69" s="400"/>
      <c r="D69" s="401"/>
      <c r="E69" s="400"/>
      <c r="F69" s="309"/>
      <c r="G69" s="342"/>
      <c r="H69" s="311"/>
      <c r="I69" s="343"/>
      <c r="J69" s="309"/>
      <c r="K69" s="344"/>
      <c r="L69" s="311"/>
      <c r="M69" s="343"/>
      <c r="N69" s="345"/>
      <c r="O69" s="315"/>
    </row>
    <row r="70" spans="2:15" s="390" customFormat="1" ht="15">
      <c r="B70" s="402" t="s">
        <v>47</v>
      </c>
      <c r="C70" s="387"/>
      <c r="D70" s="387"/>
      <c r="E70" s="387"/>
      <c r="F70" s="346"/>
      <c r="G70" s="347"/>
      <c r="H70" s="348">
        <f>SUM(H58,H52,H53:H57)</f>
        <v>66.1143428</v>
      </c>
      <c r="I70" s="349"/>
      <c r="J70" s="350"/>
      <c r="K70" s="350"/>
      <c r="L70" s="351">
        <f>SUM(L58,L52,L53:L57)</f>
        <v>68.17739935</v>
      </c>
      <c r="M70" s="352"/>
      <c r="N70" s="261">
        <f>L70-H70</f>
        <v>2.063056549999999</v>
      </c>
      <c r="O70" s="393">
        <f>IF((H70)=0,"",(N70/H70))</f>
        <v>0.031204372041341667</v>
      </c>
    </row>
    <row r="71" spans="2:15" s="390" customFormat="1" ht="15">
      <c r="B71" s="403" t="s">
        <v>43</v>
      </c>
      <c r="C71" s="387"/>
      <c r="D71" s="387"/>
      <c r="E71" s="387"/>
      <c r="F71" s="353">
        <v>0.13</v>
      </c>
      <c r="G71" s="347"/>
      <c r="H71" s="354">
        <f>H70*F71</f>
        <v>8.594864564</v>
      </c>
      <c r="I71" s="355"/>
      <c r="J71" s="353">
        <v>0.13</v>
      </c>
      <c r="K71" s="356"/>
      <c r="L71" s="357">
        <f>L70*J71</f>
        <v>8.863061915500001</v>
      </c>
      <c r="M71" s="358"/>
      <c r="N71" s="261">
        <f>L71-H71</f>
        <v>0.26819735150000135</v>
      </c>
      <c r="O71" s="395">
        <f>IF((H71)=0,"",(N71/H71))</f>
        <v>0.031204372041341844</v>
      </c>
    </row>
    <row r="72" spans="2:15" s="390" customFormat="1" ht="15">
      <c r="B72" s="404" t="s">
        <v>127</v>
      </c>
      <c r="C72" s="387"/>
      <c r="D72" s="387"/>
      <c r="E72" s="387"/>
      <c r="F72" s="359"/>
      <c r="G72" s="358"/>
      <c r="H72" s="354">
        <f>H70+H71</f>
        <v>74.70920736400001</v>
      </c>
      <c r="I72" s="355"/>
      <c r="J72" s="355"/>
      <c r="K72" s="355"/>
      <c r="L72" s="357">
        <f>L70+L71</f>
        <v>77.0404612655</v>
      </c>
      <c r="M72" s="358"/>
      <c r="N72" s="261">
        <f>L72-H72</f>
        <v>2.3312539014999913</v>
      </c>
      <c r="O72" s="395">
        <f>IF((H72)=0,"",(N72/H72))</f>
        <v>0.031204372041341567</v>
      </c>
    </row>
    <row r="73" spans="2:15" s="390" customFormat="1" ht="15.75" customHeight="1">
      <c r="B73" s="556" t="s">
        <v>128</v>
      </c>
      <c r="C73" s="556"/>
      <c r="D73" s="556"/>
      <c r="E73" s="387"/>
      <c r="F73" s="359"/>
      <c r="G73" s="358"/>
      <c r="H73" s="472">
        <v>0</v>
      </c>
      <c r="I73" s="355"/>
      <c r="J73" s="355"/>
      <c r="K73" s="355"/>
      <c r="L73" s="454">
        <v>0</v>
      </c>
      <c r="M73" s="358"/>
      <c r="N73" s="261">
        <f>L73-H73</f>
        <v>0</v>
      </c>
      <c r="O73" s="395">
        <f>IF((H73)=0,"",(N73/H73))</f>
      </c>
    </row>
    <row r="74" spans="2:15" s="390" customFormat="1" ht="15.75" thickBot="1">
      <c r="B74" s="547" t="s">
        <v>48</v>
      </c>
      <c r="C74" s="547"/>
      <c r="D74" s="547"/>
      <c r="E74" s="405"/>
      <c r="F74" s="362"/>
      <c r="G74" s="363"/>
      <c r="H74" s="364">
        <f>SUM(H72:H73)</f>
        <v>74.70920736400001</v>
      </c>
      <c r="I74" s="365"/>
      <c r="J74" s="365"/>
      <c r="K74" s="365"/>
      <c r="L74" s="366">
        <f>SUM(L72:L73)</f>
        <v>77.0404612655</v>
      </c>
      <c r="M74" s="367"/>
      <c r="N74" s="450">
        <f>L74-H74</f>
        <v>2.3312539014999913</v>
      </c>
      <c r="O74" s="406">
        <f>IF((H74)=0,"",(N74/H74))</f>
        <v>0.031204372041341567</v>
      </c>
    </row>
    <row r="75" spans="2:15" s="390" customFormat="1" ht="8.25" customHeight="1" thickBot="1">
      <c r="B75" s="399"/>
      <c r="C75" s="400"/>
      <c r="D75" s="401"/>
      <c r="E75" s="400"/>
      <c r="F75" s="368"/>
      <c r="G75" s="407"/>
      <c r="H75" s="369"/>
      <c r="I75" s="408"/>
      <c r="J75" s="368"/>
      <c r="K75" s="342"/>
      <c r="L75" s="370"/>
      <c r="M75" s="343"/>
      <c r="N75" s="409"/>
      <c r="O75" s="315"/>
    </row>
    <row r="76" s="252" customFormat="1" ht="10.5" customHeight="1">
      <c r="L76" s="304"/>
    </row>
    <row r="77" spans="2:10" s="252" customFormat="1" ht="15">
      <c r="B77" s="410" t="s">
        <v>49</v>
      </c>
      <c r="F77" s="371">
        <v>0.0495</v>
      </c>
      <c r="J77" s="371">
        <v>0.0495</v>
      </c>
    </row>
    <row r="78" s="252" customFormat="1" ht="10.5" customHeight="1"/>
    <row r="79" spans="2:15" s="252" customFormat="1" ht="12.75" customHeight="1">
      <c r="B79" s="470" t="s">
        <v>131</v>
      </c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</row>
    <row r="80" s="252" customFormat="1" ht="15"/>
    <row r="81" s="252" customFormat="1" ht="17.25">
      <c r="A81" s="411" t="s">
        <v>129</v>
      </c>
    </row>
    <row r="82" s="252" customFormat="1" ht="10.5" customHeight="1"/>
    <row r="83" s="252" customFormat="1" ht="15">
      <c r="A83" s="252" t="s">
        <v>51</v>
      </c>
    </row>
    <row r="84" s="252" customFormat="1" ht="15">
      <c r="A84" s="252" t="s">
        <v>52</v>
      </c>
    </row>
    <row r="85" s="252" customFormat="1" ht="15"/>
    <row r="86" s="252" customFormat="1" ht="15">
      <c r="A86" s="373" t="s">
        <v>53</v>
      </c>
    </row>
    <row r="87" s="252" customFormat="1" ht="15">
      <c r="A87" s="373" t="s">
        <v>54</v>
      </c>
    </row>
    <row r="88" s="252" customFormat="1" ht="15"/>
    <row r="89" s="252" customFormat="1" ht="15">
      <c r="A89" s="252" t="s">
        <v>55</v>
      </c>
    </row>
    <row r="90" s="252" customFormat="1" ht="15">
      <c r="A90" s="252" t="s">
        <v>56</v>
      </c>
    </row>
    <row r="91" s="252" customFormat="1" ht="15">
      <c r="A91" s="252" t="s">
        <v>57</v>
      </c>
    </row>
    <row r="92" s="252" customFormat="1" ht="15">
      <c r="A92" s="252" t="s">
        <v>58</v>
      </c>
    </row>
    <row r="93" s="252" customFormat="1" ht="15">
      <c r="A93" s="252" t="s">
        <v>59</v>
      </c>
    </row>
    <row r="94" s="252" customFormat="1" ht="15"/>
    <row r="95" spans="1:2" s="252" customFormat="1" ht="15">
      <c r="A95" s="372"/>
      <c r="B95" s="252" t="s">
        <v>60</v>
      </c>
    </row>
  </sheetData>
  <sheetProtection/>
  <mergeCells count="20">
    <mergeCell ref="N1:O1"/>
    <mergeCell ref="N2:O2"/>
    <mergeCell ref="N3:O3"/>
    <mergeCell ref="N4:O4"/>
    <mergeCell ref="N5:O5"/>
    <mergeCell ref="N7:O7"/>
    <mergeCell ref="B74:D74"/>
    <mergeCell ref="D21:D22"/>
    <mergeCell ref="N21:N22"/>
    <mergeCell ref="O21:O22"/>
    <mergeCell ref="B67:D67"/>
    <mergeCell ref="B68:D68"/>
    <mergeCell ref="B73:D73"/>
    <mergeCell ref="A3:K3"/>
    <mergeCell ref="B10:O10"/>
    <mergeCell ref="B11:O11"/>
    <mergeCell ref="D14:O14"/>
    <mergeCell ref="F20:H20"/>
    <mergeCell ref="J20:L20"/>
    <mergeCell ref="N20:O2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5 E69 E61:E62">
      <formula1>'ST (1kW)'!#REF!</formula1>
    </dataValidation>
    <dataValidation type="list" allowBlank="1" showInputMessage="1" showErrorMessage="1" prompt="Select Charge Unit - monthly, per kWh, per kW" sqref="D50:D51 D53:D63 D69 D23:D40 D75 D42:D48">
      <formula1>"Monthly, per kWh, per kW"</formula1>
    </dataValidation>
    <dataValidation type="list" allowBlank="1" showInputMessage="1" showErrorMessage="1" sqref="E50:E51 E42:E48 E63 E23:E40 E53:E60">
      <formula1>'ST (1kW)'!#REF!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.421875" style="0" customWidth="1"/>
    <col min="2" max="2" width="14.00390625" style="0" customWidth="1"/>
    <col min="4" max="4" width="12.8515625" style="0" bestFit="1" customWidth="1"/>
    <col min="5" max="5" width="12.140625" style="0" customWidth="1"/>
    <col min="6" max="6" width="7.140625" style="0" bestFit="1" customWidth="1"/>
    <col min="7" max="7" width="13.421875" style="0" bestFit="1" customWidth="1"/>
    <col min="8" max="8" width="9.00390625" style="0" customWidth="1"/>
    <col min="9" max="9" width="11.421875" style="0" customWidth="1"/>
    <col min="10" max="10" width="6.140625" style="0" bestFit="1" customWidth="1"/>
  </cols>
  <sheetData>
    <row r="1" ht="6.75" customHeight="1" thickBot="1"/>
    <row r="2" spans="2:10" ht="41.25" customHeight="1">
      <c r="B2" s="506" t="s">
        <v>94</v>
      </c>
      <c r="C2" s="507"/>
      <c r="D2" s="516" t="s">
        <v>8</v>
      </c>
      <c r="E2" s="510" t="s">
        <v>151</v>
      </c>
      <c r="F2" s="511"/>
      <c r="G2" s="510" t="s">
        <v>152</v>
      </c>
      <c r="H2" s="511"/>
      <c r="I2" s="506" t="s">
        <v>118</v>
      </c>
      <c r="J2" s="507"/>
    </row>
    <row r="3" spans="2:10" ht="15.75" thickBot="1">
      <c r="B3" s="514"/>
      <c r="C3" s="515"/>
      <c r="D3" s="517"/>
      <c r="E3" s="25" t="s">
        <v>95</v>
      </c>
      <c r="F3" s="26" t="s">
        <v>96</v>
      </c>
      <c r="G3" s="27" t="s">
        <v>95</v>
      </c>
      <c r="H3" s="28" t="s">
        <v>96</v>
      </c>
      <c r="I3" s="27" t="s">
        <v>95</v>
      </c>
      <c r="J3" s="28" t="s">
        <v>96</v>
      </c>
    </row>
    <row r="4" spans="2:10" ht="15">
      <c r="B4" s="518" t="s">
        <v>61</v>
      </c>
      <c r="C4" s="519"/>
      <c r="D4" s="29" t="s">
        <v>117</v>
      </c>
      <c r="E4" s="494">
        <f>'Res (350kWh)'!Q41</f>
        <v>2.5150000000000015</v>
      </c>
      <c r="F4" s="30">
        <f>'Res (350kWh)'!R41</f>
        <v>0.12355686563497925</v>
      </c>
      <c r="G4" s="498">
        <f>'Res (350kWh)'!N71</f>
        <v>12.142531750000003</v>
      </c>
      <c r="H4" s="499">
        <f>'Res (350kWh)'!O71</f>
        <v>0.18566988663991912</v>
      </c>
      <c r="I4" s="498">
        <f>'Res (350kWh)'!N69</f>
        <v>4.872531750000007</v>
      </c>
      <c r="J4" s="499">
        <f>'Res (350kWh)'!O69</f>
        <v>0.06705149920098713</v>
      </c>
    </row>
    <row r="5" spans="2:10" ht="15">
      <c r="B5" s="518" t="s">
        <v>61</v>
      </c>
      <c r="C5" s="519"/>
      <c r="D5" s="29" t="s">
        <v>97</v>
      </c>
      <c r="E5" s="495">
        <f>'Res (800kWh)'!Q41</f>
        <v>0.12999999999999987</v>
      </c>
      <c r="F5" s="35">
        <f>'Res (800kWh)'!R41</f>
        <v>0.00462633451957295</v>
      </c>
      <c r="G5" s="34">
        <f>'Res (800kWh)'!N71</f>
        <v>19.41634400000001</v>
      </c>
      <c r="H5" s="35">
        <f>'Res (800kWh)'!O71</f>
        <v>0.14801874904357848</v>
      </c>
      <c r="I5" s="34">
        <f>'Res (800kWh)'!N69</f>
        <v>4.846344000000016</v>
      </c>
      <c r="J5" s="35">
        <f>'Res (800kWh)'!O69</f>
        <v>0.0332522382304228</v>
      </c>
    </row>
    <row r="6" spans="2:10" ht="15.75" thickBot="1">
      <c r="B6" s="520" t="s">
        <v>68</v>
      </c>
      <c r="C6" s="521"/>
      <c r="D6" s="80" t="s">
        <v>98</v>
      </c>
      <c r="E6" s="81">
        <v>0</v>
      </c>
      <c r="F6" s="82">
        <v>0</v>
      </c>
      <c r="G6" s="81">
        <f>'GS&lt;50 (2,000kWh)'!N71</f>
        <v>59.00417899999991</v>
      </c>
      <c r="H6" s="82">
        <f>'GS&lt;50 (2,000kWh)'!O71</f>
        <v>0.19180007260568324</v>
      </c>
      <c r="I6" s="81">
        <f>'GS&lt;50 (2,000kWh)'!N69</f>
        <v>24.8241789999999</v>
      </c>
      <c r="J6" s="82">
        <f>'GS&lt;50 (2,000kWh)'!O69</f>
        <v>0.07262486575591909</v>
      </c>
    </row>
    <row r="7" spans="2:10" ht="15">
      <c r="B7" s="76"/>
      <c r="C7" s="77"/>
      <c r="D7" s="29"/>
      <c r="E7" s="496"/>
      <c r="F7" s="497"/>
      <c r="G7" s="32"/>
      <c r="H7" s="79"/>
      <c r="I7" s="32"/>
      <c r="J7" s="79"/>
    </row>
    <row r="8" spans="2:10" ht="15">
      <c r="B8" s="508" t="s">
        <v>119</v>
      </c>
      <c r="C8" s="509"/>
      <c r="D8" s="31" t="s">
        <v>99</v>
      </c>
      <c r="E8" s="34">
        <v>0</v>
      </c>
      <c r="F8" s="79">
        <v>0</v>
      </c>
      <c r="G8" s="34">
        <f>'GS 50-4999 (60kW)'!N75</f>
        <v>151.1189928599997</v>
      </c>
      <c r="H8" s="35">
        <f>'GS 50-4999 (60kW)'!O75</f>
        <v>0.04638518534168786</v>
      </c>
      <c r="I8" s="34">
        <f>'GS 50-4999 (60kW)'!N73</f>
        <v>151.1189928599997</v>
      </c>
      <c r="J8" s="35">
        <f>'GS 50-4999 (60kW)'!O73</f>
        <v>0.04638518534168786</v>
      </c>
    </row>
    <row r="9" spans="2:10" ht="15">
      <c r="B9" s="508" t="s">
        <v>114</v>
      </c>
      <c r="C9" s="509"/>
      <c r="D9" s="31" t="s">
        <v>120</v>
      </c>
      <c r="E9" s="34">
        <v>0</v>
      </c>
      <c r="F9" s="33">
        <v>0</v>
      </c>
      <c r="G9" s="34">
        <f>Sentinel!N75</f>
        <v>6.929786275000012</v>
      </c>
      <c r="H9" s="35">
        <f>Sentinel!O75</f>
        <v>0.15985502860056705</v>
      </c>
      <c r="I9" s="34">
        <f>Sentinel!N73</f>
        <v>2.109786275000012</v>
      </c>
      <c r="J9" s="35">
        <f>Sentinel!O73</f>
        <v>0.04379835749875494</v>
      </c>
    </row>
    <row r="10" spans="2:10" ht="15">
      <c r="B10" s="508" t="s">
        <v>100</v>
      </c>
      <c r="C10" s="509"/>
      <c r="D10" s="31" t="s">
        <v>101</v>
      </c>
      <c r="E10" s="34">
        <v>0</v>
      </c>
      <c r="F10" s="33">
        <v>0</v>
      </c>
      <c r="G10" s="34">
        <f>'USL (800kWh)'!N74</f>
        <v>5.635219599999971</v>
      </c>
      <c r="H10" s="35">
        <f>'USL (800kWh)'!O74</f>
        <v>0.041199886849267404</v>
      </c>
      <c r="I10" s="34">
        <f>'USL (800kWh)'!N72</f>
        <v>5.635219599999971</v>
      </c>
      <c r="J10" s="35">
        <f>'USL (800kWh)'!O72</f>
        <v>0.041199886849267404</v>
      </c>
    </row>
    <row r="11" spans="2:10" ht="15.75" thickBot="1">
      <c r="B11" s="512" t="s">
        <v>112</v>
      </c>
      <c r="C11" s="513"/>
      <c r="D11" s="36" t="s">
        <v>102</v>
      </c>
      <c r="E11" s="37">
        <v>0</v>
      </c>
      <c r="F11" s="82">
        <v>0</v>
      </c>
      <c r="G11" s="37">
        <f>'ST (1kW)'!N74</f>
        <v>2.3312539014999913</v>
      </c>
      <c r="H11" s="38">
        <f>'ST (1kW)'!O74</f>
        <v>0.031204372041341567</v>
      </c>
      <c r="I11" s="37">
        <f>'ST (1kW)'!N72</f>
        <v>2.3312539014999913</v>
      </c>
      <c r="J11" s="38">
        <f>'ST (1kW)'!O72</f>
        <v>0.031204372041341567</v>
      </c>
    </row>
  </sheetData>
  <sheetProtection/>
  <mergeCells count="12">
    <mergeCell ref="B6:C6"/>
    <mergeCell ref="B4:C4"/>
    <mergeCell ref="I2:J2"/>
    <mergeCell ref="B8:C8"/>
    <mergeCell ref="B9:C9"/>
    <mergeCell ref="B10:C10"/>
    <mergeCell ref="E2:F2"/>
    <mergeCell ref="B11:C11"/>
    <mergeCell ref="G2:H2"/>
    <mergeCell ref="B2:C3"/>
    <mergeCell ref="D2:D3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98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58.00390625" style="90" customWidth="1"/>
    <col min="3" max="3" width="1.28515625" style="8" customWidth="1"/>
    <col min="4" max="4" width="11.28125" style="8" customWidth="1"/>
    <col min="5" max="5" width="1.28515625" style="8" customWidth="1"/>
    <col min="6" max="6" width="9.7109375" style="8" bestFit="1" customWidth="1"/>
    <col min="7" max="8" width="8.00390625" style="8" bestFit="1" customWidth="1"/>
    <col min="9" max="9" width="2.8515625" style="8" customWidth="1"/>
    <col min="10" max="10" width="9.7109375" style="8" bestFit="1" customWidth="1"/>
    <col min="11" max="11" width="8.00390625" style="8" bestFit="1" customWidth="1"/>
    <col min="12" max="12" width="9.7109375" style="8" customWidth="1"/>
    <col min="13" max="13" width="2.8515625" style="8" customWidth="1"/>
    <col min="14" max="14" width="9.57421875" style="8" bestFit="1" customWidth="1"/>
    <col min="15" max="15" width="10.00390625" style="8" bestFit="1" customWidth="1"/>
    <col min="16" max="16" width="6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87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T1" s="86">
        <v>1</v>
      </c>
    </row>
    <row r="2" spans="1:15" s="2" customFormat="1" ht="15" customHeight="1" hidden="1">
      <c r="A2" s="5"/>
      <c r="B2" s="88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</row>
    <row r="3" spans="1:15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</row>
    <row r="4" spans="1:15" s="2" customFormat="1" ht="15" customHeight="1">
      <c r="A4" s="5"/>
      <c r="B4" s="88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1</v>
      </c>
      <c r="O4" s="523"/>
    </row>
    <row r="5" spans="2:15" s="2" customFormat="1" ht="15" customHeight="1">
      <c r="B5" s="89"/>
      <c r="C5" s="7"/>
      <c r="D5" s="7"/>
      <c r="E5" s="7"/>
      <c r="L5" s="3" t="s">
        <v>77</v>
      </c>
      <c r="N5" s="525" t="s">
        <v>80</v>
      </c>
      <c r="O5" s="525"/>
    </row>
    <row r="6" spans="2:15" s="2" customFormat="1" ht="9" customHeight="1">
      <c r="B6" s="89"/>
      <c r="L6" s="3"/>
      <c r="N6" s="4"/>
      <c r="O6"/>
    </row>
    <row r="7" spans="2:15" s="2" customFormat="1" ht="15">
      <c r="B7" s="89"/>
      <c r="L7" s="3" t="s">
        <v>145</v>
      </c>
      <c r="N7" s="526">
        <v>42412</v>
      </c>
      <c r="O7" s="525"/>
    </row>
    <row r="8" spans="2:16" s="2" customFormat="1" ht="15" customHeight="1">
      <c r="B8" s="89"/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148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1" t="s">
        <v>5</v>
      </c>
      <c r="D14" s="529" t="s">
        <v>61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9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1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92"/>
      <c r="D17" s="11"/>
      <c r="E17" s="11"/>
      <c r="F17" s="11"/>
      <c r="G17" s="11"/>
      <c r="H17" s="11"/>
      <c r="I17" s="11"/>
      <c r="J17" s="83"/>
      <c r="K17" s="11"/>
      <c r="L17" s="11"/>
      <c r="M17" s="11"/>
      <c r="N17" s="11"/>
      <c r="O17" s="11"/>
    </row>
    <row r="18" spans="2:7" ht="15">
      <c r="B18" s="93"/>
      <c r="D18" s="14" t="s">
        <v>8</v>
      </c>
      <c r="E18" s="14"/>
      <c r="F18" s="15">
        <v>100</v>
      </c>
      <c r="G18" s="14" t="s">
        <v>9</v>
      </c>
    </row>
    <row r="19" ht="15">
      <c r="B19" s="93"/>
    </row>
    <row r="20" spans="2:15" s="90" customFormat="1" ht="15">
      <c r="B20" s="93"/>
      <c r="D20" s="178"/>
      <c r="E20" s="178"/>
      <c r="F20" s="530" t="s">
        <v>10</v>
      </c>
      <c r="G20" s="531"/>
      <c r="H20" s="532"/>
      <c r="J20" s="530" t="s">
        <v>11</v>
      </c>
      <c r="K20" s="531"/>
      <c r="L20" s="532"/>
      <c r="N20" s="530" t="s">
        <v>12</v>
      </c>
      <c r="O20" s="532"/>
    </row>
    <row r="21" spans="2:15" s="90" customFormat="1" ht="12" customHeight="1">
      <c r="B21" s="93"/>
      <c r="D21" s="534" t="s">
        <v>13</v>
      </c>
      <c r="E21" s="177"/>
      <c r="F21" s="179" t="s">
        <v>14</v>
      </c>
      <c r="G21" s="179" t="s">
        <v>15</v>
      </c>
      <c r="H21" s="180" t="s">
        <v>16</v>
      </c>
      <c r="J21" s="179" t="s">
        <v>14</v>
      </c>
      <c r="K21" s="181" t="s">
        <v>15</v>
      </c>
      <c r="L21" s="180" t="s">
        <v>16</v>
      </c>
      <c r="N21" s="536" t="s">
        <v>17</v>
      </c>
      <c r="O21" s="538" t="s">
        <v>18</v>
      </c>
    </row>
    <row r="22" spans="2:15" s="90" customFormat="1" ht="15">
      <c r="B22" s="93"/>
      <c r="D22" s="535"/>
      <c r="E22" s="177"/>
      <c r="F22" s="182" t="s">
        <v>19</v>
      </c>
      <c r="G22" s="182"/>
      <c r="H22" s="183" t="s">
        <v>19</v>
      </c>
      <c r="J22" s="182" t="s">
        <v>19</v>
      </c>
      <c r="K22" s="183"/>
      <c r="L22" s="183" t="s">
        <v>19</v>
      </c>
      <c r="N22" s="537"/>
      <c r="O22" s="539"/>
    </row>
    <row r="23" spans="2:15" s="90" customFormat="1" ht="15">
      <c r="B23" s="94" t="s">
        <v>20</v>
      </c>
      <c r="C23" s="94"/>
      <c r="D23" s="117" t="s">
        <v>62</v>
      </c>
      <c r="E23" s="118"/>
      <c r="F23" s="119">
        <v>11.22</v>
      </c>
      <c r="G23" s="120">
        <v>1</v>
      </c>
      <c r="H23" s="121">
        <f>G23*F23</f>
        <v>11.22</v>
      </c>
      <c r="I23" s="103"/>
      <c r="J23" s="481">
        <f>11.22+4.37</f>
        <v>15.59</v>
      </c>
      <c r="K23" s="122">
        <v>1</v>
      </c>
      <c r="L23" s="121">
        <f>K23*J23</f>
        <v>15.59</v>
      </c>
      <c r="M23" s="103"/>
      <c r="N23" s="249">
        <f>L23-H23</f>
        <v>4.369999999999999</v>
      </c>
      <c r="O23" s="124">
        <f>IF((H23)=0,"",(N23/H23))</f>
        <v>0.3894830659536541</v>
      </c>
    </row>
    <row r="24" spans="2:15" s="90" customFormat="1" ht="22.5" customHeight="1" hidden="1">
      <c r="B24" s="94" t="s">
        <v>92</v>
      </c>
      <c r="C24" s="94"/>
      <c r="D24" s="117" t="s">
        <v>62</v>
      </c>
      <c r="E24" s="118"/>
      <c r="F24" s="125">
        <v>0</v>
      </c>
      <c r="G24" s="120">
        <v>1</v>
      </c>
      <c r="H24" s="121">
        <f>G24*F24</f>
        <v>0</v>
      </c>
      <c r="I24" s="103"/>
      <c r="J24" s="126">
        <v>0</v>
      </c>
      <c r="K24" s="122">
        <v>1</v>
      </c>
      <c r="L24" s="121">
        <f>K24*J24</f>
        <v>0</v>
      </c>
      <c r="M24" s="103"/>
      <c r="N24" s="249">
        <f>L24-H24</f>
        <v>0</v>
      </c>
      <c r="O24" s="124">
        <f>IF((H24)=0,"",(N24/H24))</f>
      </c>
    </row>
    <row r="25" spans="2:15" s="90" customFormat="1" ht="15" customHeight="1" hidden="1">
      <c r="B25" s="95" t="s">
        <v>111</v>
      </c>
      <c r="C25" s="94"/>
      <c r="D25" s="127" t="s">
        <v>62</v>
      </c>
      <c r="E25" s="118"/>
      <c r="F25" s="126">
        <v>0</v>
      </c>
      <c r="G25" s="120">
        <v>1</v>
      </c>
      <c r="H25" s="121">
        <f aca="true" t="shared" si="0" ref="H25:H40">G25*F25</f>
        <v>0</v>
      </c>
      <c r="I25" s="103"/>
      <c r="J25" s="128">
        <v>0</v>
      </c>
      <c r="K25" s="122">
        <v>1</v>
      </c>
      <c r="L25" s="121">
        <f>K25*J25</f>
        <v>0</v>
      </c>
      <c r="M25" s="103"/>
      <c r="N25" s="249">
        <f>L25-H25</f>
        <v>0</v>
      </c>
      <c r="O25" s="124">
        <f>IF((H25)=0,"",(N25/H25))</f>
      </c>
    </row>
    <row r="26" spans="2:15" s="90" customFormat="1" ht="30">
      <c r="B26" s="419" t="s">
        <v>64</v>
      </c>
      <c r="C26" s="94"/>
      <c r="D26" s="127" t="s">
        <v>62</v>
      </c>
      <c r="E26" s="129"/>
      <c r="F26" s="126">
        <v>1.75</v>
      </c>
      <c r="G26" s="120">
        <v>1</v>
      </c>
      <c r="H26" s="121">
        <f t="shared" si="0"/>
        <v>1.75</v>
      </c>
      <c r="I26" s="103"/>
      <c r="J26" s="126">
        <v>1.75</v>
      </c>
      <c r="K26" s="122">
        <v>1</v>
      </c>
      <c r="L26" s="121">
        <f aca="true" t="shared" si="1" ref="L26:L40">K26*J26</f>
        <v>1.75</v>
      </c>
      <c r="M26" s="103"/>
      <c r="N26" s="249">
        <f aca="true" t="shared" si="2" ref="N26:N40">L26-H26</f>
        <v>0</v>
      </c>
      <c r="O26" s="124">
        <f aca="true" t="shared" si="3" ref="O26:O41">IF((H26)=0,"",(N26/H26))</f>
        <v>0</v>
      </c>
    </row>
    <row r="27" spans="2:15" s="90" customFormat="1" ht="15" hidden="1">
      <c r="B27" s="419" t="s">
        <v>65</v>
      </c>
      <c r="C27" s="94"/>
      <c r="D27" s="117" t="s">
        <v>62</v>
      </c>
      <c r="E27" s="118"/>
      <c r="F27" s="130">
        <v>0</v>
      </c>
      <c r="G27" s="120">
        <v>1</v>
      </c>
      <c r="H27" s="121">
        <f t="shared" si="0"/>
        <v>0</v>
      </c>
      <c r="I27" s="103"/>
      <c r="J27" s="126">
        <v>0</v>
      </c>
      <c r="K27" s="122">
        <v>1</v>
      </c>
      <c r="L27" s="121">
        <f t="shared" si="1"/>
        <v>0</v>
      </c>
      <c r="M27" s="103"/>
      <c r="N27" s="249">
        <f t="shared" si="2"/>
        <v>0</v>
      </c>
      <c r="O27" s="124">
        <f t="shared" si="3"/>
      </c>
    </row>
    <row r="28" spans="2:15" s="90" customFormat="1" ht="15">
      <c r="B28" s="420" t="s">
        <v>66</v>
      </c>
      <c r="C28" s="94"/>
      <c r="D28" s="117" t="s">
        <v>62</v>
      </c>
      <c r="E28" s="118"/>
      <c r="F28" s="130">
        <v>0</v>
      </c>
      <c r="G28" s="120">
        <f>G27</f>
        <v>1</v>
      </c>
      <c r="H28" s="121">
        <f t="shared" si="0"/>
        <v>0</v>
      </c>
      <c r="I28" s="103"/>
      <c r="J28" s="477">
        <v>-0.04</v>
      </c>
      <c r="K28" s="120">
        <f>K27</f>
        <v>1</v>
      </c>
      <c r="L28" s="121">
        <f t="shared" si="1"/>
        <v>-0.04</v>
      </c>
      <c r="M28" s="103"/>
      <c r="N28" s="249">
        <f t="shared" si="2"/>
        <v>-0.04</v>
      </c>
      <c r="O28" s="124">
        <f t="shared" si="3"/>
      </c>
    </row>
    <row r="29" spans="2:15" s="90" customFormat="1" ht="15">
      <c r="B29" s="94" t="s">
        <v>110</v>
      </c>
      <c r="C29" s="94"/>
      <c r="D29" s="117" t="s">
        <v>63</v>
      </c>
      <c r="E29" s="118"/>
      <c r="F29" s="132">
        <v>0</v>
      </c>
      <c r="G29" s="120">
        <f>$F$18</f>
        <v>100</v>
      </c>
      <c r="H29" s="121">
        <f t="shared" si="0"/>
        <v>0</v>
      </c>
      <c r="I29" s="103"/>
      <c r="J29" s="479"/>
      <c r="K29" s="120">
        <f>$F$18</f>
        <v>100</v>
      </c>
      <c r="L29" s="121">
        <f t="shared" si="1"/>
        <v>0</v>
      </c>
      <c r="M29" s="103"/>
      <c r="N29" s="249">
        <f t="shared" si="2"/>
        <v>0</v>
      </c>
      <c r="O29" s="124">
        <f t="shared" si="3"/>
      </c>
    </row>
    <row r="30" spans="2:15" s="90" customFormat="1" ht="15" hidden="1">
      <c r="B30" s="97" t="s">
        <v>93</v>
      </c>
      <c r="C30" s="94"/>
      <c r="D30" s="117" t="s">
        <v>63</v>
      </c>
      <c r="E30" s="118"/>
      <c r="F30" s="130">
        <v>0</v>
      </c>
      <c r="G30" s="120">
        <f>$F$18</f>
        <v>100</v>
      </c>
      <c r="H30" s="121">
        <f t="shared" si="0"/>
        <v>0</v>
      </c>
      <c r="I30" s="103"/>
      <c r="J30" s="479">
        <v>0</v>
      </c>
      <c r="K30" s="120">
        <f>$F$18</f>
        <v>100</v>
      </c>
      <c r="L30" s="121">
        <f>K30*J30</f>
        <v>0</v>
      </c>
      <c r="M30" s="103"/>
      <c r="N30" s="249">
        <f>L30-H30</f>
        <v>0</v>
      </c>
      <c r="O30" s="124">
        <f>IF((H30)=0,"",(N30/H30))</f>
      </c>
    </row>
    <row r="31" spans="2:15" s="90" customFormat="1" ht="15">
      <c r="B31" s="94" t="s">
        <v>21</v>
      </c>
      <c r="C31" s="94"/>
      <c r="D31" s="117" t="s">
        <v>63</v>
      </c>
      <c r="E31" s="118"/>
      <c r="F31" s="130">
        <v>0.0211</v>
      </c>
      <c r="G31" s="120">
        <f>$F$18</f>
        <v>100</v>
      </c>
      <c r="H31" s="121">
        <f t="shared" si="0"/>
        <v>2.11</v>
      </c>
      <c r="I31" s="103"/>
      <c r="J31" s="482">
        <v>0.0158</v>
      </c>
      <c r="K31" s="120">
        <f>$F$18</f>
        <v>100</v>
      </c>
      <c r="L31" s="121">
        <f t="shared" si="1"/>
        <v>1.58</v>
      </c>
      <c r="M31" s="103"/>
      <c r="N31" s="249">
        <f t="shared" si="2"/>
        <v>-0.5299999999999998</v>
      </c>
      <c r="O31" s="124">
        <f t="shared" si="3"/>
        <v>-0.2511848341232227</v>
      </c>
    </row>
    <row r="32" spans="2:15" s="90" customFormat="1" ht="14.25" customHeight="1" hidden="1">
      <c r="B32" s="94" t="s">
        <v>22</v>
      </c>
      <c r="C32" s="94"/>
      <c r="D32" s="117"/>
      <c r="E32" s="118"/>
      <c r="F32" s="130"/>
      <c r="G32" s="120">
        <f>$F$18</f>
        <v>100</v>
      </c>
      <c r="H32" s="121">
        <f t="shared" si="0"/>
        <v>0</v>
      </c>
      <c r="I32" s="103"/>
      <c r="J32" s="128"/>
      <c r="K32" s="120">
        <f aca="true" t="shared" si="4" ref="K32:K40">$F$18</f>
        <v>100</v>
      </c>
      <c r="L32" s="121">
        <f t="shared" si="1"/>
        <v>0</v>
      </c>
      <c r="M32" s="103"/>
      <c r="N32" s="123">
        <f t="shared" si="2"/>
        <v>0</v>
      </c>
      <c r="O32" s="124">
        <f t="shared" si="3"/>
      </c>
    </row>
    <row r="33" spans="2:15" s="90" customFormat="1" ht="15" hidden="1">
      <c r="B33" s="94" t="s">
        <v>110</v>
      </c>
      <c r="C33" s="94"/>
      <c r="D33" s="117" t="s">
        <v>63</v>
      </c>
      <c r="E33" s="118"/>
      <c r="F33" s="130">
        <v>0</v>
      </c>
      <c r="G33" s="120">
        <f>$F$18</f>
        <v>100</v>
      </c>
      <c r="H33" s="121">
        <f t="shared" si="0"/>
        <v>0</v>
      </c>
      <c r="I33" s="103"/>
      <c r="J33" s="128">
        <v>0</v>
      </c>
      <c r="K33" s="120">
        <f t="shared" si="4"/>
        <v>100</v>
      </c>
      <c r="L33" s="121">
        <f t="shared" si="1"/>
        <v>0</v>
      </c>
      <c r="M33" s="103"/>
      <c r="N33" s="123">
        <f t="shared" si="2"/>
        <v>0</v>
      </c>
      <c r="O33" s="124">
        <f t="shared" si="3"/>
      </c>
    </row>
    <row r="34" spans="2:15" s="90" customFormat="1" ht="15" hidden="1">
      <c r="B34" s="98"/>
      <c r="C34" s="94"/>
      <c r="D34" s="117"/>
      <c r="E34" s="118"/>
      <c r="F34" s="130"/>
      <c r="G34" s="120">
        <f aca="true" t="shared" si="5" ref="G34:G40">$F$18</f>
        <v>100</v>
      </c>
      <c r="H34" s="121">
        <f t="shared" si="0"/>
        <v>0</v>
      </c>
      <c r="I34" s="103"/>
      <c r="J34" s="128"/>
      <c r="K34" s="120">
        <f t="shared" si="4"/>
        <v>100</v>
      </c>
      <c r="L34" s="121">
        <f t="shared" si="1"/>
        <v>0</v>
      </c>
      <c r="M34" s="103"/>
      <c r="N34" s="123">
        <f t="shared" si="2"/>
        <v>0</v>
      </c>
      <c r="O34" s="124">
        <f t="shared" si="3"/>
      </c>
    </row>
    <row r="35" spans="2:15" s="90" customFormat="1" ht="15" hidden="1">
      <c r="B35" s="98"/>
      <c r="C35" s="94"/>
      <c r="D35" s="117"/>
      <c r="E35" s="118"/>
      <c r="F35" s="130"/>
      <c r="G35" s="120">
        <f t="shared" si="5"/>
        <v>100</v>
      </c>
      <c r="H35" s="121">
        <f t="shared" si="0"/>
        <v>0</v>
      </c>
      <c r="I35" s="103"/>
      <c r="J35" s="128"/>
      <c r="K35" s="120">
        <f t="shared" si="4"/>
        <v>100</v>
      </c>
      <c r="L35" s="121">
        <f t="shared" si="1"/>
        <v>0</v>
      </c>
      <c r="M35" s="103"/>
      <c r="N35" s="123">
        <f t="shared" si="2"/>
        <v>0</v>
      </c>
      <c r="O35" s="124">
        <f t="shared" si="3"/>
      </c>
    </row>
    <row r="36" spans="2:15" s="90" customFormat="1" ht="15" hidden="1">
      <c r="B36" s="98"/>
      <c r="C36" s="94"/>
      <c r="D36" s="117"/>
      <c r="E36" s="118"/>
      <c r="F36" s="130"/>
      <c r="G36" s="120">
        <f t="shared" si="5"/>
        <v>100</v>
      </c>
      <c r="H36" s="121">
        <f t="shared" si="0"/>
        <v>0</v>
      </c>
      <c r="I36" s="103"/>
      <c r="J36" s="128"/>
      <c r="K36" s="120">
        <f t="shared" si="4"/>
        <v>100</v>
      </c>
      <c r="L36" s="121">
        <f t="shared" si="1"/>
        <v>0</v>
      </c>
      <c r="M36" s="103"/>
      <c r="N36" s="123">
        <f t="shared" si="2"/>
        <v>0</v>
      </c>
      <c r="O36" s="124">
        <f t="shared" si="3"/>
      </c>
    </row>
    <row r="37" spans="2:15" s="90" customFormat="1" ht="15" hidden="1">
      <c r="B37" s="98"/>
      <c r="C37" s="94"/>
      <c r="D37" s="117"/>
      <c r="E37" s="118"/>
      <c r="F37" s="130"/>
      <c r="G37" s="120">
        <f t="shared" si="5"/>
        <v>100</v>
      </c>
      <c r="H37" s="121">
        <f t="shared" si="0"/>
        <v>0</v>
      </c>
      <c r="I37" s="103"/>
      <c r="J37" s="128"/>
      <c r="K37" s="120">
        <f t="shared" si="4"/>
        <v>100</v>
      </c>
      <c r="L37" s="121">
        <f t="shared" si="1"/>
        <v>0</v>
      </c>
      <c r="M37" s="103"/>
      <c r="N37" s="123">
        <f t="shared" si="2"/>
        <v>0</v>
      </c>
      <c r="O37" s="124">
        <f t="shared" si="3"/>
      </c>
    </row>
    <row r="38" spans="2:15" s="90" customFormat="1" ht="15" hidden="1">
      <c r="B38" s="98"/>
      <c r="C38" s="94"/>
      <c r="D38" s="117"/>
      <c r="E38" s="118"/>
      <c r="F38" s="130"/>
      <c r="G38" s="120">
        <f t="shared" si="5"/>
        <v>100</v>
      </c>
      <c r="H38" s="121">
        <f t="shared" si="0"/>
        <v>0</v>
      </c>
      <c r="I38" s="103"/>
      <c r="J38" s="128"/>
      <c r="K38" s="120">
        <f t="shared" si="4"/>
        <v>100</v>
      </c>
      <c r="L38" s="121">
        <f t="shared" si="1"/>
        <v>0</v>
      </c>
      <c r="M38" s="103"/>
      <c r="N38" s="123">
        <f t="shared" si="2"/>
        <v>0</v>
      </c>
      <c r="O38" s="124">
        <f t="shared" si="3"/>
      </c>
    </row>
    <row r="39" spans="2:15" s="90" customFormat="1" ht="15" hidden="1">
      <c r="B39" s="98"/>
      <c r="C39" s="94"/>
      <c r="D39" s="117"/>
      <c r="E39" s="118"/>
      <c r="F39" s="130"/>
      <c r="G39" s="120">
        <f t="shared" si="5"/>
        <v>100</v>
      </c>
      <c r="H39" s="121">
        <f t="shared" si="0"/>
        <v>0</v>
      </c>
      <c r="I39" s="103"/>
      <c r="J39" s="128"/>
      <c r="K39" s="120">
        <f t="shared" si="4"/>
        <v>100</v>
      </c>
      <c r="L39" s="121">
        <f t="shared" si="1"/>
        <v>0</v>
      </c>
      <c r="M39" s="103"/>
      <c r="N39" s="123">
        <f t="shared" si="2"/>
        <v>0</v>
      </c>
      <c r="O39" s="124">
        <f t="shared" si="3"/>
      </c>
    </row>
    <row r="40" spans="2:15" s="90" customFormat="1" ht="15" hidden="1">
      <c r="B40" s="98"/>
      <c r="C40" s="94"/>
      <c r="D40" s="117"/>
      <c r="E40" s="118"/>
      <c r="F40" s="130"/>
      <c r="G40" s="120">
        <f t="shared" si="5"/>
        <v>100</v>
      </c>
      <c r="H40" s="121">
        <f t="shared" si="0"/>
        <v>0</v>
      </c>
      <c r="I40" s="103"/>
      <c r="J40" s="128"/>
      <c r="K40" s="120">
        <f t="shared" si="4"/>
        <v>100</v>
      </c>
      <c r="L40" s="121">
        <f t="shared" si="1"/>
        <v>0</v>
      </c>
      <c r="M40" s="103"/>
      <c r="N40" s="123">
        <f t="shared" si="2"/>
        <v>0</v>
      </c>
      <c r="O40" s="124">
        <f t="shared" si="3"/>
      </c>
    </row>
    <row r="41" spans="2:22" s="141" customFormat="1" ht="15">
      <c r="B41" s="99" t="s">
        <v>24</v>
      </c>
      <c r="C41" s="133"/>
      <c r="D41" s="134"/>
      <c r="E41" s="133"/>
      <c r="F41" s="135"/>
      <c r="G41" s="136"/>
      <c r="H41" s="137">
        <f>SUM(H23:H40)</f>
        <v>15.08</v>
      </c>
      <c r="I41" s="138"/>
      <c r="J41" s="139"/>
      <c r="K41" s="140"/>
      <c r="L41" s="137">
        <f>SUM(L23:L40)</f>
        <v>18.880000000000003</v>
      </c>
      <c r="M41" s="138"/>
      <c r="N41" s="184">
        <f>L41-H41</f>
        <v>3.8000000000000025</v>
      </c>
      <c r="O41" s="185">
        <f t="shared" si="3"/>
        <v>0.2519893899204246</v>
      </c>
      <c r="V41" s="90"/>
    </row>
    <row r="42" spans="2:15" s="90" customFormat="1" ht="15" hidden="1">
      <c r="B42" s="96"/>
      <c r="C42" s="94"/>
      <c r="D42" s="127" t="s">
        <v>62</v>
      </c>
      <c r="E42" s="118"/>
      <c r="F42" s="130"/>
      <c r="G42" s="120">
        <v>1</v>
      </c>
      <c r="H42" s="121">
        <f>G42*F42</f>
        <v>0</v>
      </c>
      <c r="I42" s="103"/>
      <c r="J42" s="126"/>
      <c r="K42" s="122">
        <v>1</v>
      </c>
      <c r="L42" s="121">
        <f>K42*J42</f>
        <v>0</v>
      </c>
      <c r="M42" s="103"/>
      <c r="N42" s="123">
        <f>L42-H42</f>
        <v>0</v>
      </c>
      <c r="O42" s="124">
        <f>IF((H42)=0,"",(N42/H42))</f>
      </c>
    </row>
    <row r="43" spans="2:15" s="90" customFormat="1" ht="15">
      <c r="B43" s="420" t="s">
        <v>25</v>
      </c>
      <c r="C43" s="94"/>
      <c r="D43" s="127" t="s">
        <v>63</v>
      </c>
      <c r="E43" s="129"/>
      <c r="F43" s="142">
        <v>-0.007</v>
      </c>
      <c r="G43" s="120">
        <f>$F$18</f>
        <v>100</v>
      </c>
      <c r="H43" s="121">
        <f aca="true" t="shared" si="6" ref="H43:H51">G43*F43</f>
        <v>-0.7000000000000001</v>
      </c>
      <c r="I43" s="103"/>
      <c r="J43" s="142">
        <v>0.0021</v>
      </c>
      <c r="K43" s="120">
        <f>$F$18</f>
        <v>100</v>
      </c>
      <c r="L43" s="121">
        <f aca="true" t="shared" si="7" ref="L43:L51">K43*J43</f>
        <v>0.21</v>
      </c>
      <c r="M43" s="103"/>
      <c r="N43" s="249">
        <f aca="true" t="shared" si="8" ref="N43:N51">L43-H43</f>
        <v>0.91</v>
      </c>
      <c r="O43" s="124">
        <f aca="true" t="shared" si="9" ref="O43:O50">IF((H43)=0,"",(N43/H43))</f>
        <v>-1.2999999999999998</v>
      </c>
    </row>
    <row r="44" spans="2:15" s="90" customFormat="1" ht="15" hidden="1">
      <c r="B44" s="97"/>
      <c r="C44" s="94"/>
      <c r="D44" s="117" t="s">
        <v>63</v>
      </c>
      <c r="E44" s="118"/>
      <c r="F44" s="130"/>
      <c r="G44" s="120">
        <f>$F$18</f>
        <v>100</v>
      </c>
      <c r="H44" s="121">
        <f t="shared" si="6"/>
        <v>0</v>
      </c>
      <c r="I44" s="143"/>
      <c r="J44" s="128"/>
      <c r="K44" s="120">
        <f>$F$18</f>
        <v>100</v>
      </c>
      <c r="L44" s="121">
        <f t="shared" si="7"/>
        <v>0</v>
      </c>
      <c r="M44" s="144"/>
      <c r="N44" s="249">
        <f t="shared" si="8"/>
        <v>0</v>
      </c>
      <c r="O44" s="124">
        <f t="shared" si="9"/>
      </c>
    </row>
    <row r="45" spans="2:15" s="90" customFormat="1" ht="15" hidden="1">
      <c r="B45" s="97"/>
      <c r="C45" s="94"/>
      <c r="D45" s="117" t="s">
        <v>63</v>
      </c>
      <c r="E45" s="118"/>
      <c r="F45" s="130"/>
      <c r="G45" s="120">
        <f>$F$18</f>
        <v>100</v>
      </c>
      <c r="H45" s="121">
        <f t="shared" si="6"/>
        <v>0</v>
      </c>
      <c r="I45" s="143"/>
      <c r="J45" s="128"/>
      <c r="K45" s="120">
        <f>$F$18</f>
        <v>100</v>
      </c>
      <c r="L45" s="121">
        <f t="shared" si="7"/>
        <v>0</v>
      </c>
      <c r="M45" s="144"/>
      <c r="N45" s="249">
        <f t="shared" si="8"/>
        <v>0</v>
      </c>
      <c r="O45" s="124">
        <f t="shared" si="9"/>
      </c>
    </row>
    <row r="46" spans="2:15" s="90" customFormat="1" ht="15" hidden="1">
      <c r="B46" s="97"/>
      <c r="C46" s="94"/>
      <c r="D46" s="117"/>
      <c r="E46" s="118"/>
      <c r="F46" s="130"/>
      <c r="G46" s="120">
        <f>$F$18</f>
        <v>100</v>
      </c>
      <c r="H46" s="121">
        <f t="shared" si="6"/>
        <v>0</v>
      </c>
      <c r="I46" s="143"/>
      <c r="J46" s="128"/>
      <c r="K46" s="120">
        <f>$F$18</f>
        <v>100</v>
      </c>
      <c r="L46" s="121">
        <f t="shared" si="7"/>
        <v>0</v>
      </c>
      <c r="M46" s="144"/>
      <c r="N46" s="249">
        <f t="shared" si="8"/>
        <v>0</v>
      </c>
      <c r="O46" s="124">
        <f t="shared" si="9"/>
      </c>
    </row>
    <row r="47" spans="2:15" s="90" customFormat="1" ht="15" hidden="1">
      <c r="B47" s="97"/>
      <c r="C47" s="94"/>
      <c r="D47" s="117" t="s">
        <v>62</v>
      </c>
      <c r="E47" s="118"/>
      <c r="F47" s="130">
        <v>0</v>
      </c>
      <c r="G47" s="120">
        <v>0</v>
      </c>
      <c r="H47" s="121">
        <f t="shared" si="6"/>
        <v>0</v>
      </c>
      <c r="I47" s="103"/>
      <c r="J47" s="131"/>
      <c r="K47" s="120">
        <v>1</v>
      </c>
      <c r="L47" s="121">
        <f t="shared" si="7"/>
        <v>0</v>
      </c>
      <c r="M47" s="103"/>
      <c r="N47" s="249">
        <f t="shared" si="8"/>
        <v>0</v>
      </c>
      <c r="O47" s="124">
        <f t="shared" si="9"/>
      </c>
    </row>
    <row r="48" spans="2:15" s="90" customFormat="1" ht="15" hidden="1">
      <c r="B48" s="94"/>
      <c r="C48" s="94"/>
      <c r="D48" s="117" t="s">
        <v>63</v>
      </c>
      <c r="E48" s="118"/>
      <c r="F48" s="130">
        <v>0</v>
      </c>
      <c r="G48" s="120">
        <f>$F$18</f>
        <v>100</v>
      </c>
      <c r="H48" s="121">
        <f t="shared" si="6"/>
        <v>0</v>
      </c>
      <c r="I48" s="103"/>
      <c r="J48" s="128"/>
      <c r="K48" s="120">
        <f>$F$18</f>
        <v>100</v>
      </c>
      <c r="L48" s="121">
        <f t="shared" si="7"/>
        <v>0</v>
      </c>
      <c r="M48" s="103"/>
      <c r="N48" s="249">
        <f t="shared" si="8"/>
        <v>0</v>
      </c>
      <c r="O48" s="124">
        <f t="shared" si="9"/>
      </c>
    </row>
    <row r="49" spans="2:15" s="90" customFormat="1" ht="15">
      <c r="B49" s="100" t="s">
        <v>26</v>
      </c>
      <c r="C49" s="94"/>
      <c r="D49" s="117" t="s">
        <v>63</v>
      </c>
      <c r="E49" s="118"/>
      <c r="F49" s="130">
        <v>0.0024</v>
      </c>
      <c r="G49" s="120">
        <f>$F$18</f>
        <v>100</v>
      </c>
      <c r="H49" s="121">
        <f t="shared" si="6"/>
        <v>0.24</v>
      </c>
      <c r="I49" s="103"/>
      <c r="J49" s="128">
        <v>0.0024</v>
      </c>
      <c r="K49" s="120">
        <f>$F$18</f>
        <v>100</v>
      </c>
      <c r="L49" s="121">
        <f t="shared" si="7"/>
        <v>0.24</v>
      </c>
      <c r="M49" s="103"/>
      <c r="N49" s="249">
        <f t="shared" si="8"/>
        <v>0</v>
      </c>
      <c r="O49" s="124">
        <f t="shared" si="9"/>
        <v>0</v>
      </c>
    </row>
    <row r="50" spans="2:15" s="141" customFormat="1" ht="15">
      <c r="B50" s="101" t="s">
        <v>27</v>
      </c>
      <c r="C50" s="118"/>
      <c r="D50" s="117" t="s">
        <v>63</v>
      </c>
      <c r="E50" s="118"/>
      <c r="F50" s="146">
        <f>IF(ISBLANK(D16)=TRUE,0,IF(D16="TOU",0.64*$F$61+0.18*$F$62+0.18*$F$63,IF(AND(D16="non-TOU",G65&gt;0),F65,F64)))</f>
        <v>0.10214000000000001</v>
      </c>
      <c r="G50" s="120">
        <f>$F$18*(1+$F$80)-$F$18</f>
        <v>4.950000000000017</v>
      </c>
      <c r="H50" s="147">
        <f t="shared" si="6"/>
        <v>0.5055930000000017</v>
      </c>
      <c r="I50" s="129"/>
      <c r="J50" s="145">
        <f>0.64*$F$61+0.18*$F$62+0.18*$F$63</f>
        <v>0.10214000000000001</v>
      </c>
      <c r="K50" s="120">
        <f>$F$18*(1+$J$80)-$F$18</f>
        <v>4.950000000000017</v>
      </c>
      <c r="L50" s="147">
        <f t="shared" si="7"/>
        <v>0.5055930000000017</v>
      </c>
      <c r="M50" s="129"/>
      <c r="N50" s="249">
        <f t="shared" si="8"/>
        <v>0</v>
      </c>
      <c r="O50" s="148">
        <f t="shared" si="9"/>
        <v>0</v>
      </c>
    </row>
    <row r="51" spans="2:15" s="90" customFormat="1" ht="15">
      <c r="B51" s="100" t="s">
        <v>28</v>
      </c>
      <c r="C51" s="94"/>
      <c r="D51" s="117" t="s">
        <v>62</v>
      </c>
      <c r="E51" s="118"/>
      <c r="F51" s="119">
        <v>0.79</v>
      </c>
      <c r="G51" s="120">
        <v>1</v>
      </c>
      <c r="H51" s="121">
        <f t="shared" si="6"/>
        <v>0.79</v>
      </c>
      <c r="I51" s="103"/>
      <c r="J51" s="119">
        <v>0.79</v>
      </c>
      <c r="K51" s="120">
        <v>1</v>
      </c>
      <c r="L51" s="121">
        <f t="shared" si="7"/>
        <v>0.79</v>
      </c>
      <c r="M51" s="103"/>
      <c r="N51" s="249">
        <f t="shared" si="8"/>
        <v>0</v>
      </c>
      <c r="O51" s="124"/>
    </row>
    <row r="52" spans="2:15" s="90" customFormat="1" ht="15">
      <c r="B52" s="102" t="s">
        <v>29</v>
      </c>
      <c r="C52" s="149"/>
      <c r="D52" s="149"/>
      <c r="E52" s="149"/>
      <c r="F52" s="150"/>
      <c r="G52" s="151"/>
      <c r="H52" s="186">
        <f>SUM(H42:H51)+H41</f>
        <v>15.915593000000001</v>
      </c>
      <c r="I52" s="138"/>
      <c r="J52" s="151"/>
      <c r="K52" s="152"/>
      <c r="L52" s="186">
        <f>SUM(L42:L51)+L41</f>
        <v>20.625593000000006</v>
      </c>
      <c r="M52" s="138"/>
      <c r="N52" s="184">
        <f aca="true" t="shared" si="10" ref="N52:N71">L52-H52</f>
        <v>4.710000000000004</v>
      </c>
      <c r="O52" s="185">
        <f aca="true" t="shared" si="11" ref="O52:O71">IF((H52)=0,"",(N52/H52))</f>
        <v>0.2959361928895772</v>
      </c>
    </row>
    <row r="53" spans="2:15" s="90" customFormat="1" ht="15">
      <c r="B53" s="103" t="s">
        <v>30</v>
      </c>
      <c r="C53" s="103"/>
      <c r="D53" s="127" t="s">
        <v>63</v>
      </c>
      <c r="E53" s="129"/>
      <c r="F53" s="128">
        <v>0.0048</v>
      </c>
      <c r="G53" s="483">
        <f>F18*(1+F80)</f>
        <v>104.95000000000002</v>
      </c>
      <c r="H53" s="121">
        <f>G53*F53</f>
        <v>0.50376</v>
      </c>
      <c r="I53" s="103"/>
      <c r="J53" s="128">
        <v>0.0064</v>
      </c>
      <c r="K53" s="484">
        <f>F18*(1+J80)</f>
        <v>104.95000000000002</v>
      </c>
      <c r="L53" s="121">
        <f>K53*J53</f>
        <v>0.6716800000000002</v>
      </c>
      <c r="M53" s="103"/>
      <c r="N53" s="249">
        <f t="shared" si="10"/>
        <v>0.16792000000000018</v>
      </c>
      <c r="O53" s="124">
        <f t="shared" si="11"/>
        <v>0.3333333333333337</v>
      </c>
    </row>
    <row r="54" spans="2:15" s="90" customFormat="1" ht="15">
      <c r="B54" s="104" t="s">
        <v>31</v>
      </c>
      <c r="C54" s="103"/>
      <c r="D54" s="127" t="s">
        <v>63</v>
      </c>
      <c r="E54" s="129"/>
      <c r="F54" s="128">
        <v>0.0019</v>
      </c>
      <c r="G54" s="483">
        <f>G53</f>
        <v>104.95000000000002</v>
      </c>
      <c r="H54" s="121">
        <f>G54*F54</f>
        <v>0.19940500000000003</v>
      </c>
      <c r="I54" s="103"/>
      <c r="J54" s="128">
        <v>0.003</v>
      </c>
      <c r="K54" s="484">
        <f>K53</f>
        <v>104.95000000000002</v>
      </c>
      <c r="L54" s="121">
        <f>K54*J54</f>
        <v>0.3148500000000001</v>
      </c>
      <c r="M54" s="103"/>
      <c r="N54" s="249">
        <f t="shared" si="10"/>
        <v>0.11544500000000005</v>
      </c>
      <c r="O54" s="124">
        <f t="shared" si="11"/>
        <v>0.5789473684210528</v>
      </c>
    </row>
    <row r="55" spans="2:15" s="90" customFormat="1" ht="15">
      <c r="B55" s="102" t="s">
        <v>32</v>
      </c>
      <c r="C55" s="133"/>
      <c r="D55" s="133"/>
      <c r="E55" s="133"/>
      <c r="F55" s="153"/>
      <c r="G55" s="151"/>
      <c r="H55" s="186">
        <f>SUM(H52:H54)</f>
        <v>16.618758</v>
      </c>
      <c r="I55" s="187"/>
      <c r="J55" s="188"/>
      <c r="K55" s="189"/>
      <c r="L55" s="186">
        <f>SUM(L52:L54)</f>
        <v>21.612123000000004</v>
      </c>
      <c r="M55" s="187"/>
      <c r="N55" s="184">
        <f t="shared" si="10"/>
        <v>4.993365000000004</v>
      </c>
      <c r="O55" s="185">
        <f t="shared" si="11"/>
        <v>0.30046559436030085</v>
      </c>
    </row>
    <row r="56" spans="2:15" s="90" customFormat="1" ht="15">
      <c r="B56" s="95" t="s">
        <v>33</v>
      </c>
      <c r="C56" s="94"/>
      <c r="D56" s="117" t="s">
        <v>63</v>
      </c>
      <c r="E56" s="118"/>
      <c r="F56" s="130">
        <v>0.0044</v>
      </c>
      <c r="G56" s="483">
        <f>G54</f>
        <v>104.95000000000002</v>
      </c>
      <c r="H56" s="121">
        <f aca="true" t="shared" si="12" ref="H56:H63">G56*F56</f>
        <v>0.4617800000000001</v>
      </c>
      <c r="I56" s="103"/>
      <c r="J56" s="479">
        <v>0.0036</v>
      </c>
      <c r="K56" s="484">
        <f>K54</f>
        <v>104.95000000000002</v>
      </c>
      <c r="L56" s="121">
        <f aca="true" t="shared" si="13" ref="L56:L63">K56*J56</f>
        <v>0.37782000000000004</v>
      </c>
      <c r="M56" s="103"/>
      <c r="N56" s="249">
        <f t="shared" si="10"/>
        <v>-0.08396000000000003</v>
      </c>
      <c r="O56" s="124">
        <f t="shared" si="11"/>
        <v>-0.18181818181818185</v>
      </c>
    </row>
    <row r="57" spans="2:15" s="90" customFormat="1" ht="15">
      <c r="B57" s="95" t="s">
        <v>34</v>
      </c>
      <c r="C57" s="94"/>
      <c r="D57" s="117" t="s">
        <v>63</v>
      </c>
      <c r="E57" s="118"/>
      <c r="F57" s="130">
        <v>0.0013</v>
      </c>
      <c r="G57" s="483">
        <f>G54</f>
        <v>104.95000000000002</v>
      </c>
      <c r="H57" s="121">
        <f t="shared" si="12"/>
        <v>0.13643500000000003</v>
      </c>
      <c r="I57" s="103"/>
      <c r="J57" s="128">
        <v>0.0013</v>
      </c>
      <c r="K57" s="484">
        <f>K54</f>
        <v>104.95000000000002</v>
      </c>
      <c r="L57" s="121">
        <f t="shared" si="13"/>
        <v>0.13643500000000003</v>
      </c>
      <c r="M57" s="103"/>
      <c r="N57" s="249">
        <f t="shared" si="10"/>
        <v>0</v>
      </c>
      <c r="O57" s="124">
        <f t="shared" si="11"/>
        <v>0</v>
      </c>
    </row>
    <row r="58" spans="2:15" s="90" customFormat="1" ht="15">
      <c r="B58" s="95" t="s">
        <v>121</v>
      </c>
      <c r="C58" s="94"/>
      <c r="D58" s="117" t="s">
        <v>63</v>
      </c>
      <c r="E58" s="118"/>
      <c r="F58" s="130">
        <v>0</v>
      </c>
      <c r="G58" s="483">
        <f>G54</f>
        <v>104.95000000000002</v>
      </c>
      <c r="H58" s="121">
        <f t="shared" si="12"/>
        <v>0</v>
      </c>
      <c r="I58" s="103"/>
      <c r="J58" s="479">
        <v>0.0011</v>
      </c>
      <c r="K58" s="484">
        <f>K54</f>
        <v>104.95000000000002</v>
      </c>
      <c r="L58" s="121">
        <f t="shared" si="13"/>
        <v>0.11544500000000002</v>
      </c>
      <c r="M58" s="103"/>
      <c r="N58" s="249">
        <f>L58-H58</f>
        <v>0.11544500000000002</v>
      </c>
      <c r="O58" s="124">
        <f t="shared" si="11"/>
      </c>
    </row>
    <row r="59" spans="2:15" s="90" customFormat="1" ht="18" customHeight="1">
      <c r="B59" s="94" t="s">
        <v>35</v>
      </c>
      <c r="C59" s="94"/>
      <c r="D59" s="117" t="s">
        <v>62</v>
      </c>
      <c r="E59" s="118"/>
      <c r="F59" s="119">
        <v>0.25</v>
      </c>
      <c r="G59" s="120">
        <v>1</v>
      </c>
      <c r="H59" s="121">
        <f t="shared" si="12"/>
        <v>0.25</v>
      </c>
      <c r="I59" s="103"/>
      <c r="J59" s="126">
        <v>0.25</v>
      </c>
      <c r="K59" s="122">
        <v>1</v>
      </c>
      <c r="L59" s="121">
        <f t="shared" si="13"/>
        <v>0.25</v>
      </c>
      <c r="M59" s="103"/>
      <c r="N59" s="249">
        <f t="shared" si="10"/>
        <v>0</v>
      </c>
      <c r="O59" s="124">
        <f t="shared" si="11"/>
        <v>0</v>
      </c>
    </row>
    <row r="60" spans="2:15" s="90" customFormat="1" ht="15">
      <c r="B60" s="94" t="s">
        <v>36</v>
      </c>
      <c r="C60" s="94"/>
      <c r="D60" s="117" t="s">
        <v>63</v>
      </c>
      <c r="E60" s="118"/>
      <c r="F60" s="130">
        <v>0.007</v>
      </c>
      <c r="G60" s="154">
        <f>F18</f>
        <v>100</v>
      </c>
      <c r="H60" s="121">
        <f t="shared" si="12"/>
        <v>0.7000000000000001</v>
      </c>
      <c r="I60" s="103"/>
      <c r="J60" s="128">
        <v>0</v>
      </c>
      <c r="K60" s="155">
        <f>F18</f>
        <v>100</v>
      </c>
      <c r="L60" s="121">
        <f t="shared" si="13"/>
        <v>0</v>
      </c>
      <c r="M60" s="103"/>
      <c r="N60" s="249">
        <f t="shared" si="10"/>
        <v>-0.7000000000000001</v>
      </c>
      <c r="O60" s="124">
        <f t="shared" si="11"/>
        <v>-1</v>
      </c>
    </row>
    <row r="61" spans="2:19" s="90" customFormat="1" ht="15">
      <c r="B61" s="100" t="s">
        <v>37</v>
      </c>
      <c r="C61" s="94"/>
      <c r="D61" s="117" t="s">
        <v>63</v>
      </c>
      <c r="E61" s="118"/>
      <c r="F61" s="130">
        <v>0.08</v>
      </c>
      <c r="G61" s="154">
        <f>0.64*$F$18</f>
        <v>64</v>
      </c>
      <c r="H61" s="121">
        <f t="shared" si="12"/>
        <v>5.12</v>
      </c>
      <c r="I61" s="103"/>
      <c r="J61" s="130">
        <v>0.08</v>
      </c>
      <c r="K61" s="154">
        <f>G61</f>
        <v>64</v>
      </c>
      <c r="L61" s="121">
        <f t="shared" si="13"/>
        <v>5.12</v>
      </c>
      <c r="M61" s="103"/>
      <c r="N61" s="249">
        <f t="shared" si="10"/>
        <v>0</v>
      </c>
      <c r="O61" s="124">
        <f t="shared" si="11"/>
        <v>0</v>
      </c>
      <c r="S61" s="156"/>
    </row>
    <row r="62" spans="2:19" s="90" customFormat="1" ht="15">
      <c r="B62" s="100" t="s">
        <v>38</v>
      </c>
      <c r="C62" s="94"/>
      <c r="D62" s="117" t="s">
        <v>63</v>
      </c>
      <c r="E62" s="118"/>
      <c r="F62" s="130">
        <v>0.122</v>
      </c>
      <c r="G62" s="154">
        <f>0.18*$F$18</f>
        <v>18</v>
      </c>
      <c r="H62" s="121">
        <f t="shared" si="12"/>
        <v>2.1959999999999997</v>
      </c>
      <c r="I62" s="103"/>
      <c r="J62" s="130">
        <v>0.122</v>
      </c>
      <c r="K62" s="154">
        <f>G62</f>
        <v>18</v>
      </c>
      <c r="L62" s="121">
        <f t="shared" si="13"/>
        <v>2.1959999999999997</v>
      </c>
      <c r="M62" s="103"/>
      <c r="N62" s="249">
        <f t="shared" si="10"/>
        <v>0</v>
      </c>
      <c r="O62" s="124">
        <f t="shared" si="11"/>
        <v>0</v>
      </c>
      <c r="S62" s="156"/>
    </row>
    <row r="63" spans="2:19" s="90" customFormat="1" ht="15">
      <c r="B63" s="93" t="s">
        <v>39</v>
      </c>
      <c r="C63" s="94"/>
      <c r="D63" s="117" t="s">
        <v>63</v>
      </c>
      <c r="E63" s="118"/>
      <c r="F63" s="130">
        <v>0.161</v>
      </c>
      <c r="G63" s="154">
        <f>0.18*$F$18</f>
        <v>18</v>
      </c>
      <c r="H63" s="121">
        <f t="shared" si="12"/>
        <v>2.898</v>
      </c>
      <c r="I63" s="103"/>
      <c r="J63" s="130">
        <v>0.161</v>
      </c>
      <c r="K63" s="154">
        <f>G63</f>
        <v>18</v>
      </c>
      <c r="L63" s="121">
        <f t="shared" si="13"/>
        <v>2.898</v>
      </c>
      <c r="M63" s="103"/>
      <c r="N63" s="249">
        <f t="shared" si="10"/>
        <v>0</v>
      </c>
      <c r="O63" s="124">
        <f t="shared" si="11"/>
        <v>0</v>
      </c>
      <c r="S63" s="156"/>
    </row>
    <row r="64" spans="2:15" s="194" customFormat="1" ht="15">
      <c r="B64" s="105" t="s">
        <v>40</v>
      </c>
      <c r="C64" s="105"/>
      <c r="D64" s="190" t="s">
        <v>63</v>
      </c>
      <c r="E64" s="191"/>
      <c r="F64" s="130">
        <v>0.094</v>
      </c>
      <c r="G64" s="192">
        <f>IF(AND($T$1=1,F18&gt;=600),600,IF(AND($T$1=1,AND(F18&lt;600,F18&gt;=0)),F18,IF(AND($T$1=2,F18&gt;=1000),1000,IF(AND($T$1=2,AND(F18&lt;1000,F18&gt;=0)),F18))))</f>
        <v>100</v>
      </c>
      <c r="H64" s="121">
        <f>G64*F64</f>
        <v>9.4</v>
      </c>
      <c r="I64" s="193"/>
      <c r="J64" s="130">
        <v>0.094</v>
      </c>
      <c r="K64" s="192">
        <f>G64</f>
        <v>100</v>
      </c>
      <c r="L64" s="121">
        <f>K64*J64</f>
        <v>9.4</v>
      </c>
      <c r="M64" s="193"/>
      <c r="N64" s="249">
        <f t="shared" si="10"/>
        <v>0</v>
      </c>
      <c r="O64" s="124">
        <f t="shared" si="11"/>
        <v>0</v>
      </c>
    </row>
    <row r="65" spans="2:15" s="194" customFormat="1" ht="15.75" thickBot="1">
      <c r="B65" s="105" t="s">
        <v>41</v>
      </c>
      <c r="C65" s="105"/>
      <c r="D65" s="190" t="s">
        <v>63</v>
      </c>
      <c r="E65" s="191"/>
      <c r="F65" s="130">
        <v>0.11</v>
      </c>
      <c r="G65" s="192">
        <f>IF(AND($T$1=1,F18&gt;=600),F18-600,IF(AND($T$1=1,AND(F18&lt;600,F18&gt;=0)),0,IF(AND($T$1=2,F18&gt;=1000),F18-1000,IF(AND($T$1=2,AND(F18&lt;1000,F18&gt;=0)),0))))</f>
        <v>0</v>
      </c>
      <c r="H65" s="121">
        <f>G65*F65</f>
        <v>0</v>
      </c>
      <c r="I65" s="193"/>
      <c r="J65" s="130">
        <v>0.11</v>
      </c>
      <c r="K65" s="192">
        <f>G65</f>
        <v>0</v>
      </c>
      <c r="L65" s="121">
        <f>K65*J65</f>
        <v>0</v>
      </c>
      <c r="M65" s="193"/>
      <c r="N65" s="249">
        <f t="shared" si="10"/>
        <v>0</v>
      </c>
      <c r="O65" s="124">
        <f t="shared" si="11"/>
      </c>
    </row>
    <row r="66" spans="2:15" s="90" customFormat="1" ht="8.25" customHeight="1" thickBot="1">
      <c r="B66" s="106"/>
      <c r="C66" s="115"/>
      <c r="D66" s="116"/>
      <c r="E66" s="115"/>
      <c r="F66" s="157"/>
      <c r="G66" s="158"/>
      <c r="H66" s="159"/>
      <c r="I66" s="160"/>
      <c r="J66" s="157"/>
      <c r="K66" s="161"/>
      <c r="L66" s="159"/>
      <c r="M66" s="160"/>
      <c r="N66" s="162"/>
      <c r="O66" s="163"/>
    </row>
    <row r="67" spans="2:19" s="90" customFormat="1" ht="15">
      <c r="B67" s="107" t="s">
        <v>42</v>
      </c>
      <c r="C67" s="94"/>
      <c r="D67" s="94"/>
      <c r="E67" s="94"/>
      <c r="F67" s="164"/>
      <c r="G67" s="165"/>
      <c r="H67" s="195">
        <f>SUM(H56:H63,H55)</f>
        <v>28.380972999999997</v>
      </c>
      <c r="I67" s="196"/>
      <c r="J67" s="197"/>
      <c r="K67" s="197"/>
      <c r="L67" s="198">
        <f>SUM(L56:L63,L55)</f>
        <v>32.705823</v>
      </c>
      <c r="M67" s="199"/>
      <c r="N67" s="250">
        <f>L67-H67</f>
        <v>4.324850000000005</v>
      </c>
      <c r="O67" s="200">
        <f>IF((H67)=0,"",(N67/H67))</f>
        <v>0.15238554365278476</v>
      </c>
      <c r="S67" s="156"/>
    </row>
    <row r="68" spans="2:19" s="90" customFormat="1" ht="15">
      <c r="B68" s="108" t="s">
        <v>43</v>
      </c>
      <c r="C68" s="94"/>
      <c r="D68" s="94"/>
      <c r="E68" s="94"/>
      <c r="F68" s="166">
        <v>0.13</v>
      </c>
      <c r="G68" s="167"/>
      <c r="H68" s="201">
        <f>H67*F68</f>
        <v>3.68952649</v>
      </c>
      <c r="I68" s="202"/>
      <c r="J68" s="203">
        <v>0.13</v>
      </c>
      <c r="K68" s="202"/>
      <c r="L68" s="204">
        <f>L67*J68</f>
        <v>4.2517569900000005</v>
      </c>
      <c r="M68" s="205"/>
      <c r="N68" s="249">
        <f t="shared" si="10"/>
        <v>0.5622305000000005</v>
      </c>
      <c r="O68" s="206">
        <f t="shared" si="11"/>
        <v>0.1523855436527847</v>
      </c>
      <c r="S68" s="156"/>
    </row>
    <row r="69" spans="2:19" s="90" customFormat="1" ht="15">
      <c r="B69" s="109" t="s">
        <v>124</v>
      </c>
      <c r="C69" s="94"/>
      <c r="D69" s="94"/>
      <c r="E69" s="94"/>
      <c r="F69" s="168"/>
      <c r="G69" s="167"/>
      <c r="H69" s="201">
        <f>H67+H68</f>
        <v>32.070499489999996</v>
      </c>
      <c r="I69" s="202"/>
      <c r="J69" s="202"/>
      <c r="K69" s="202"/>
      <c r="L69" s="204">
        <f>L67+L68</f>
        <v>36.95757999</v>
      </c>
      <c r="M69" s="205"/>
      <c r="N69" s="249">
        <f t="shared" si="10"/>
        <v>4.887080500000003</v>
      </c>
      <c r="O69" s="206">
        <f t="shared" si="11"/>
        <v>0.15238554365278467</v>
      </c>
      <c r="S69" s="156"/>
    </row>
    <row r="70" spans="2:15" s="90" customFormat="1" ht="15.75" customHeight="1">
      <c r="B70" s="540" t="s">
        <v>125</v>
      </c>
      <c r="C70" s="540"/>
      <c r="D70" s="540"/>
      <c r="E70" s="94"/>
      <c r="F70" s="168"/>
      <c r="G70" s="167"/>
      <c r="H70" s="207">
        <f>ROUND(-H69*10%,2)</f>
        <v>-3.21</v>
      </c>
      <c r="I70" s="202"/>
      <c r="J70" s="202"/>
      <c r="K70" s="202"/>
      <c r="L70" s="208">
        <v>0</v>
      </c>
      <c r="M70" s="205"/>
      <c r="N70" s="249">
        <f t="shared" si="10"/>
        <v>3.21</v>
      </c>
      <c r="O70" s="209">
        <f t="shared" si="11"/>
        <v>-1</v>
      </c>
    </row>
    <row r="71" spans="2:15" s="90" customFormat="1" ht="15.75" thickBot="1">
      <c r="B71" s="541" t="s">
        <v>46</v>
      </c>
      <c r="C71" s="541"/>
      <c r="D71" s="541"/>
      <c r="E71" s="169"/>
      <c r="F71" s="170"/>
      <c r="G71" s="171"/>
      <c r="H71" s="210">
        <f>H69+H70</f>
        <v>28.860499489999995</v>
      </c>
      <c r="I71" s="211"/>
      <c r="J71" s="211"/>
      <c r="K71" s="211"/>
      <c r="L71" s="212">
        <f>L69+L70</f>
        <v>36.95757999</v>
      </c>
      <c r="M71" s="213"/>
      <c r="N71" s="251">
        <f t="shared" si="10"/>
        <v>8.097080500000004</v>
      </c>
      <c r="O71" s="214">
        <f t="shared" si="11"/>
        <v>0.28055926415291593</v>
      </c>
    </row>
    <row r="72" spans="2:15" s="194" customFormat="1" ht="8.25" customHeight="1" thickBot="1">
      <c r="B72" s="110"/>
      <c r="C72" s="215"/>
      <c r="D72" s="216"/>
      <c r="E72" s="215"/>
      <c r="F72" s="157"/>
      <c r="G72" s="217"/>
      <c r="H72" s="159"/>
      <c r="I72" s="218"/>
      <c r="J72" s="157"/>
      <c r="K72" s="219"/>
      <c r="L72" s="159"/>
      <c r="M72" s="218"/>
      <c r="N72" s="220"/>
      <c r="O72" s="163"/>
    </row>
    <row r="73" spans="2:15" s="194" customFormat="1" ht="15">
      <c r="B73" s="111" t="s">
        <v>47</v>
      </c>
      <c r="C73" s="105"/>
      <c r="D73" s="105"/>
      <c r="E73" s="105"/>
      <c r="F73" s="221"/>
      <c r="G73" s="222"/>
      <c r="H73" s="223">
        <f>SUM(H64:H65,H55,H56:H60)</f>
        <v>27.566972999999997</v>
      </c>
      <c r="I73" s="224"/>
      <c r="J73" s="225"/>
      <c r="K73" s="225"/>
      <c r="L73" s="226">
        <f>SUM(L64:L65,L55,L56:L60)</f>
        <v>31.891823000000002</v>
      </c>
      <c r="M73" s="227"/>
      <c r="N73" s="250">
        <f>L73-H73</f>
        <v>4.324850000000005</v>
      </c>
      <c r="O73" s="200">
        <f>IF((H73)=0,"",(N73/H73))</f>
        <v>0.15688519737005602</v>
      </c>
    </row>
    <row r="74" spans="2:15" s="194" customFormat="1" ht="15">
      <c r="B74" s="112" t="s">
        <v>43</v>
      </c>
      <c r="C74" s="105"/>
      <c r="D74" s="105"/>
      <c r="E74" s="105"/>
      <c r="F74" s="228">
        <v>0.13</v>
      </c>
      <c r="G74" s="222"/>
      <c r="H74" s="229">
        <f>H73*F74</f>
        <v>3.58370649</v>
      </c>
      <c r="I74" s="230"/>
      <c r="J74" s="228">
        <v>0.13</v>
      </c>
      <c r="K74" s="231"/>
      <c r="L74" s="232">
        <f>L73*J74</f>
        <v>4.14593699</v>
      </c>
      <c r="M74" s="233"/>
      <c r="N74" s="249">
        <f>L74-H74</f>
        <v>0.5622305000000001</v>
      </c>
      <c r="O74" s="206">
        <f>IF((H74)=0,"",(N74/H74))</f>
        <v>0.15688519737005585</v>
      </c>
    </row>
    <row r="75" spans="2:15" s="194" customFormat="1" ht="15">
      <c r="B75" s="113" t="s">
        <v>124</v>
      </c>
      <c r="C75" s="105"/>
      <c r="D75" s="105"/>
      <c r="E75" s="105"/>
      <c r="F75" s="234"/>
      <c r="G75" s="233"/>
      <c r="H75" s="229">
        <f>H73+H74</f>
        <v>31.150679489999998</v>
      </c>
      <c r="I75" s="230"/>
      <c r="J75" s="230"/>
      <c r="K75" s="230"/>
      <c r="L75" s="232">
        <f>L73+L74</f>
        <v>36.037759990000005</v>
      </c>
      <c r="M75" s="233"/>
      <c r="N75" s="249">
        <f>L75-H75</f>
        <v>4.887080500000007</v>
      </c>
      <c r="O75" s="206">
        <f>IF((H75)=0,"",(N75/H75))</f>
        <v>0.15688519737005605</v>
      </c>
    </row>
    <row r="76" spans="2:15" s="194" customFormat="1" ht="15.75" customHeight="1">
      <c r="B76" s="542" t="s">
        <v>125</v>
      </c>
      <c r="C76" s="542"/>
      <c r="D76" s="542"/>
      <c r="E76" s="105"/>
      <c r="F76" s="234"/>
      <c r="G76" s="233"/>
      <c r="H76" s="235">
        <f>ROUND(-H75*10%,2)</f>
        <v>-3.12</v>
      </c>
      <c r="I76" s="230"/>
      <c r="J76" s="230"/>
      <c r="K76" s="230"/>
      <c r="L76" s="236">
        <v>0</v>
      </c>
      <c r="M76" s="233"/>
      <c r="N76" s="249">
        <f>L76-H76</f>
        <v>3.12</v>
      </c>
      <c r="O76" s="209">
        <f>IF((H76)=0,"",(N76/H76))</f>
        <v>-1</v>
      </c>
    </row>
    <row r="77" spans="2:15" s="194" customFormat="1" ht="15.75" thickBot="1">
      <c r="B77" s="533" t="s">
        <v>48</v>
      </c>
      <c r="C77" s="533"/>
      <c r="D77" s="533"/>
      <c r="E77" s="237"/>
      <c r="F77" s="238"/>
      <c r="G77" s="239"/>
      <c r="H77" s="240">
        <f>SUM(H75:H76)</f>
        <v>28.030679489999997</v>
      </c>
      <c r="I77" s="241"/>
      <c r="J77" s="241"/>
      <c r="K77" s="241"/>
      <c r="L77" s="242">
        <f>SUM(L75:L76)</f>
        <v>36.037759990000005</v>
      </c>
      <c r="M77" s="243"/>
      <c r="N77" s="251">
        <f>L77-H77</f>
        <v>8.007080500000008</v>
      </c>
      <c r="O77" s="244">
        <f>IF((H77)=0,"",(N77/H77))</f>
        <v>0.28565417056181425</v>
      </c>
    </row>
    <row r="78" spans="2:15" s="194" customFormat="1" ht="8.25" customHeight="1" thickBot="1">
      <c r="B78" s="110"/>
      <c r="C78" s="215"/>
      <c r="D78" s="216"/>
      <c r="E78" s="215"/>
      <c r="F78" s="172"/>
      <c r="G78" s="245"/>
      <c r="H78" s="173"/>
      <c r="I78" s="246"/>
      <c r="J78" s="172"/>
      <c r="K78" s="217"/>
      <c r="L78" s="174"/>
      <c r="M78" s="218"/>
      <c r="N78" s="247"/>
      <c r="O78" s="163"/>
    </row>
    <row r="79" s="90" customFormat="1" ht="10.5" customHeight="1">
      <c r="L79" s="156"/>
    </row>
    <row r="80" spans="2:10" s="90" customFormat="1" ht="15">
      <c r="B80" s="114" t="s">
        <v>49</v>
      </c>
      <c r="F80" s="175">
        <v>0.0495</v>
      </c>
      <c r="J80" s="175">
        <v>0.0495</v>
      </c>
    </row>
    <row r="81" s="90" customFormat="1" ht="10.5" customHeight="1"/>
    <row r="82" spans="2:15" s="90" customFormat="1" ht="15">
      <c r="B82" s="470" t="s">
        <v>137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pans="2:15" s="90" customFormat="1" ht="15">
      <c r="B83" s="470" t="s">
        <v>136</v>
      </c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</row>
    <row r="84" s="90" customFormat="1" ht="17.25">
      <c r="A84" s="248" t="s">
        <v>126</v>
      </c>
    </row>
    <row r="85" s="90" customFormat="1" ht="10.5" customHeight="1"/>
    <row r="86" s="90" customFormat="1" ht="15">
      <c r="A86" s="90" t="s">
        <v>51</v>
      </c>
    </row>
    <row r="87" s="90" customFormat="1" ht="15">
      <c r="A87" s="90" t="s">
        <v>52</v>
      </c>
    </row>
    <row r="88" s="90" customFormat="1" ht="15"/>
    <row r="89" s="90" customFormat="1" ht="15">
      <c r="A89" s="93" t="s">
        <v>53</v>
      </c>
    </row>
    <row r="90" s="90" customFormat="1" ht="15">
      <c r="A90" s="93" t="s">
        <v>54</v>
      </c>
    </row>
    <row r="91" s="90" customFormat="1" ht="15"/>
    <row r="92" s="90" customFormat="1" ht="15">
      <c r="A92" s="90" t="s">
        <v>55</v>
      </c>
    </row>
    <row r="93" s="90" customFormat="1" ht="15">
      <c r="A93" s="90" t="s">
        <v>56</v>
      </c>
    </row>
    <row r="94" s="90" customFormat="1" ht="15">
      <c r="A94" s="90" t="s">
        <v>57</v>
      </c>
    </row>
    <row r="95" s="90" customFormat="1" ht="15">
      <c r="A95" s="90" t="s">
        <v>58</v>
      </c>
    </row>
    <row r="96" s="90" customFormat="1" ht="15">
      <c r="A96" s="90" t="s">
        <v>59</v>
      </c>
    </row>
    <row r="97" s="90" customFormat="1" ht="15"/>
    <row r="98" spans="1:2" s="90" customFormat="1" ht="15">
      <c r="A98" s="176"/>
      <c r="B98" s="90" t="s">
        <v>60</v>
      </c>
    </row>
    <row r="99" s="90" customFormat="1" ht="15"/>
    <row r="100" s="90" customFormat="1" ht="15"/>
  </sheetData>
  <sheetProtection/>
  <mergeCells count="20">
    <mergeCell ref="B77:D77"/>
    <mergeCell ref="D21:D22"/>
    <mergeCell ref="N21:N22"/>
    <mergeCell ref="O21:O22"/>
    <mergeCell ref="B70:D70"/>
    <mergeCell ref="B71:D71"/>
    <mergeCell ref="B76:D76"/>
    <mergeCell ref="A3:K3"/>
    <mergeCell ref="B10:O10"/>
    <mergeCell ref="B11:O11"/>
    <mergeCell ref="D14:O14"/>
    <mergeCell ref="F20:H20"/>
    <mergeCell ref="J20:L20"/>
    <mergeCell ref="N20:O20"/>
    <mergeCell ref="N1:O1"/>
    <mergeCell ref="N2:O2"/>
    <mergeCell ref="N3:O3"/>
    <mergeCell ref="N4:O4"/>
    <mergeCell ref="N5:O5"/>
    <mergeCell ref="N7:O7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8 E72 E64:E65">
      <formula1>'Res (100kWh)'!#REF!</formula1>
    </dataValidation>
    <dataValidation type="list" allowBlank="1" showInputMessage="1" showErrorMessage="1" prompt="Select Charge Unit - monthly, per kWh, per kW" sqref="D53:D54 D72 D78 D56:D66 D23:D40 D42:D51">
      <formula1>"Monthly, per kWh, per kW"</formula1>
    </dataValidation>
    <dataValidation type="list" allowBlank="1" showInputMessage="1" showErrorMessage="1" sqref="E53:E54 E56:E63 E66 E23:E40 E42:E51">
      <formula1>'Res (100kWh)'!#REF!</formula1>
    </dataValidation>
  </dataValidation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98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58.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9.7109375" style="8" bestFit="1" customWidth="1"/>
    <col min="7" max="8" width="8.0039062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9.7109375" style="8" customWidth="1"/>
    <col min="13" max="13" width="2.8515625" style="8" customWidth="1"/>
    <col min="14" max="14" width="9.57421875" style="8" bestFit="1" customWidth="1"/>
    <col min="15" max="15" width="10.00390625" style="8" bestFit="1" customWidth="1"/>
    <col min="16" max="16" width="6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T1" s="86">
        <v>1</v>
      </c>
    </row>
    <row r="2" spans="1:15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</row>
    <row r="3" spans="1:15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</row>
    <row r="4" spans="1:15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2</v>
      </c>
      <c r="O4" s="523"/>
    </row>
    <row r="5" spans="3:15" s="2" customFormat="1" ht="15" customHeight="1">
      <c r="C5" s="7"/>
      <c r="D5" s="7"/>
      <c r="E5" s="7"/>
      <c r="L5" s="3" t="s">
        <v>77</v>
      </c>
      <c r="N5" s="525" t="s">
        <v>79</v>
      </c>
      <c r="O5" s="525"/>
    </row>
    <row r="6" spans="12:15" s="2" customFormat="1" ht="9" customHeight="1">
      <c r="L6" s="3"/>
      <c r="N6" s="4"/>
      <c r="O6" s="17"/>
    </row>
    <row r="7" spans="12:15" s="2" customFormat="1" ht="15">
      <c r="L7" s="3" t="s">
        <v>145</v>
      </c>
      <c r="N7" s="526">
        <v>42412</v>
      </c>
      <c r="O7" s="525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148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61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250</v>
      </c>
      <c r="G18" s="14" t="s">
        <v>9</v>
      </c>
    </row>
    <row r="19" ht="15">
      <c r="B19" s="13"/>
    </row>
    <row r="20" spans="2:15" s="90" customFormat="1" ht="15">
      <c r="B20" s="93"/>
      <c r="D20" s="178"/>
      <c r="E20" s="178"/>
      <c r="F20" s="530" t="s">
        <v>10</v>
      </c>
      <c r="G20" s="531"/>
      <c r="H20" s="532"/>
      <c r="J20" s="530" t="s">
        <v>11</v>
      </c>
      <c r="K20" s="531"/>
      <c r="L20" s="532"/>
      <c r="N20" s="530" t="s">
        <v>12</v>
      </c>
      <c r="O20" s="532"/>
    </row>
    <row r="21" spans="2:15" s="90" customFormat="1" ht="15">
      <c r="B21" s="93"/>
      <c r="D21" s="534" t="s">
        <v>13</v>
      </c>
      <c r="E21" s="177"/>
      <c r="F21" s="179" t="s">
        <v>14</v>
      </c>
      <c r="G21" s="179" t="s">
        <v>15</v>
      </c>
      <c r="H21" s="180" t="s">
        <v>16</v>
      </c>
      <c r="J21" s="179" t="s">
        <v>14</v>
      </c>
      <c r="K21" s="181" t="s">
        <v>15</v>
      </c>
      <c r="L21" s="180" t="s">
        <v>16</v>
      </c>
      <c r="N21" s="536" t="s">
        <v>17</v>
      </c>
      <c r="O21" s="538" t="s">
        <v>18</v>
      </c>
    </row>
    <row r="22" spans="2:15" s="90" customFormat="1" ht="15">
      <c r="B22" s="93"/>
      <c r="D22" s="535"/>
      <c r="E22" s="177"/>
      <c r="F22" s="182" t="s">
        <v>19</v>
      </c>
      <c r="G22" s="182"/>
      <c r="H22" s="183" t="s">
        <v>19</v>
      </c>
      <c r="J22" s="182" t="s">
        <v>19</v>
      </c>
      <c r="K22" s="183"/>
      <c r="L22" s="183" t="s">
        <v>19</v>
      </c>
      <c r="N22" s="537"/>
      <c r="O22" s="539"/>
    </row>
    <row r="23" spans="2:15" s="90" customFormat="1" ht="15">
      <c r="B23" s="94" t="s">
        <v>20</v>
      </c>
      <c r="C23" s="94"/>
      <c r="D23" s="117" t="s">
        <v>62</v>
      </c>
      <c r="E23" s="118"/>
      <c r="F23" s="413">
        <f>'Res (100kWh)'!F23</f>
        <v>11.22</v>
      </c>
      <c r="G23" s="120">
        <v>1</v>
      </c>
      <c r="H23" s="121">
        <f>G23*F23</f>
        <v>11.22</v>
      </c>
      <c r="I23" s="103"/>
      <c r="J23" s="481">
        <f>'Res (100kWh)'!J23</f>
        <v>15.59</v>
      </c>
      <c r="K23" s="122">
        <v>1</v>
      </c>
      <c r="L23" s="121">
        <f>K23*J23</f>
        <v>15.59</v>
      </c>
      <c r="M23" s="103"/>
      <c r="N23" s="249">
        <f>L23-H23</f>
        <v>4.369999999999999</v>
      </c>
      <c r="O23" s="124">
        <f>IF((H23)=0,"",(N23/H23))</f>
        <v>0.3894830659536541</v>
      </c>
    </row>
    <row r="24" spans="2:15" s="90" customFormat="1" ht="22.5" customHeight="1" hidden="1">
      <c r="B24" s="94" t="s">
        <v>92</v>
      </c>
      <c r="C24" s="94"/>
      <c r="D24" s="117" t="s">
        <v>62</v>
      </c>
      <c r="E24" s="118"/>
      <c r="F24" s="422">
        <f>'Res (100kWh)'!F24</f>
        <v>0</v>
      </c>
      <c r="G24" s="120">
        <v>1</v>
      </c>
      <c r="H24" s="121">
        <f>G24*F24</f>
        <v>0</v>
      </c>
      <c r="I24" s="103"/>
      <c r="J24" s="414">
        <v>0</v>
      </c>
      <c r="K24" s="122">
        <v>1</v>
      </c>
      <c r="L24" s="121">
        <f>K24*J24</f>
        <v>0</v>
      </c>
      <c r="M24" s="103"/>
      <c r="N24" s="249">
        <f>L24-H24</f>
        <v>0</v>
      </c>
      <c r="O24" s="124">
        <f>IF((H24)=0,"",(N24/H24))</f>
      </c>
    </row>
    <row r="25" spans="2:15" s="90" customFormat="1" ht="15" customHeight="1" hidden="1">
      <c r="B25" s="95" t="s">
        <v>111</v>
      </c>
      <c r="C25" s="94"/>
      <c r="D25" s="127" t="s">
        <v>62</v>
      </c>
      <c r="E25" s="118"/>
      <c r="F25" s="414">
        <v>0</v>
      </c>
      <c r="G25" s="120">
        <v>1</v>
      </c>
      <c r="H25" s="121">
        <f>G25*F25</f>
        <v>0</v>
      </c>
      <c r="I25" s="103"/>
      <c r="J25" s="145">
        <v>0</v>
      </c>
      <c r="K25" s="122">
        <v>1</v>
      </c>
      <c r="L25" s="121">
        <f>K25*J25</f>
        <v>0</v>
      </c>
      <c r="M25" s="103"/>
      <c r="N25" s="249">
        <f>L25-H25</f>
        <v>0</v>
      </c>
      <c r="O25" s="124">
        <f>IF((H25)=0,"",(N25/H25))</f>
      </c>
    </row>
    <row r="26" spans="2:15" s="90" customFormat="1" ht="15.75" customHeight="1">
      <c r="B26" s="419" t="s">
        <v>64</v>
      </c>
      <c r="C26" s="94"/>
      <c r="D26" s="127" t="s">
        <v>62</v>
      </c>
      <c r="E26" s="129"/>
      <c r="F26" s="414">
        <f>'Res (100kWh)'!F26</f>
        <v>1.75</v>
      </c>
      <c r="G26" s="120">
        <v>1</v>
      </c>
      <c r="H26" s="121">
        <f aca="true" t="shared" si="0" ref="H26:H40">G26*F26</f>
        <v>1.75</v>
      </c>
      <c r="I26" s="103"/>
      <c r="J26" s="414">
        <f>'Res (100kWh)'!J26</f>
        <v>1.75</v>
      </c>
      <c r="K26" s="122">
        <v>1</v>
      </c>
      <c r="L26" s="121">
        <f aca="true" t="shared" si="1" ref="L26:L40">K26*J26</f>
        <v>1.75</v>
      </c>
      <c r="M26" s="103"/>
      <c r="N26" s="249">
        <f aca="true" t="shared" si="2" ref="N26:N71">L26-H26</f>
        <v>0</v>
      </c>
      <c r="O26" s="124">
        <f aca="true" t="shared" si="3" ref="O26:O50">IF((H26)=0,"",(N26/H26))</f>
        <v>0</v>
      </c>
    </row>
    <row r="27" spans="2:15" s="90" customFormat="1" ht="15" hidden="1">
      <c r="B27" s="419" t="s">
        <v>65</v>
      </c>
      <c r="C27" s="94"/>
      <c r="D27" s="117" t="s">
        <v>62</v>
      </c>
      <c r="E27" s="118"/>
      <c r="F27" s="146">
        <f>'Res (100kWh)'!F27</f>
        <v>0</v>
      </c>
      <c r="G27" s="120">
        <v>1</v>
      </c>
      <c r="H27" s="121">
        <f t="shared" si="0"/>
        <v>0</v>
      </c>
      <c r="I27" s="103"/>
      <c r="J27" s="414">
        <f>'Res (100kWh)'!J27</f>
        <v>0</v>
      </c>
      <c r="K27" s="122">
        <v>1</v>
      </c>
      <c r="L27" s="121">
        <f t="shared" si="1"/>
        <v>0</v>
      </c>
      <c r="M27" s="103"/>
      <c r="N27" s="249">
        <f t="shared" si="2"/>
        <v>0</v>
      </c>
      <c r="O27" s="124">
        <f t="shared" si="3"/>
      </c>
    </row>
    <row r="28" spans="2:15" s="90" customFormat="1" ht="15">
      <c r="B28" s="420" t="s">
        <v>66</v>
      </c>
      <c r="C28" s="94"/>
      <c r="D28" s="117" t="s">
        <v>62</v>
      </c>
      <c r="E28" s="118"/>
      <c r="F28" s="146">
        <f>'Res (100kWh)'!F28</f>
        <v>0</v>
      </c>
      <c r="G28" s="120">
        <f>G27</f>
        <v>1</v>
      </c>
      <c r="H28" s="121">
        <f t="shared" si="0"/>
        <v>0</v>
      </c>
      <c r="I28" s="103"/>
      <c r="J28" s="477">
        <f>'Res (100kWh)'!J28</f>
        <v>-0.04</v>
      </c>
      <c r="K28" s="120">
        <f>K27</f>
        <v>1</v>
      </c>
      <c r="L28" s="121">
        <f t="shared" si="1"/>
        <v>-0.04</v>
      </c>
      <c r="M28" s="103"/>
      <c r="N28" s="249">
        <f t="shared" si="2"/>
        <v>-0.04</v>
      </c>
      <c r="O28" s="124">
        <f t="shared" si="3"/>
      </c>
    </row>
    <row r="29" spans="2:15" s="90" customFormat="1" ht="15">
      <c r="B29" s="118" t="s">
        <v>110</v>
      </c>
      <c r="C29" s="94"/>
      <c r="D29" s="117" t="s">
        <v>63</v>
      </c>
      <c r="E29" s="118"/>
      <c r="F29" s="423">
        <f>'Res (100kWh)'!F29</f>
        <v>0</v>
      </c>
      <c r="G29" s="120">
        <f>$F$18</f>
        <v>250</v>
      </c>
      <c r="H29" s="121">
        <f t="shared" si="0"/>
        <v>0</v>
      </c>
      <c r="I29" s="103"/>
      <c r="J29" s="479">
        <f>'Res (100kWh)'!J29</f>
        <v>0</v>
      </c>
      <c r="K29" s="120">
        <f>$F$18</f>
        <v>250</v>
      </c>
      <c r="L29" s="121">
        <f t="shared" si="1"/>
        <v>0</v>
      </c>
      <c r="M29" s="103"/>
      <c r="N29" s="249">
        <f t="shared" si="2"/>
        <v>0</v>
      </c>
      <c r="O29" s="124">
        <f t="shared" si="3"/>
      </c>
    </row>
    <row r="30" spans="2:15" s="90" customFormat="1" ht="15" hidden="1">
      <c r="B30" s="420" t="s">
        <v>93</v>
      </c>
      <c r="C30" s="94"/>
      <c r="D30" s="117" t="s">
        <v>63</v>
      </c>
      <c r="E30" s="118"/>
      <c r="F30" s="146">
        <f>'Res (100kWh)'!F30</f>
        <v>0</v>
      </c>
      <c r="G30" s="120">
        <f>$F$18</f>
        <v>250</v>
      </c>
      <c r="H30" s="121">
        <f t="shared" si="0"/>
        <v>0</v>
      </c>
      <c r="I30" s="103"/>
      <c r="J30" s="479">
        <f>'Res (100kWh)'!J30</f>
        <v>0</v>
      </c>
      <c r="K30" s="120">
        <f>$F$18</f>
        <v>250</v>
      </c>
      <c r="L30" s="121">
        <f>K30*J30</f>
        <v>0</v>
      </c>
      <c r="M30" s="103"/>
      <c r="N30" s="249">
        <f>L30-H30</f>
        <v>0</v>
      </c>
      <c r="O30" s="124">
        <f>IF((H30)=0,"",(N30/H30))</f>
      </c>
    </row>
    <row r="31" spans="2:15" s="90" customFormat="1" ht="15">
      <c r="B31" s="118" t="s">
        <v>21</v>
      </c>
      <c r="C31" s="94"/>
      <c r="D31" s="117" t="s">
        <v>63</v>
      </c>
      <c r="E31" s="118"/>
      <c r="F31" s="146">
        <f>'Res (100kWh)'!F31</f>
        <v>0.0211</v>
      </c>
      <c r="G31" s="120">
        <f>$F$18</f>
        <v>250</v>
      </c>
      <c r="H31" s="121">
        <f t="shared" si="0"/>
        <v>5.275</v>
      </c>
      <c r="I31" s="103"/>
      <c r="J31" s="482">
        <f>'Res (100kWh)'!J31</f>
        <v>0.0158</v>
      </c>
      <c r="K31" s="120">
        <f>$F$18</f>
        <v>250</v>
      </c>
      <c r="L31" s="121">
        <f t="shared" si="1"/>
        <v>3.95</v>
      </c>
      <c r="M31" s="103"/>
      <c r="N31" s="249">
        <f t="shared" si="2"/>
        <v>-1.3250000000000002</v>
      </c>
      <c r="O31" s="124">
        <f t="shared" si="3"/>
        <v>-0.2511848341232228</v>
      </c>
    </row>
    <row r="32" spans="2:15" s="90" customFormat="1" ht="14.25" customHeight="1" hidden="1">
      <c r="B32" s="118" t="s">
        <v>22</v>
      </c>
      <c r="C32" s="94"/>
      <c r="D32" s="117"/>
      <c r="E32" s="118"/>
      <c r="F32" s="130">
        <f>'Res (100kWh)'!F32</f>
        <v>0</v>
      </c>
      <c r="G32" s="120">
        <f>$F$18</f>
        <v>250</v>
      </c>
      <c r="H32" s="121">
        <f t="shared" si="0"/>
        <v>0</v>
      </c>
      <c r="I32" s="103"/>
      <c r="J32" s="145"/>
      <c r="K32" s="120">
        <f aca="true" t="shared" si="4" ref="K32:K40">$F$18</f>
        <v>250</v>
      </c>
      <c r="L32" s="121">
        <f t="shared" si="1"/>
        <v>0</v>
      </c>
      <c r="M32" s="103"/>
      <c r="N32" s="123">
        <f t="shared" si="2"/>
        <v>0</v>
      </c>
      <c r="O32" s="124">
        <f t="shared" si="3"/>
      </c>
    </row>
    <row r="33" spans="2:15" s="90" customFormat="1" ht="15" hidden="1">
      <c r="B33" s="118" t="s">
        <v>110</v>
      </c>
      <c r="C33" s="94"/>
      <c r="D33" s="117" t="s">
        <v>63</v>
      </c>
      <c r="E33" s="118"/>
      <c r="F33" s="130">
        <f>'Res (100kWh)'!F33</f>
        <v>0</v>
      </c>
      <c r="G33" s="120">
        <f>$F$18</f>
        <v>250</v>
      </c>
      <c r="H33" s="121">
        <f t="shared" si="0"/>
        <v>0</v>
      </c>
      <c r="I33" s="103"/>
      <c r="J33" s="145">
        <v>0</v>
      </c>
      <c r="K33" s="120">
        <f t="shared" si="4"/>
        <v>250</v>
      </c>
      <c r="L33" s="121">
        <f t="shared" si="1"/>
        <v>0</v>
      </c>
      <c r="M33" s="103"/>
      <c r="N33" s="123">
        <f t="shared" si="2"/>
        <v>0</v>
      </c>
      <c r="O33" s="124">
        <f t="shared" si="3"/>
      </c>
    </row>
    <row r="34" spans="2:15" s="90" customFormat="1" ht="15" hidden="1">
      <c r="B34" s="412"/>
      <c r="C34" s="94"/>
      <c r="D34" s="117"/>
      <c r="E34" s="118"/>
      <c r="F34" s="130">
        <f>'Res (100kWh)'!F34</f>
        <v>0</v>
      </c>
      <c r="G34" s="120">
        <f aca="true" t="shared" si="5" ref="G34:G40">$F$18</f>
        <v>250</v>
      </c>
      <c r="H34" s="121">
        <f t="shared" si="0"/>
        <v>0</v>
      </c>
      <c r="I34" s="103"/>
      <c r="J34" s="145"/>
      <c r="K34" s="120">
        <f t="shared" si="4"/>
        <v>250</v>
      </c>
      <c r="L34" s="121">
        <f t="shared" si="1"/>
        <v>0</v>
      </c>
      <c r="M34" s="103"/>
      <c r="N34" s="123">
        <f t="shared" si="2"/>
        <v>0</v>
      </c>
      <c r="O34" s="124">
        <f t="shared" si="3"/>
      </c>
    </row>
    <row r="35" spans="2:15" s="90" customFormat="1" ht="15" hidden="1">
      <c r="B35" s="412"/>
      <c r="C35" s="94"/>
      <c r="D35" s="117"/>
      <c r="E35" s="118"/>
      <c r="F35" s="130">
        <f>'Res (100kWh)'!F35</f>
        <v>0</v>
      </c>
      <c r="G35" s="120">
        <f t="shared" si="5"/>
        <v>250</v>
      </c>
      <c r="H35" s="121">
        <f t="shared" si="0"/>
        <v>0</v>
      </c>
      <c r="I35" s="103"/>
      <c r="J35" s="145"/>
      <c r="K35" s="120">
        <f t="shared" si="4"/>
        <v>250</v>
      </c>
      <c r="L35" s="121">
        <f t="shared" si="1"/>
        <v>0</v>
      </c>
      <c r="M35" s="103"/>
      <c r="N35" s="123">
        <f t="shared" si="2"/>
        <v>0</v>
      </c>
      <c r="O35" s="124">
        <f t="shared" si="3"/>
      </c>
    </row>
    <row r="36" spans="2:15" s="90" customFormat="1" ht="15" hidden="1">
      <c r="B36" s="412"/>
      <c r="C36" s="94"/>
      <c r="D36" s="117"/>
      <c r="E36" s="118"/>
      <c r="F36" s="130">
        <f>'Res (100kWh)'!F36</f>
        <v>0</v>
      </c>
      <c r="G36" s="120">
        <f t="shared" si="5"/>
        <v>250</v>
      </c>
      <c r="H36" s="121">
        <f t="shared" si="0"/>
        <v>0</v>
      </c>
      <c r="I36" s="103"/>
      <c r="J36" s="145"/>
      <c r="K36" s="120">
        <f t="shared" si="4"/>
        <v>250</v>
      </c>
      <c r="L36" s="121">
        <f t="shared" si="1"/>
        <v>0</v>
      </c>
      <c r="M36" s="103"/>
      <c r="N36" s="123">
        <f t="shared" si="2"/>
        <v>0</v>
      </c>
      <c r="O36" s="124">
        <f t="shared" si="3"/>
      </c>
    </row>
    <row r="37" spans="2:15" s="90" customFormat="1" ht="15" hidden="1">
      <c r="B37" s="412"/>
      <c r="C37" s="94"/>
      <c r="D37" s="117"/>
      <c r="E37" s="118"/>
      <c r="F37" s="130">
        <f>'Res (100kWh)'!F37</f>
        <v>0</v>
      </c>
      <c r="G37" s="120">
        <f t="shared" si="5"/>
        <v>250</v>
      </c>
      <c r="H37" s="121">
        <f t="shared" si="0"/>
        <v>0</v>
      </c>
      <c r="I37" s="103"/>
      <c r="J37" s="145"/>
      <c r="K37" s="120">
        <f t="shared" si="4"/>
        <v>250</v>
      </c>
      <c r="L37" s="121">
        <f t="shared" si="1"/>
        <v>0</v>
      </c>
      <c r="M37" s="103"/>
      <c r="N37" s="123">
        <f t="shared" si="2"/>
        <v>0</v>
      </c>
      <c r="O37" s="124">
        <f t="shared" si="3"/>
      </c>
    </row>
    <row r="38" spans="2:15" s="90" customFormat="1" ht="15" hidden="1">
      <c r="B38" s="412"/>
      <c r="C38" s="94"/>
      <c r="D38" s="117"/>
      <c r="E38" s="118"/>
      <c r="F38" s="130">
        <f>'Res (100kWh)'!F38</f>
        <v>0</v>
      </c>
      <c r="G38" s="120">
        <f t="shared" si="5"/>
        <v>250</v>
      </c>
      <c r="H38" s="121">
        <f t="shared" si="0"/>
        <v>0</v>
      </c>
      <c r="I38" s="103"/>
      <c r="J38" s="145"/>
      <c r="K38" s="120">
        <f t="shared" si="4"/>
        <v>250</v>
      </c>
      <c r="L38" s="121">
        <f t="shared" si="1"/>
        <v>0</v>
      </c>
      <c r="M38" s="103"/>
      <c r="N38" s="123">
        <f t="shared" si="2"/>
        <v>0</v>
      </c>
      <c r="O38" s="124">
        <f t="shared" si="3"/>
      </c>
    </row>
    <row r="39" spans="2:15" s="90" customFormat="1" ht="15" hidden="1">
      <c r="B39" s="412"/>
      <c r="C39" s="94"/>
      <c r="D39" s="117"/>
      <c r="E39" s="118"/>
      <c r="F39" s="130">
        <f>'Res (100kWh)'!F39</f>
        <v>0</v>
      </c>
      <c r="G39" s="120">
        <f t="shared" si="5"/>
        <v>250</v>
      </c>
      <c r="H39" s="121">
        <f t="shared" si="0"/>
        <v>0</v>
      </c>
      <c r="I39" s="103"/>
      <c r="J39" s="145"/>
      <c r="K39" s="120">
        <f t="shared" si="4"/>
        <v>250</v>
      </c>
      <c r="L39" s="121">
        <f t="shared" si="1"/>
        <v>0</v>
      </c>
      <c r="M39" s="103"/>
      <c r="N39" s="123">
        <f t="shared" si="2"/>
        <v>0</v>
      </c>
      <c r="O39" s="124">
        <f t="shared" si="3"/>
      </c>
    </row>
    <row r="40" spans="2:15" s="90" customFormat="1" ht="15" hidden="1">
      <c r="B40" s="412"/>
      <c r="C40" s="94"/>
      <c r="D40" s="117"/>
      <c r="E40" s="118"/>
      <c r="F40" s="130">
        <f>'Res (100kWh)'!F40</f>
        <v>0</v>
      </c>
      <c r="G40" s="120">
        <f t="shared" si="5"/>
        <v>250</v>
      </c>
      <c r="H40" s="121">
        <f t="shared" si="0"/>
        <v>0</v>
      </c>
      <c r="I40" s="103"/>
      <c r="J40" s="145"/>
      <c r="K40" s="120">
        <f t="shared" si="4"/>
        <v>250</v>
      </c>
      <c r="L40" s="121">
        <f t="shared" si="1"/>
        <v>0</v>
      </c>
      <c r="M40" s="103"/>
      <c r="N40" s="123">
        <f t="shared" si="2"/>
        <v>0</v>
      </c>
      <c r="O40" s="124">
        <f t="shared" si="3"/>
      </c>
    </row>
    <row r="41" spans="2:22" s="141" customFormat="1" ht="15">
      <c r="B41" s="421" t="s">
        <v>24</v>
      </c>
      <c r="C41" s="133"/>
      <c r="D41" s="134"/>
      <c r="E41" s="133"/>
      <c r="F41" s="135"/>
      <c r="G41" s="136"/>
      <c r="H41" s="137">
        <f>SUM(H23:H40)</f>
        <v>18.245</v>
      </c>
      <c r="I41" s="138"/>
      <c r="J41" s="415"/>
      <c r="K41" s="140"/>
      <c r="L41" s="137">
        <f>SUM(L23:L40)</f>
        <v>21.25</v>
      </c>
      <c r="M41" s="138"/>
      <c r="N41" s="184">
        <f>L41-H41</f>
        <v>3.004999999999999</v>
      </c>
      <c r="O41" s="185">
        <f t="shared" si="3"/>
        <v>0.1647026582625376</v>
      </c>
      <c r="V41" s="90"/>
    </row>
    <row r="42" spans="2:15" s="90" customFormat="1" ht="15" hidden="1">
      <c r="B42" s="419"/>
      <c r="C42" s="94"/>
      <c r="D42" s="127" t="s">
        <v>62</v>
      </c>
      <c r="E42" s="118"/>
      <c r="F42" s="130">
        <f>'Res (100kWh)'!F42</f>
        <v>0</v>
      </c>
      <c r="G42" s="120">
        <v>1</v>
      </c>
      <c r="H42" s="121">
        <f>G42*F42</f>
        <v>0</v>
      </c>
      <c r="I42" s="103"/>
      <c r="J42" s="414"/>
      <c r="K42" s="122">
        <v>1</v>
      </c>
      <c r="L42" s="121">
        <f>K42*J42</f>
        <v>0</v>
      </c>
      <c r="M42" s="103"/>
      <c r="N42" s="123">
        <f>L42-H42</f>
        <v>0</v>
      </c>
      <c r="O42" s="124">
        <f>IF((H42)=0,"",(N42/H42))</f>
      </c>
    </row>
    <row r="43" spans="2:15" s="90" customFormat="1" ht="15">
      <c r="B43" s="420" t="s">
        <v>25</v>
      </c>
      <c r="C43" s="94"/>
      <c r="D43" s="127" t="s">
        <v>63</v>
      </c>
      <c r="E43" s="129"/>
      <c r="F43" s="416">
        <f>'Res (100kWh)'!F43</f>
        <v>-0.007</v>
      </c>
      <c r="G43" s="120">
        <f>$F$18</f>
        <v>250</v>
      </c>
      <c r="H43" s="121">
        <f aca="true" t="shared" si="6" ref="H43:H51">G43*F43</f>
        <v>-1.75</v>
      </c>
      <c r="I43" s="103"/>
      <c r="J43" s="416">
        <f>'Res (100kWh)'!J43</f>
        <v>0.0021</v>
      </c>
      <c r="K43" s="120">
        <f>$F$18</f>
        <v>250</v>
      </c>
      <c r="L43" s="121">
        <f aca="true" t="shared" si="7" ref="L43:L51">K43*J43</f>
        <v>0.525</v>
      </c>
      <c r="M43" s="103"/>
      <c r="N43" s="249">
        <f t="shared" si="2"/>
        <v>2.275</v>
      </c>
      <c r="O43" s="124">
        <f t="shared" si="3"/>
        <v>-1.3</v>
      </c>
    </row>
    <row r="44" spans="2:15" s="90" customFormat="1" ht="15" hidden="1">
      <c r="B44" s="420"/>
      <c r="C44" s="94"/>
      <c r="D44" s="117" t="s">
        <v>63</v>
      </c>
      <c r="E44" s="118"/>
      <c r="F44" s="146">
        <f>'Res (100kWh)'!F44</f>
        <v>0</v>
      </c>
      <c r="G44" s="120">
        <f>$F$18</f>
        <v>250</v>
      </c>
      <c r="H44" s="121">
        <f t="shared" si="6"/>
        <v>0</v>
      </c>
      <c r="I44" s="143"/>
      <c r="J44" s="145">
        <f>'Res (100kWh)'!J44</f>
        <v>0</v>
      </c>
      <c r="K44" s="120">
        <f>$F$18</f>
        <v>250</v>
      </c>
      <c r="L44" s="121">
        <f t="shared" si="7"/>
        <v>0</v>
      </c>
      <c r="M44" s="144"/>
      <c r="N44" s="249">
        <f t="shared" si="2"/>
        <v>0</v>
      </c>
      <c r="O44" s="124">
        <f t="shared" si="3"/>
      </c>
    </row>
    <row r="45" spans="2:15" s="90" customFormat="1" ht="15" hidden="1">
      <c r="B45" s="420"/>
      <c r="C45" s="94"/>
      <c r="D45" s="117" t="s">
        <v>63</v>
      </c>
      <c r="E45" s="118"/>
      <c r="F45" s="146">
        <f>'Res (100kWh)'!F45</f>
        <v>0</v>
      </c>
      <c r="G45" s="120">
        <f>$F$18</f>
        <v>250</v>
      </c>
      <c r="H45" s="121">
        <f t="shared" si="6"/>
        <v>0</v>
      </c>
      <c r="I45" s="143"/>
      <c r="J45" s="145">
        <f>'Res (100kWh)'!J45</f>
        <v>0</v>
      </c>
      <c r="K45" s="120">
        <f>$F$18</f>
        <v>250</v>
      </c>
      <c r="L45" s="121">
        <f t="shared" si="7"/>
        <v>0</v>
      </c>
      <c r="M45" s="144"/>
      <c r="N45" s="249">
        <f t="shared" si="2"/>
        <v>0</v>
      </c>
      <c r="O45" s="124">
        <f t="shared" si="3"/>
      </c>
    </row>
    <row r="46" spans="2:15" s="90" customFormat="1" ht="15" hidden="1">
      <c r="B46" s="420"/>
      <c r="C46" s="94"/>
      <c r="D46" s="117"/>
      <c r="E46" s="118"/>
      <c r="F46" s="146">
        <f>'Res (100kWh)'!F46</f>
        <v>0</v>
      </c>
      <c r="G46" s="120">
        <f>$F$18</f>
        <v>250</v>
      </c>
      <c r="H46" s="121">
        <f t="shared" si="6"/>
        <v>0</v>
      </c>
      <c r="I46" s="143"/>
      <c r="J46" s="145">
        <f>'Res (100kWh)'!J46</f>
        <v>0</v>
      </c>
      <c r="K46" s="120">
        <f>$F$18</f>
        <v>250</v>
      </c>
      <c r="L46" s="121">
        <f t="shared" si="7"/>
        <v>0</v>
      </c>
      <c r="M46" s="144"/>
      <c r="N46" s="249">
        <f t="shared" si="2"/>
        <v>0</v>
      </c>
      <c r="O46" s="124">
        <f t="shared" si="3"/>
      </c>
    </row>
    <row r="47" spans="2:15" s="90" customFormat="1" ht="15" hidden="1">
      <c r="B47" s="420"/>
      <c r="C47" s="94"/>
      <c r="D47" s="117" t="s">
        <v>62</v>
      </c>
      <c r="E47" s="118"/>
      <c r="F47" s="146">
        <f>'Res (100kWh)'!F47</f>
        <v>0</v>
      </c>
      <c r="G47" s="120">
        <v>1</v>
      </c>
      <c r="H47" s="121">
        <f t="shared" si="6"/>
        <v>0</v>
      </c>
      <c r="I47" s="103"/>
      <c r="J47" s="249">
        <f>'Res (100kWh)'!J47</f>
        <v>0</v>
      </c>
      <c r="K47" s="120">
        <v>1</v>
      </c>
      <c r="L47" s="121">
        <f t="shared" si="7"/>
        <v>0</v>
      </c>
      <c r="M47" s="103"/>
      <c r="N47" s="249">
        <f>L47-H47</f>
        <v>0</v>
      </c>
      <c r="O47" s="124">
        <f>IF((H47)=0,"",(N47/H47))</f>
      </c>
    </row>
    <row r="48" spans="2:15" s="90" customFormat="1" ht="15" hidden="1">
      <c r="B48" s="118"/>
      <c r="C48" s="94"/>
      <c r="D48" s="117" t="s">
        <v>63</v>
      </c>
      <c r="E48" s="118"/>
      <c r="F48" s="146">
        <f>'Res (100kWh)'!F48</f>
        <v>0</v>
      </c>
      <c r="G48" s="120">
        <f>$F$18</f>
        <v>250</v>
      </c>
      <c r="H48" s="121">
        <f>G48*F48</f>
        <v>0</v>
      </c>
      <c r="I48" s="103"/>
      <c r="J48" s="145">
        <f>'Res (100kWh)'!J48</f>
        <v>0</v>
      </c>
      <c r="K48" s="120">
        <f>$F$18</f>
        <v>250</v>
      </c>
      <c r="L48" s="121">
        <f>K48*J48</f>
        <v>0</v>
      </c>
      <c r="M48" s="103"/>
      <c r="N48" s="249">
        <f>L48-H48</f>
        <v>0</v>
      </c>
      <c r="O48" s="124">
        <f>IF((H48)=0,"",(N48/H48))</f>
      </c>
    </row>
    <row r="49" spans="2:15" s="90" customFormat="1" ht="15">
      <c r="B49" s="100" t="s">
        <v>26</v>
      </c>
      <c r="C49" s="94"/>
      <c r="D49" s="117" t="s">
        <v>63</v>
      </c>
      <c r="E49" s="118"/>
      <c r="F49" s="146">
        <f>'Res (100kWh)'!F49</f>
        <v>0.0024</v>
      </c>
      <c r="G49" s="120">
        <f>$F$18</f>
        <v>250</v>
      </c>
      <c r="H49" s="121">
        <f t="shared" si="6"/>
        <v>0.6</v>
      </c>
      <c r="I49" s="103"/>
      <c r="J49" s="145">
        <f>'Res (100kWh)'!J49</f>
        <v>0.0024</v>
      </c>
      <c r="K49" s="120">
        <f>$F$18</f>
        <v>250</v>
      </c>
      <c r="L49" s="121">
        <f t="shared" si="7"/>
        <v>0.6</v>
      </c>
      <c r="M49" s="103"/>
      <c r="N49" s="249">
        <f t="shared" si="2"/>
        <v>0</v>
      </c>
      <c r="O49" s="124">
        <f t="shared" si="3"/>
        <v>0</v>
      </c>
    </row>
    <row r="50" spans="2:15" s="141" customFormat="1" ht="15">
      <c r="B50" s="101" t="s">
        <v>27</v>
      </c>
      <c r="C50" s="118"/>
      <c r="D50" s="117" t="s">
        <v>63</v>
      </c>
      <c r="E50" s="118"/>
      <c r="F50" s="146">
        <f>IF(ISBLANK(D16)=TRUE,0,IF(D16="TOU",0.64*$F$61+0.18*$F$62+0.18*$F$63,IF(AND(D16="non-TOU",G65&gt;0),F65,F64)))</f>
        <v>0.10214000000000001</v>
      </c>
      <c r="G50" s="120">
        <f>$F$18*(1+$F$80)-$F$18</f>
        <v>12.375</v>
      </c>
      <c r="H50" s="147">
        <f t="shared" si="6"/>
        <v>1.2639825</v>
      </c>
      <c r="I50" s="129"/>
      <c r="J50" s="145">
        <f>0.64*$F$61+0.18*$F$62+0.18*$F$63</f>
        <v>0.10214000000000001</v>
      </c>
      <c r="K50" s="120">
        <f>$F$18*(1+$J$80)-$F$18</f>
        <v>12.375</v>
      </c>
      <c r="L50" s="147">
        <f t="shared" si="7"/>
        <v>1.2639825</v>
      </c>
      <c r="M50" s="129"/>
      <c r="N50" s="249">
        <f t="shared" si="2"/>
        <v>0</v>
      </c>
      <c r="O50" s="148">
        <f t="shared" si="3"/>
        <v>0</v>
      </c>
    </row>
    <row r="51" spans="2:15" s="90" customFormat="1" ht="15">
      <c r="B51" s="100" t="s">
        <v>28</v>
      </c>
      <c r="C51" s="94"/>
      <c r="D51" s="117" t="s">
        <v>62</v>
      </c>
      <c r="E51" s="118"/>
      <c r="F51" s="413">
        <f>'Res (100kWh)'!F51</f>
        <v>0.79</v>
      </c>
      <c r="G51" s="120">
        <v>1</v>
      </c>
      <c r="H51" s="121">
        <f t="shared" si="6"/>
        <v>0.79</v>
      </c>
      <c r="I51" s="103"/>
      <c r="J51" s="413">
        <f>'Res (100kWh)'!J51</f>
        <v>0.79</v>
      </c>
      <c r="K51" s="120">
        <v>1</v>
      </c>
      <c r="L51" s="121">
        <f t="shared" si="7"/>
        <v>0.79</v>
      </c>
      <c r="M51" s="103"/>
      <c r="N51" s="249">
        <f t="shared" si="2"/>
        <v>0</v>
      </c>
      <c r="O51" s="124"/>
    </row>
    <row r="52" spans="2:15" s="90" customFormat="1" ht="15">
      <c r="B52" s="102" t="s">
        <v>29</v>
      </c>
      <c r="C52" s="149"/>
      <c r="D52" s="149"/>
      <c r="E52" s="149"/>
      <c r="F52" s="150"/>
      <c r="G52" s="151"/>
      <c r="H52" s="186">
        <f>SUM(H42:H51)+H41</f>
        <v>19.148982500000002</v>
      </c>
      <c r="I52" s="138"/>
      <c r="J52" s="417"/>
      <c r="K52" s="152"/>
      <c r="L52" s="186">
        <f>SUM(L42:L51)+L41</f>
        <v>24.4289825</v>
      </c>
      <c r="M52" s="138"/>
      <c r="N52" s="184">
        <f t="shared" si="2"/>
        <v>5.279999999999998</v>
      </c>
      <c r="O52" s="185">
        <f aca="true" t="shared" si="8" ref="O52:O71">IF((H52)=0,"",(N52/H52))</f>
        <v>0.27573266621346576</v>
      </c>
    </row>
    <row r="53" spans="2:15" s="90" customFormat="1" ht="15">
      <c r="B53" s="103" t="s">
        <v>30</v>
      </c>
      <c r="C53" s="103"/>
      <c r="D53" s="127" t="s">
        <v>63</v>
      </c>
      <c r="E53" s="129"/>
      <c r="F53" s="145">
        <f>'Res (100kWh)'!F53</f>
        <v>0.0048</v>
      </c>
      <c r="G53" s="483">
        <f>F18*(1+F80)</f>
        <v>262.375</v>
      </c>
      <c r="H53" s="121">
        <f>G53*F53</f>
        <v>1.2593999999999999</v>
      </c>
      <c r="I53" s="103"/>
      <c r="J53" s="145">
        <f>'Res (100kWh)'!J53</f>
        <v>0.0064</v>
      </c>
      <c r="K53" s="484">
        <f>F18*(1+J80)</f>
        <v>262.375</v>
      </c>
      <c r="L53" s="121">
        <f>K53*J53</f>
        <v>1.6792</v>
      </c>
      <c r="M53" s="103"/>
      <c r="N53" s="249">
        <f t="shared" si="2"/>
        <v>0.4198000000000002</v>
      </c>
      <c r="O53" s="124">
        <f t="shared" si="8"/>
        <v>0.33333333333333354</v>
      </c>
    </row>
    <row r="54" spans="2:15" s="90" customFormat="1" ht="15">
      <c r="B54" s="104" t="s">
        <v>31</v>
      </c>
      <c r="C54" s="103"/>
      <c r="D54" s="127" t="s">
        <v>63</v>
      </c>
      <c r="E54" s="129"/>
      <c r="F54" s="145">
        <f>'Res (100kWh)'!F54</f>
        <v>0.0019</v>
      </c>
      <c r="G54" s="483">
        <f>G53</f>
        <v>262.375</v>
      </c>
      <c r="H54" s="121">
        <f>G54*F54</f>
        <v>0.4985125</v>
      </c>
      <c r="I54" s="103"/>
      <c r="J54" s="145">
        <f>'Res (100kWh)'!J54</f>
        <v>0.003</v>
      </c>
      <c r="K54" s="484">
        <f>K53</f>
        <v>262.375</v>
      </c>
      <c r="L54" s="121">
        <f>K54*J54</f>
        <v>0.787125</v>
      </c>
      <c r="M54" s="103"/>
      <c r="N54" s="249">
        <f t="shared" si="2"/>
        <v>0.28861249999999994</v>
      </c>
      <c r="O54" s="124">
        <f t="shared" si="8"/>
        <v>0.5789473684210524</v>
      </c>
    </row>
    <row r="55" spans="2:15" s="90" customFormat="1" ht="15">
      <c r="B55" s="102" t="s">
        <v>32</v>
      </c>
      <c r="C55" s="133"/>
      <c r="D55" s="133"/>
      <c r="E55" s="133"/>
      <c r="F55" s="153"/>
      <c r="G55" s="151"/>
      <c r="H55" s="186">
        <f>SUM(H52:H54)</f>
        <v>20.906895000000002</v>
      </c>
      <c r="I55" s="187"/>
      <c r="J55" s="418"/>
      <c r="K55" s="189"/>
      <c r="L55" s="186">
        <f>SUM(L52:L54)</f>
        <v>26.8953075</v>
      </c>
      <c r="M55" s="187"/>
      <c r="N55" s="184">
        <f t="shared" si="2"/>
        <v>5.988412499999999</v>
      </c>
      <c r="O55" s="185">
        <f t="shared" si="8"/>
        <v>0.28643241858726504</v>
      </c>
    </row>
    <row r="56" spans="2:15" s="90" customFormat="1" ht="15">
      <c r="B56" s="95" t="s">
        <v>33</v>
      </c>
      <c r="C56" s="94"/>
      <c r="D56" s="117" t="s">
        <v>63</v>
      </c>
      <c r="E56" s="118"/>
      <c r="F56" s="146">
        <f>'Res (100kWh)'!F56</f>
        <v>0.0044</v>
      </c>
      <c r="G56" s="483">
        <f>G54</f>
        <v>262.375</v>
      </c>
      <c r="H56" s="121">
        <f aca="true" t="shared" si="9" ref="H56:H63">G56*F56</f>
        <v>1.15445</v>
      </c>
      <c r="I56" s="103"/>
      <c r="J56" s="479">
        <f>'Res (100kWh)'!J56</f>
        <v>0.0036</v>
      </c>
      <c r="K56" s="484">
        <f>K54</f>
        <v>262.375</v>
      </c>
      <c r="L56" s="121">
        <f aca="true" t="shared" si="10" ref="L56:L63">K56*J56</f>
        <v>0.94455</v>
      </c>
      <c r="M56" s="103"/>
      <c r="N56" s="249">
        <f t="shared" si="2"/>
        <v>-0.20989999999999998</v>
      </c>
      <c r="O56" s="124">
        <f t="shared" si="8"/>
        <v>-0.1818181818181818</v>
      </c>
    </row>
    <row r="57" spans="2:15" s="90" customFormat="1" ht="15">
      <c r="B57" s="95" t="s">
        <v>34</v>
      </c>
      <c r="C57" s="94"/>
      <c r="D57" s="117" t="s">
        <v>63</v>
      </c>
      <c r="E57" s="118"/>
      <c r="F57" s="146">
        <f>'Res (100kWh)'!F57</f>
        <v>0.0013</v>
      </c>
      <c r="G57" s="483">
        <f>G54</f>
        <v>262.375</v>
      </c>
      <c r="H57" s="121">
        <f t="shared" si="9"/>
        <v>0.3410875</v>
      </c>
      <c r="I57" s="103"/>
      <c r="J57" s="145">
        <f>'Res (100kWh)'!J57</f>
        <v>0.0013</v>
      </c>
      <c r="K57" s="484">
        <f>K54</f>
        <v>262.375</v>
      </c>
      <c r="L57" s="121">
        <f t="shared" si="10"/>
        <v>0.3410875</v>
      </c>
      <c r="M57" s="103"/>
      <c r="N57" s="249">
        <f t="shared" si="2"/>
        <v>0</v>
      </c>
      <c r="O57" s="124">
        <f t="shared" si="8"/>
        <v>0</v>
      </c>
    </row>
    <row r="58" spans="2:15" s="90" customFormat="1" ht="15">
      <c r="B58" s="95" t="s">
        <v>121</v>
      </c>
      <c r="C58" s="94"/>
      <c r="D58" s="117" t="s">
        <v>63</v>
      </c>
      <c r="E58" s="118"/>
      <c r="F58" s="146">
        <f>'Res (100kWh)'!F58</f>
        <v>0</v>
      </c>
      <c r="G58" s="483">
        <f>G54</f>
        <v>262.375</v>
      </c>
      <c r="H58" s="121">
        <f t="shared" si="9"/>
        <v>0</v>
      </c>
      <c r="I58" s="103"/>
      <c r="J58" s="479">
        <f>'Res (100kWh)'!J58</f>
        <v>0.0011</v>
      </c>
      <c r="K58" s="484">
        <f>K54</f>
        <v>262.375</v>
      </c>
      <c r="L58" s="121">
        <f t="shared" si="10"/>
        <v>0.2886125</v>
      </c>
      <c r="M58" s="103"/>
      <c r="N58" s="249">
        <f t="shared" si="2"/>
        <v>0.2886125</v>
      </c>
      <c r="O58" s="124">
        <f t="shared" si="8"/>
      </c>
    </row>
    <row r="59" spans="2:15" s="90" customFormat="1" ht="15">
      <c r="B59" s="94" t="s">
        <v>35</v>
      </c>
      <c r="C59" s="94"/>
      <c r="D59" s="117" t="s">
        <v>62</v>
      </c>
      <c r="E59" s="118"/>
      <c r="F59" s="413">
        <f>'Res (100kWh)'!F59</f>
        <v>0.25</v>
      </c>
      <c r="G59" s="120">
        <v>1</v>
      </c>
      <c r="H59" s="121">
        <f t="shared" si="9"/>
        <v>0.25</v>
      </c>
      <c r="I59" s="103"/>
      <c r="J59" s="414">
        <f>'Res (100kWh)'!J59</f>
        <v>0.25</v>
      </c>
      <c r="K59" s="122">
        <v>1</v>
      </c>
      <c r="L59" s="121">
        <f t="shared" si="10"/>
        <v>0.25</v>
      </c>
      <c r="M59" s="103"/>
      <c r="N59" s="249">
        <f t="shared" si="2"/>
        <v>0</v>
      </c>
      <c r="O59" s="124">
        <f t="shared" si="8"/>
        <v>0</v>
      </c>
    </row>
    <row r="60" spans="2:15" s="90" customFormat="1" ht="15">
      <c r="B60" s="94" t="s">
        <v>36</v>
      </c>
      <c r="C60" s="94"/>
      <c r="D60" s="117" t="s">
        <v>63</v>
      </c>
      <c r="E60" s="118"/>
      <c r="F60" s="146">
        <f>'Res (100kWh)'!F60</f>
        <v>0.007</v>
      </c>
      <c r="G60" s="154">
        <f>F18</f>
        <v>250</v>
      </c>
      <c r="H60" s="121">
        <f t="shared" si="9"/>
        <v>1.75</v>
      </c>
      <c r="I60" s="103"/>
      <c r="J60" s="145">
        <f>'Res (100kWh)'!J60</f>
        <v>0</v>
      </c>
      <c r="K60" s="155">
        <f>F18</f>
        <v>250</v>
      </c>
      <c r="L60" s="121">
        <f t="shared" si="10"/>
        <v>0</v>
      </c>
      <c r="M60" s="103"/>
      <c r="N60" s="249">
        <f t="shared" si="2"/>
        <v>-1.75</v>
      </c>
      <c r="O60" s="124">
        <f t="shared" si="8"/>
        <v>-1</v>
      </c>
    </row>
    <row r="61" spans="2:19" s="90" customFormat="1" ht="15">
      <c r="B61" s="100" t="s">
        <v>37</v>
      </c>
      <c r="C61" s="94"/>
      <c r="D61" s="117" t="s">
        <v>63</v>
      </c>
      <c r="E61" s="118"/>
      <c r="F61" s="146">
        <f>'Res (100kWh)'!F61</f>
        <v>0.08</v>
      </c>
      <c r="G61" s="154">
        <f>0.64*$F$18</f>
        <v>160</v>
      </c>
      <c r="H61" s="121">
        <f t="shared" si="9"/>
        <v>12.8</v>
      </c>
      <c r="I61" s="103"/>
      <c r="J61" s="146">
        <f>'Res (100kWh)'!J61</f>
        <v>0.08</v>
      </c>
      <c r="K61" s="154">
        <f>G61</f>
        <v>160</v>
      </c>
      <c r="L61" s="121">
        <f t="shared" si="10"/>
        <v>12.8</v>
      </c>
      <c r="M61" s="103"/>
      <c r="N61" s="249">
        <f t="shared" si="2"/>
        <v>0</v>
      </c>
      <c r="O61" s="124">
        <f t="shared" si="8"/>
        <v>0</v>
      </c>
      <c r="S61" s="156"/>
    </row>
    <row r="62" spans="2:19" s="90" customFormat="1" ht="15">
      <c r="B62" s="100" t="s">
        <v>38</v>
      </c>
      <c r="C62" s="94"/>
      <c r="D62" s="117" t="s">
        <v>63</v>
      </c>
      <c r="E62" s="118"/>
      <c r="F62" s="146">
        <f>'Res (100kWh)'!F62</f>
        <v>0.122</v>
      </c>
      <c r="G62" s="154">
        <f>0.18*$F$18</f>
        <v>45</v>
      </c>
      <c r="H62" s="121">
        <f t="shared" si="9"/>
        <v>5.49</v>
      </c>
      <c r="I62" s="103"/>
      <c r="J62" s="146">
        <f>'Res (100kWh)'!J62</f>
        <v>0.122</v>
      </c>
      <c r="K62" s="154">
        <f>G62</f>
        <v>45</v>
      </c>
      <c r="L62" s="121">
        <f t="shared" si="10"/>
        <v>5.49</v>
      </c>
      <c r="M62" s="103"/>
      <c r="N62" s="249">
        <f t="shared" si="2"/>
        <v>0</v>
      </c>
      <c r="O62" s="124">
        <f t="shared" si="8"/>
        <v>0</v>
      </c>
      <c r="S62" s="156"/>
    </row>
    <row r="63" spans="2:19" s="90" customFormat="1" ht="15">
      <c r="B63" s="93" t="s">
        <v>39</v>
      </c>
      <c r="C63" s="94"/>
      <c r="D63" s="117" t="s">
        <v>63</v>
      </c>
      <c r="E63" s="118"/>
      <c r="F63" s="146">
        <f>'Res (100kWh)'!F63</f>
        <v>0.161</v>
      </c>
      <c r="G63" s="154">
        <f>0.18*$F$18</f>
        <v>45</v>
      </c>
      <c r="H63" s="121">
        <f t="shared" si="9"/>
        <v>7.245</v>
      </c>
      <c r="I63" s="103"/>
      <c r="J63" s="146">
        <f>'Res (100kWh)'!J63</f>
        <v>0.161</v>
      </c>
      <c r="K63" s="154">
        <f>G63</f>
        <v>45</v>
      </c>
      <c r="L63" s="121">
        <f t="shared" si="10"/>
        <v>7.245</v>
      </c>
      <c r="M63" s="103"/>
      <c r="N63" s="249">
        <f t="shared" si="2"/>
        <v>0</v>
      </c>
      <c r="O63" s="124">
        <f t="shared" si="8"/>
        <v>0</v>
      </c>
      <c r="S63" s="156"/>
    </row>
    <row r="64" spans="2:15" s="194" customFormat="1" ht="15">
      <c r="B64" s="105" t="s">
        <v>40</v>
      </c>
      <c r="C64" s="105"/>
      <c r="D64" s="190" t="s">
        <v>63</v>
      </c>
      <c r="E64" s="191"/>
      <c r="F64" s="146">
        <f>'Res (100kWh)'!F64</f>
        <v>0.094</v>
      </c>
      <c r="G64" s="192">
        <f>IF(AND($T$1=1,F18&gt;=600),600,IF(AND($T$1=1,AND(F18&lt;600,F18&gt;=0)),F18,IF(AND($T$1=2,F18&gt;=1000),1000,IF(AND($T$1=2,AND(F18&lt;1000,F18&gt;=0)),F18))))</f>
        <v>250</v>
      </c>
      <c r="H64" s="121">
        <f>G64*F64</f>
        <v>23.5</v>
      </c>
      <c r="I64" s="193"/>
      <c r="J64" s="146">
        <f>'Res (100kWh)'!J64</f>
        <v>0.094</v>
      </c>
      <c r="K64" s="192">
        <f>G64</f>
        <v>250</v>
      </c>
      <c r="L64" s="121">
        <f>K64*J64</f>
        <v>23.5</v>
      </c>
      <c r="M64" s="193"/>
      <c r="N64" s="249">
        <f t="shared" si="2"/>
        <v>0</v>
      </c>
      <c r="O64" s="124">
        <f t="shared" si="8"/>
        <v>0</v>
      </c>
    </row>
    <row r="65" spans="2:15" s="194" customFormat="1" ht="15.75" thickBot="1">
      <c r="B65" s="105" t="s">
        <v>41</v>
      </c>
      <c r="C65" s="105"/>
      <c r="D65" s="190" t="s">
        <v>63</v>
      </c>
      <c r="E65" s="191"/>
      <c r="F65" s="146">
        <f>'Res (100kWh)'!F65</f>
        <v>0.11</v>
      </c>
      <c r="G65" s="192">
        <f>IF(AND($T$1=1,F18&gt;=600),F18-600,IF(AND($T$1=1,AND(F18&lt;600,F18&gt;=0)),0,IF(AND($T$1=2,F18&gt;=1000),F18-1000,IF(AND($T$1=2,AND(F18&lt;1000,F18&gt;=0)),0))))</f>
        <v>0</v>
      </c>
      <c r="H65" s="121">
        <f>G65*F65</f>
        <v>0</v>
      </c>
      <c r="I65" s="193"/>
      <c r="J65" s="146">
        <f>'Res (100kWh)'!J65</f>
        <v>0.11</v>
      </c>
      <c r="K65" s="192">
        <f>G65</f>
        <v>0</v>
      </c>
      <c r="L65" s="121">
        <f>K65*J65</f>
        <v>0</v>
      </c>
      <c r="M65" s="193"/>
      <c r="N65" s="249">
        <f t="shared" si="2"/>
        <v>0</v>
      </c>
      <c r="O65" s="124">
        <f t="shared" si="8"/>
      </c>
    </row>
    <row r="66" spans="2:15" s="90" customFormat="1" ht="8.25" customHeight="1" thickBot="1">
      <c r="B66" s="106"/>
      <c r="C66" s="115"/>
      <c r="D66" s="116"/>
      <c r="E66" s="115"/>
      <c r="F66" s="157"/>
      <c r="G66" s="158"/>
      <c r="H66" s="159"/>
      <c r="I66" s="160"/>
      <c r="J66" s="157"/>
      <c r="K66" s="161"/>
      <c r="L66" s="159"/>
      <c r="M66" s="160"/>
      <c r="N66" s="162"/>
      <c r="O66" s="163"/>
    </row>
    <row r="67" spans="2:19" s="90" customFormat="1" ht="15">
      <c r="B67" s="107" t="s">
        <v>42</v>
      </c>
      <c r="C67" s="94"/>
      <c r="D67" s="94"/>
      <c r="E67" s="94"/>
      <c r="F67" s="164"/>
      <c r="G67" s="165"/>
      <c r="H67" s="195">
        <f>SUM(H56:H63,H55)</f>
        <v>49.93743250000001</v>
      </c>
      <c r="I67" s="196"/>
      <c r="J67" s="197"/>
      <c r="K67" s="197"/>
      <c r="L67" s="198">
        <f>SUM(L56:L63,L55)</f>
        <v>54.254557500000004</v>
      </c>
      <c r="M67" s="199"/>
      <c r="N67" s="250">
        <f>L67-H67</f>
        <v>4.317124999999997</v>
      </c>
      <c r="O67" s="200">
        <f>IF((H67)=0,"",(N67/H67))</f>
        <v>0.08645068005849113</v>
      </c>
      <c r="S67" s="156"/>
    </row>
    <row r="68" spans="2:19" s="90" customFormat="1" ht="15">
      <c r="B68" s="108" t="s">
        <v>43</v>
      </c>
      <c r="C68" s="94"/>
      <c r="D68" s="94"/>
      <c r="E68" s="94"/>
      <c r="F68" s="166">
        <v>0.13</v>
      </c>
      <c r="G68" s="167"/>
      <c r="H68" s="201">
        <f>H67*F68</f>
        <v>6.491866225000001</v>
      </c>
      <c r="I68" s="202"/>
      <c r="J68" s="203">
        <v>0.13</v>
      </c>
      <c r="K68" s="202"/>
      <c r="L68" s="204">
        <f>L67*J68</f>
        <v>7.053092475000001</v>
      </c>
      <c r="M68" s="205"/>
      <c r="N68" s="249">
        <f t="shared" si="2"/>
        <v>0.5612262499999998</v>
      </c>
      <c r="O68" s="206">
        <f t="shared" si="8"/>
        <v>0.08645068005849116</v>
      </c>
      <c r="S68" s="156"/>
    </row>
    <row r="69" spans="2:19" s="90" customFormat="1" ht="15">
      <c r="B69" s="109" t="s">
        <v>44</v>
      </c>
      <c r="C69" s="94"/>
      <c r="D69" s="94"/>
      <c r="E69" s="94"/>
      <c r="F69" s="168"/>
      <c r="G69" s="167"/>
      <c r="H69" s="201">
        <f>H67+H68</f>
        <v>56.42929872500001</v>
      </c>
      <c r="I69" s="202"/>
      <c r="J69" s="202"/>
      <c r="K69" s="202"/>
      <c r="L69" s="204">
        <f>L67+L68</f>
        <v>61.307649975000004</v>
      </c>
      <c r="M69" s="205"/>
      <c r="N69" s="249">
        <f t="shared" si="2"/>
        <v>4.878351249999994</v>
      </c>
      <c r="O69" s="206">
        <f t="shared" si="8"/>
        <v>0.08645068005849108</v>
      </c>
      <c r="S69" s="156"/>
    </row>
    <row r="70" spans="2:15" s="90" customFormat="1" ht="15.75" customHeight="1">
      <c r="B70" s="540" t="s">
        <v>45</v>
      </c>
      <c r="C70" s="540"/>
      <c r="D70" s="540"/>
      <c r="E70" s="94"/>
      <c r="F70" s="168"/>
      <c r="G70" s="167"/>
      <c r="H70" s="207">
        <f>ROUND(-H69*10%,2)</f>
        <v>-5.64</v>
      </c>
      <c r="I70" s="202"/>
      <c r="J70" s="202"/>
      <c r="K70" s="202"/>
      <c r="L70" s="208">
        <v>0</v>
      </c>
      <c r="M70" s="205"/>
      <c r="N70" s="249">
        <f t="shared" si="2"/>
        <v>5.64</v>
      </c>
      <c r="O70" s="209">
        <f t="shared" si="8"/>
        <v>-1</v>
      </c>
    </row>
    <row r="71" spans="2:15" s="90" customFormat="1" ht="15.75" thickBot="1">
      <c r="B71" s="541" t="s">
        <v>46</v>
      </c>
      <c r="C71" s="541"/>
      <c r="D71" s="541"/>
      <c r="E71" s="169"/>
      <c r="F71" s="170"/>
      <c r="G71" s="171"/>
      <c r="H71" s="210">
        <f>H69+H70</f>
        <v>50.78929872500001</v>
      </c>
      <c r="I71" s="211"/>
      <c r="J71" s="211"/>
      <c r="K71" s="211"/>
      <c r="L71" s="212">
        <f>L69+L70</f>
        <v>61.307649975000004</v>
      </c>
      <c r="M71" s="213"/>
      <c r="N71" s="251">
        <f t="shared" si="2"/>
        <v>10.518351249999995</v>
      </c>
      <c r="O71" s="214">
        <f t="shared" si="8"/>
        <v>0.20709778465246947</v>
      </c>
    </row>
    <row r="72" spans="2:15" s="194" customFormat="1" ht="8.25" customHeight="1" thickBot="1">
      <c r="B72" s="110"/>
      <c r="C72" s="215"/>
      <c r="D72" s="216"/>
      <c r="E72" s="215"/>
      <c r="F72" s="157"/>
      <c r="G72" s="217"/>
      <c r="H72" s="159"/>
      <c r="I72" s="218"/>
      <c r="J72" s="157"/>
      <c r="K72" s="219"/>
      <c r="L72" s="159"/>
      <c r="M72" s="218"/>
      <c r="N72" s="220"/>
      <c r="O72" s="163"/>
    </row>
    <row r="73" spans="2:15" s="194" customFormat="1" ht="15">
      <c r="B73" s="111" t="s">
        <v>47</v>
      </c>
      <c r="C73" s="105"/>
      <c r="D73" s="105"/>
      <c r="E73" s="105"/>
      <c r="F73" s="221"/>
      <c r="G73" s="222"/>
      <c r="H73" s="223">
        <f>SUM(H64:H65,H55,H56:H60)</f>
        <v>47.9024325</v>
      </c>
      <c r="I73" s="224"/>
      <c r="J73" s="225"/>
      <c r="K73" s="225"/>
      <c r="L73" s="226">
        <f>SUM(L64:L65,L55,L56:L60)</f>
        <v>52.2195575</v>
      </c>
      <c r="M73" s="227"/>
      <c r="N73" s="250">
        <f>L73-H73</f>
        <v>4.317124999999997</v>
      </c>
      <c r="O73" s="200">
        <f>IF((H73)=0,"",(N73/H73))</f>
        <v>0.0901232938431675</v>
      </c>
    </row>
    <row r="74" spans="2:15" s="194" customFormat="1" ht="15">
      <c r="B74" s="112" t="s">
        <v>43</v>
      </c>
      <c r="C74" s="105"/>
      <c r="D74" s="105"/>
      <c r="E74" s="105"/>
      <c r="F74" s="228">
        <v>0.13</v>
      </c>
      <c r="G74" s="222"/>
      <c r="H74" s="229">
        <f>H73*F74</f>
        <v>6.227316225000001</v>
      </c>
      <c r="I74" s="230"/>
      <c r="J74" s="228">
        <v>0.13</v>
      </c>
      <c r="K74" s="231"/>
      <c r="L74" s="232">
        <f>L73*J74</f>
        <v>6.788542475000001</v>
      </c>
      <c r="M74" s="233"/>
      <c r="N74" s="249">
        <f>L74-H74</f>
        <v>0.5612262499999998</v>
      </c>
      <c r="O74" s="206">
        <f>IF((H74)=0,"",(N74/H74))</f>
        <v>0.09012329384316753</v>
      </c>
    </row>
    <row r="75" spans="2:15" s="194" customFormat="1" ht="15">
      <c r="B75" s="113" t="s">
        <v>44</v>
      </c>
      <c r="C75" s="105"/>
      <c r="D75" s="105"/>
      <c r="E75" s="105"/>
      <c r="F75" s="234"/>
      <c r="G75" s="233"/>
      <c r="H75" s="229">
        <f>H73+H74</f>
        <v>54.129748725000006</v>
      </c>
      <c r="I75" s="230"/>
      <c r="J75" s="230"/>
      <c r="K75" s="230"/>
      <c r="L75" s="232">
        <f>L73+L74</f>
        <v>59.008099975</v>
      </c>
      <c r="M75" s="233"/>
      <c r="N75" s="249">
        <f>L75-H75</f>
        <v>4.878351249999994</v>
      </c>
      <c r="O75" s="206">
        <f>IF((H75)=0,"",(N75/H75))</f>
        <v>0.09012329384316746</v>
      </c>
    </row>
    <row r="76" spans="2:15" s="194" customFormat="1" ht="15.75" customHeight="1">
      <c r="B76" s="542" t="s">
        <v>45</v>
      </c>
      <c r="C76" s="542"/>
      <c r="D76" s="542"/>
      <c r="E76" s="105"/>
      <c r="F76" s="234"/>
      <c r="G76" s="233"/>
      <c r="H76" s="235">
        <f>ROUND(-H75*10%,2)</f>
        <v>-5.41</v>
      </c>
      <c r="I76" s="230"/>
      <c r="J76" s="230"/>
      <c r="K76" s="230"/>
      <c r="L76" s="236">
        <v>0</v>
      </c>
      <c r="M76" s="233"/>
      <c r="N76" s="249">
        <f>L76-H76</f>
        <v>5.41</v>
      </c>
      <c r="O76" s="209">
        <f>IF((H76)=0,"",(N76/H76))</f>
        <v>-1</v>
      </c>
    </row>
    <row r="77" spans="2:15" s="194" customFormat="1" ht="15.75" thickBot="1">
      <c r="B77" s="533" t="s">
        <v>48</v>
      </c>
      <c r="C77" s="533"/>
      <c r="D77" s="533"/>
      <c r="E77" s="237"/>
      <c r="F77" s="238"/>
      <c r="G77" s="239"/>
      <c r="H77" s="240">
        <f>SUM(H75:H76)</f>
        <v>48.719748725</v>
      </c>
      <c r="I77" s="241"/>
      <c r="J77" s="241"/>
      <c r="K77" s="241"/>
      <c r="L77" s="242">
        <f>SUM(L75:L76)</f>
        <v>59.008099975</v>
      </c>
      <c r="M77" s="243"/>
      <c r="N77" s="251">
        <f>L77-H77</f>
        <v>10.288351249999998</v>
      </c>
      <c r="O77" s="244">
        <f>IF((H77)=0,"",(N77/H77))</f>
        <v>0.21117414435104925</v>
      </c>
    </row>
    <row r="78" spans="2:15" s="194" customFormat="1" ht="8.25" customHeight="1" thickBot="1">
      <c r="B78" s="110"/>
      <c r="C78" s="215"/>
      <c r="D78" s="216"/>
      <c r="E78" s="215"/>
      <c r="F78" s="172"/>
      <c r="G78" s="245"/>
      <c r="H78" s="173"/>
      <c r="I78" s="246"/>
      <c r="J78" s="172"/>
      <c r="K78" s="217"/>
      <c r="L78" s="174"/>
      <c r="M78" s="218"/>
      <c r="N78" s="247"/>
      <c r="O78" s="163"/>
    </row>
    <row r="79" s="90" customFormat="1" ht="10.5" customHeight="1">
      <c r="L79" s="156"/>
    </row>
    <row r="80" spans="2:10" s="90" customFormat="1" ht="15">
      <c r="B80" s="114" t="s">
        <v>49</v>
      </c>
      <c r="F80" s="424">
        <f>'Res (100kWh)'!F80</f>
        <v>0.0495</v>
      </c>
      <c r="G80" s="141"/>
      <c r="H80" s="141"/>
      <c r="I80" s="141"/>
      <c r="J80" s="424">
        <f>'Res (100kWh)'!J80</f>
        <v>0.0495</v>
      </c>
    </row>
    <row r="81" s="90" customFormat="1" ht="10.5" customHeight="1"/>
    <row r="82" spans="2:15" s="90" customFormat="1" ht="15">
      <c r="B82" s="470" t="s">
        <v>137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pans="2:15" s="90" customFormat="1" ht="15">
      <c r="B83" s="470" t="s">
        <v>136</v>
      </c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</row>
    <row r="84" s="90" customFormat="1" ht="17.25">
      <c r="A84" s="248" t="s">
        <v>50</v>
      </c>
    </row>
    <row r="85" s="90" customFormat="1" ht="10.5" customHeight="1"/>
    <row r="86" s="90" customFormat="1" ht="15">
      <c r="A86" s="90" t="s">
        <v>51</v>
      </c>
    </row>
    <row r="87" s="90" customFormat="1" ht="15">
      <c r="A87" s="90" t="s">
        <v>52</v>
      </c>
    </row>
    <row r="88" s="90" customFormat="1" ht="15"/>
    <row r="89" s="90" customFormat="1" ht="15">
      <c r="A89" s="93" t="s">
        <v>53</v>
      </c>
    </row>
    <row r="90" s="90" customFormat="1" ht="15">
      <c r="A90" s="93" t="s">
        <v>54</v>
      </c>
    </row>
    <row r="91" s="90" customFormat="1" ht="15"/>
    <row r="92" s="90" customFormat="1" ht="15">
      <c r="A92" s="90" t="s">
        <v>55</v>
      </c>
    </row>
    <row r="93" s="90" customFormat="1" ht="15">
      <c r="A93" s="90" t="s">
        <v>56</v>
      </c>
    </row>
    <row r="94" s="90" customFormat="1" ht="15">
      <c r="A94" s="90" t="s">
        <v>57</v>
      </c>
    </row>
    <row r="95" s="90" customFormat="1" ht="15">
      <c r="A95" s="90" t="s">
        <v>58</v>
      </c>
    </row>
    <row r="96" s="90" customFormat="1" ht="15">
      <c r="A96" s="90" t="s">
        <v>59</v>
      </c>
    </row>
    <row r="98" spans="1:2" ht="15">
      <c r="A98" s="16"/>
      <c r="B98" s="8" t="s">
        <v>60</v>
      </c>
    </row>
  </sheetData>
  <sheetProtection/>
  <mergeCells count="20">
    <mergeCell ref="B77:D77"/>
    <mergeCell ref="D21:D22"/>
    <mergeCell ref="N21:N22"/>
    <mergeCell ref="O21:O22"/>
    <mergeCell ref="B70:D70"/>
    <mergeCell ref="B71:D71"/>
    <mergeCell ref="B76:D76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7:O7"/>
    <mergeCell ref="A3:K3"/>
    <mergeCell ref="B10:O10"/>
    <mergeCell ref="B11:O11"/>
  </mergeCells>
  <dataValidations count="4">
    <dataValidation type="list" allowBlank="1" showInputMessage="1" showErrorMessage="1" sqref="E53:E54 E42:E51 E66 E23:E40 E56:E63">
      <formula1>'Res (250kWh)'!#REF!</formula1>
    </dataValidation>
    <dataValidation type="list" allowBlank="1" showInputMessage="1" showErrorMessage="1" prompt="Select Charge Unit - monthly, per kWh, per kW" sqref="D53:D54 D72 D78 D56:D66 D23:D40 D42:D51">
      <formula1>"Monthly, per kWh, per kW"</formula1>
    </dataValidation>
    <dataValidation type="list" allowBlank="1" showInputMessage="1" showErrorMessage="1" sqref="E78 E72 E64:E65">
      <formula1>'Res (250kWh)'!#REF!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98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58.28125" style="8" customWidth="1"/>
    <col min="3" max="3" width="1.28515625" style="8" customWidth="1"/>
    <col min="4" max="4" width="11.28125" style="8" customWidth="1"/>
    <col min="5" max="5" width="1.28515625" style="8" customWidth="1"/>
    <col min="6" max="6" width="9.7109375" style="8" bestFit="1" customWidth="1"/>
    <col min="7" max="8" width="8.0039062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9.7109375" style="8" customWidth="1"/>
    <col min="13" max="13" width="2.8515625" style="8" customWidth="1"/>
    <col min="14" max="14" width="9.57421875" style="8" bestFit="1" customWidth="1"/>
    <col min="15" max="15" width="10.00390625" style="8" bestFit="1" customWidth="1"/>
    <col min="16" max="16" width="6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 s="20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3</v>
      </c>
      <c r="O4" s="523"/>
      <c r="P4" s="21"/>
    </row>
    <row r="5" spans="3:16" s="2" customFormat="1" ht="15" customHeight="1">
      <c r="C5" s="7"/>
      <c r="D5" s="7"/>
      <c r="E5" s="7"/>
      <c r="L5" s="3" t="s">
        <v>77</v>
      </c>
      <c r="N5" s="525" t="s">
        <v>130</v>
      </c>
      <c r="O5" s="525"/>
      <c r="P5" s="20"/>
    </row>
    <row r="6" spans="12:16" s="2" customFormat="1" ht="9" customHeight="1">
      <c r="L6" s="3"/>
      <c r="N6" s="78"/>
      <c r="O6" s="4"/>
      <c r="P6" s="23"/>
    </row>
    <row r="7" spans="12:16" s="2" customFormat="1" ht="15">
      <c r="L7" s="3" t="s">
        <v>145</v>
      </c>
      <c r="N7" s="526">
        <v>42412</v>
      </c>
      <c r="O7" s="525"/>
      <c r="P7" s="20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148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61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350</v>
      </c>
      <c r="G18" s="14" t="s">
        <v>9</v>
      </c>
    </row>
    <row r="19" ht="15">
      <c r="B19" s="13"/>
    </row>
    <row r="20" spans="2:15" s="90" customFormat="1" ht="15">
      <c r="B20" s="93"/>
      <c r="D20" s="178"/>
      <c r="E20" s="178"/>
      <c r="F20" s="530" t="s">
        <v>10</v>
      </c>
      <c r="G20" s="531"/>
      <c r="H20" s="532"/>
      <c r="J20" s="530" t="s">
        <v>11</v>
      </c>
      <c r="K20" s="531"/>
      <c r="L20" s="532"/>
      <c r="N20" s="530" t="s">
        <v>12</v>
      </c>
      <c r="O20" s="532"/>
    </row>
    <row r="21" spans="2:15" s="90" customFormat="1" ht="15">
      <c r="B21" s="93"/>
      <c r="D21" s="534" t="s">
        <v>13</v>
      </c>
      <c r="E21" s="177"/>
      <c r="F21" s="179" t="s">
        <v>14</v>
      </c>
      <c r="G21" s="179" t="s">
        <v>15</v>
      </c>
      <c r="H21" s="180" t="s">
        <v>16</v>
      </c>
      <c r="J21" s="179" t="s">
        <v>14</v>
      </c>
      <c r="K21" s="181" t="s">
        <v>15</v>
      </c>
      <c r="L21" s="180" t="s">
        <v>16</v>
      </c>
      <c r="N21" s="536" t="s">
        <v>17</v>
      </c>
      <c r="O21" s="538" t="s">
        <v>18</v>
      </c>
    </row>
    <row r="22" spans="2:15" s="90" customFormat="1" ht="15">
      <c r="B22" s="93"/>
      <c r="D22" s="535"/>
      <c r="E22" s="177"/>
      <c r="F22" s="182" t="s">
        <v>19</v>
      </c>
      <c r="G22" s="182"/>
      <c r="H22" s="183" t="s">
        <v>19</v>
      </c>
      <c r="J22" s="182" t="s">
        <v>19</v>
      </c>
      <c r="K22" s="183"/>
      <c r="L22" s="183" t="s">
        <v>19</v>
      </c>
      <c r="N22" s="537"/>
      <c r="O22" s="539"/>
    </row>
    <row r="23" spans="2:15" s="90" customFormat="1" ht="15">
      <c r="B23" s="118" t="s">
        <v>20</v>
      </c>
      <c r="C23" s="94"/>
      <c r="D23" s="117" t="s">
        <v>62</v>
      </c>
      <c r="E23" s="118"/>
      <c r="F23" s="413">
        <f>'Res (100kWh)'!F23</f>
        <v>11.22</v>
      </c>
      <c r="G23" s="120">
        <v>1</v>
      </c>
      <c r="H23" s="121">
        <f>G23*F23</f>
        <v>11.22</v>
      </c>
      <c r="I23" s="103"/>
      <c r="J23" s="481">
        <f>'Res (100kWh)'!J23</f>
        <v>15.59</v>
      </c>
      <c r="K23" s="122">
        <v>1</v>
      </c>
      <c r="L23" s="121">
        <f>K23*J23</f>
        <v>15.59</v>
      </c>
      <c r="M23" s="103"/>
      <c r="N23" s="249">
        <f>L23-H23</f>
        <v>4.369999999999999</v>
      </c>
      <c r="O23" s="124">
        <f>IF((H23)=0,"",(N23/H23))</f>
        <v>0.3894830659536541</v>
      </c>
    </row>
    <row r="24" spans="2:15" s="90" customFormat="1" ht="22.5" customHeight="1" hidden="1">
      <c r="B24" s="118" t="s">
        <v>92</v>
      </c>
      <c r="C24" s="94"/>
      <c r="D24" s="117" t="s">
        <v>62</v>
      </c>
      <c r="E24" s="118"/>
      <c r="F24" s="422">
        <f>'Res (100kWh)'!F24</f>
        <v>0</v>
      </c>
      <c r="G24" s="120">
        <v>1</v>
      </c>
      <c r="H24" s="121">
        <f>G24*F24</f>
        <v>0</v>
      </c>
      <c r="I24" s="103"/>
      <c r="J24" s="414">
        <v>0</v>
      </c>
      <c r="K24" s="122">
        <v>1</v>
      </c>
      <c r="L24" s="121">
        <f>K24*J24</f>
        <v>0</v>
      </c>
      <c r="M24" s="103"/>
      <c r="N24" s="249">
        <f>L24-H24</f>
        <v>0</v>
      </c>
      <c r="O24" s="124">
        <f>IF((H24)=0,"",(N24/H24))</f>
      </c>
    </row>
    <row r="25" spans="2:15" s="90" customFormat="1" ht="15" customHeight="1" hidden="1">
      <c r="B25" s="419" t="s">
        <v>111</v>
      </c>
      <c r="C25" s="94"/>
      <c r="D25" s="127" t="s">
        <v>62</v>
      </c>
      <c r="E25" s="118"/>
      <c r="F25" s="414">
        <v>0</v>
      </c>
      <c r="G25" s="120">
        <v>1</v>
      </c>
      <c r="H25" s="121">
        <f>G25*F25</f>
        <v>0</v>
      </c>
      <c r="I25" s="103"/>
      <c r="J25" s="145">
        <v>0</v>
      </c>
      <c r="K25" s="122">
        <v>1</v>
      </c>
      <c r="L25" s="121">
        <f>K25*J25</f>
        <v>0</v>
      </c>
      <c r="M25" s="103"/>
      <c r="N25" s="249">
        <f>L25-H25</f>
        <v>0</v>
      </c>
      <c r="O25" s="124">
        <f>IF((H25)=0,"",(N25/H25))</f>
      </c>
    </row>
    <row r="26" spans="2:15" s="90" customFormat="1" ht="30">
      <c r="B26" s="419" t="s">
        <v>64</v>
      </c>
      <c r="C26" s="94"/>
      <c r="D26" s="127" t="s">
        <v>62</v>
      </c>
      <c r="E26" s="129"/>
      <c r="F26" s="414">
        <f>'Res (100kWh)'!F26</f>
        <v>1.75</v>
      </c>
      <c r="G26" s="120">
        <v>1</v>
      </c>
      <c r="H26" s="121">
        <f aca="true" t="shared" si="0" ref="H26:H40">G26*F26</f>
        <v>1.75</v>
      </c>
      <c r="I26" s="103"/>
      <c r="J26" s="414">
        <f>'Res (100kWh)'!J26</f>
        <v>1.75</v>
      </c>
      <c r="K26" s="122">
        <v>1</v>
      </c>
      <c r="L26" s="121">
        <f aca="true" t="shared" si="1" ref="L26:L40">K26*J26</f>
        <v>1.75</v>
      </c>
      <c r="M26" s="103"/>
      <c r="N26" s="249">
        <f aca="true" t="shared" si="2" ref="N26:N71">L26-H26</f>
        <v>0</v>
      </c>
      <c r="O26" s="124">
        <f aca="true" t="shared" si="3" ref="O26:O50">IF((H26)=0,"",(N26/H26))</f>
        <v>0</v>
      </c>
    </row>
    <row r="27" spans="2:15" s="90" customFormat="1" ht="15" hidden="1">
      <c r="B27" s="419" t="s">
        <v>65</v>
      </c>
      <c r="C27" s="94"/>
      <c r="D27" s="117" t="s">
        <v>62</v>
      </c>
      <c r="E27" s="118"/>
      <c r="F27" s="146">
        <f>'Res (100kWh)'!F27</f>
        <v>0</v>
      </c>
      <c r="G27" s="120">
        <v>1</v>
      </c>
      <c r="H27" s="121">
        <f t="shared" si="0"/>
        <v>0</v>
      </c>
      <c r="I27" s="103"/>
      <c r="J27" s="414">
        <f>'Res (100kWh)'!J27</f>
        <v>0</v>
      </c>
      <c r="K27" s="122">
        <v>1</v>
      </c>
      <c r="L27" s="121">
        <f t="shared" si="1"/>
        <v>0</v>
      </c>
      <c r="M27" s="103"/>
      <c r="N27" s="249">
        <f t="shared" si="2"/>
        <v>0</v>
      </c>
      <c r="O27" s="124">
        <f t="shared" si="3"/>
      </c>
    </row>
    <row r="28" spans="2:15" s="90" customFormat="1" ht="15">
      <c r="B28" s="420" t="s">
        <v>66</v>
      </c>
      <c r="C28" s="94"/>
      <c r="D28" s="117" t="s">
        <v>62</v>
      </c>
      <c r="E28" s="118"/>
      <c r="F28" s="146">
        <f>'Res (100kWh)'!F28</f>
        <v>0</v>
      </c>
      <c r="G28" s="120">
        <f>G27</f>
        <v>1</v>
      </c>
      <c r="H28" s="121">
        <f t="shared" si="0"/>
        <v>0</v>
      </c>
      <c r="I28" s="103"/>
      <c r="J28" s="477">
        <f>'Res (100kWh)'!J28</f>
        <v>-0.04</v>
      </c>
      <c r="K28" s="120">
        <f>K27</f>
        <v>1</v>
      </c>
      <c r="L28" s="121">
        <f t="shared" si="1"/>
        <v>-0.04</v>
      </c>
      <c r="M28" s="103"/>
      <c r="N28" s="249">
        <f t="shared" si="2"/>
        <v>-0.04</v>
      </c>
      <c r="O28" s="124">
        <f t="shared" si="3"/>
      </c>
    </row>
    <row r="29" spans="2:15" s="90" customFormat="1" ht="15">
      <c r="B29" s="118" t="s">
        <v>110</v>
      </c>
      <c r="C29" s="94"/>
      <c r="D29" s="117" t="s">
        <v>63</v>
      </c>
      <c r="E29" s="118"/>
      <c r="F29" s="423">
        <f>'Res (100kWh)'!F29</f>
        <v>0</v>
      </c>
      <c r="G29" s="120">
        <f>$F$18</f>
        <v>350</v>
      </c>
      <c r="H29" s="121">
        <f t="shared" si="0"/>
        <v>0</v>
      </c>
      <c r="I29" s="103"/>
      <c r="J29" s="479">
        <f>'Res (100kWh)'!J29</f>
        <v>0</v>
      </c>
      <c r="K29" s="120">
        <f>$F$18</f>
        <v>350</v>
      </c>
      <c r="L29" s="121">
        <f t="shared" si="1"/>
        <v>0</v>
      </c>
      <c r="M29" s="103"/>
      <c r="N29" s="249">
        <f t="shared" si="2"/>
        <v>0</v>
      </c>
      <c r="O29" s="124">
        <f t="shared" si="3"/>
      </c>
    </row>
    <row r="30" spans="2:15" s="90" customFormat="1" ht="15" hidden="1">
      <c r="B30" s="420" t="s">
        <v>93</v>
      </c>
      <c r="C30" s="94"/>
      <c r="D30" s="117" t="s">
        <v>63</v>
      </c>
      <c r="E30" s="118"/>
      <c r="F30" s="146">
        <f>'Res (100kWh)'!F30</f>
        <v>0</v>
      </c>
      <c r="G30" s="120">
        <f>$F$18</f>
        <v>350</v>
      </c>
      <c r="H30" s="121">
        <f t="shared" si="0"/>
        <v>0</v>
      </c>
      <c r="I30" s="103"/>
      <c r="J30" s="479">
        <f>'Res (100kWh)'!J30</f>
        <v>0</v>
      </c>
      <c r="K30" s="120">
        <f>$F$18</f>
        <v>350</v>
      </c>
      <c r="L30" s="121">
        <f>K30*J30</f>
        <v>0</v>
      </c>
      <c r="M30" s="103"/>
      <c r="N30" s="249">
        <f>L30-H30</f>
        <v>0</v>
      </c>
      <c r="O30" s="124">
        <f>IF((H30)=0,"",(N30/H30))</f>
      </c>
    </row>
    <row r="31" spans="2:17" s="90" customFormat="1" ht="15">
      <c r="B31" s="118" t="s">
        <v>21</v>
      </c>
      <c r="C31" s="94"/>
      <c r="D31" s="117" t="s">
        <v>63</v>
      </c>
      <c r="E31" s="118"/>
      <c r="F31" s="146">
        <f>'Res (100kWh)'!F31</f>
        <v>0.0211</v>
      </c>
      <c r="G31" s="120">
        <f>$F$18</f>
        <v>350</v>
      </c>
      <c r="H31" s="121">
        <f t="shared" si="0"/>
        <v>7.385000000000001</v>
      </c>
      <c r="I31" s="103"/>
      <c r="J31" s="482">
        <f>'Res (100kWh)'!J31</f>
        <v>0.0158</v>
      </c>
      <c r="K31" s="120">
        <f>$F$18</f>
        <v>350</v>
      </c>
      <c r="L31" s="121">
        <f t="shared" si="1"/>
        <v>5.53</v>
      </c>
      <c r="M31" s="103"/>
      <c r="N31" s="249">
        <f t="shared" si="2"/>
        <v>-1.8550000000000004</v>
      </c>
      <c r="O31" s="124">
        <f>IF((H31)=0,"",(N31/H31))</f>
        <v>-0.2511848341232228</v>
      </c>
      <c r="Q31" s="90" t="s">
        <v>150</v>
      </c>
    </row>
    <row r="32" spans="2:15" s="90" customFormat="1" ht="14.25" customHeight="1" hidden="1">
      <c r="B32" s="118" t="s">
        <v>22</v>
      </c>
      <c r="C32" s="94"/>
      <c r="D32" s="117"/>
      <c r="E32" s="118"/>
      <c r="F32" s="130">
        <f>'Res (100kWh)'!F32</f>
        <v>0</v>
      </c>
      <c r="G32" s="120">
        <f>$F$18</f>
        <v>350</v>
      </c>
      <c r="H32" s="121">
        <f t="shared" si="0"/>
        <v>0</v>
      </c>
      <c r="I32" s="103"/>
      <c r="J32" s="145"/>
      <c r="K32" s="120">
        <f aca="true" t="shared" si="4" ref="K32:K40">$F$18</f>
        <v>350</v>
      </c>
      <c r="L32" s="121">
        <f t="shared" si="1"/>
        <v>0</v>
      </c>
      <c r="M32" s="103"/>
      <c r="N32" s="123">
        <f t="shared" si="2"/>
        <v>0</v>
      </c>
      <c r="O32" s="124">
        <f t="shared" si="3"/>
      </c>
    </row>
    <row r="33" spans="2:15" s="90" customFormat="1" ht="15" hidden="1">
      <c r="B33" s="118" t="s">
        <v>110</v>
      </c>
      <c r="C33" s="94"/>
      <c r="D33" s="117" t="s">
        <v>63</v>
      </c>
      <c r="E33" s="118"/>
      <c r="F33" s="130">
        <f>'Res (100kWh)'!F33</f>
        <v>0</v>
      </c>
      <c r="G33" s="120">
        <f>$F$18</f>
        <v>350</v>
      </c>
      <c r="H33" s="121">
        <f t="shared" si="0"/>
        <v>0</v>
      </c>
      <c r="I33" s="103"/>
      <c r="J33" s="145">
        <v>0</v>
      </c>
      <c r="K33" s="120">
        <f t="shared" si="4"/>
        <v>350</v>
      </c>
      <c r="L33" s="121">
        <f t="shared" si="1"/>
        <v>0</v>
      </c>
      <c r="M33" s="103"/>
      <c r="N33" s="123">
        <f t="shared" si="2"/>
        <v>0</v>
      </c>
      <c r="O33" s="124">
        <f t="shared" si="3"/>
      </c>
    </row>
    <row r="34" spans="2:15" s="90" customFormat="1" ht="15" hidden="1">
      <c r="B34" s="412"/>
      <c r="C34" s="94"/>
      <c r="D34" s="117"/>
      <c r="E34" s="118"/>
      <c r="F34" s="130">
        <f>'Res (100kWh)'!F34</f>
        <v>0</v>
      </c>
      <c r="G34" s="120">
        <f aca="true" t="shared" si="5" ref="G34:G40">$F$18</f>
        <v>350</v>
      </c>
      <c r="H34" s="121">
        <f t="shared" si="0"/>
        <v>0</v>
      </c>
      <c r="I34" s="103"/>
      <c r="J34" s="145"/>
      <c r="K34" s="120">
        <f t="shared" si="4"/>
        <v>350</v>
      </c>
      <c r="L34" s="121">
        <f t="shared" si="1"/>
        <v>0</v>
      </c>
      <c r="M34" s="103"/>
      <c r="N34" s="123">
        <f t="shared" si="2"/>
        <v>0</v>
      </c>
      <c r="O34" s="124">
        <f t="shared" si="3"/>
      </c>
    </row>
    <row r="35" spans="2:15" s="90" customFormat="1" ht="15" hidden="1">
      <c r="B35" s="412"/>
      <c r="C35" s="94"/>
      <c r="D35" s="117"/>
      <c r="E35" s="118"/>
      <c r="F35" s="130">
        <f>'Res (100kWh)'!F35</f>
        <v>0</v>
      </c>
      <c r="G35" s="120">
        <f t="shared" si="5"/>
        <v>350</v>
      </c>
      <c r="H35" s="121">
        <f t="shared" si="0"/>
        <v>0</v>
      </c>
      <c r="I35" s="103"/>
      <c r="J35" s="145"/>
      <c r="K35" s="120">
        <f t="shared" si="4"/>
        <v>350</v>
      </c>
      <c r="L35" s="121">
        <f t="shared" si="1"/>
        <v>0</v>
      </c>
      <c r="M35" s="103"/>
      <c r="N35" s="123">
        <f t="shared" si="2"/>
        <v>0</v>
      </c>
      <c r="O35" s="124">
        <f t="shared" si="3"/>
      </c>
    </row>
    <row r="36" spans="2:15" s="90" customFormat="1" ht="15" hidden="1">
      <c r="B36" s="412"/>
      <c r="C36" s="94"/>
      <c r="D36" s="117"/>
      <c r="E36" s="118"/>
      <c r="F36" s="130">
        <f>'Res (100kWh)'!F36</f>
        <v>0</v>
      </c>
      <c r="G36" s="120">
        <f t="shared" si="5"/>
        <v>350</v>
      </c>
      <c r="H36" s="121">
        <f t="shared" si="0"/>
        <v>0</v>
      </c>
      <c r="I36" s="103"/>
      <c r="J36" s="145"/>
      <c r="K36" s="120">
        <f t="shared" si="4"/>
        <v>350</v>
      </c>
      <c r="L36" s="121">
        <f t="shared" si="1"/>
        <v>0</v>
      </c>
      <c r="M36" s="103"/>
      <c r="N36" s="123">
        <f t="shared" si="2"/>
        <v>0</v>
      </c>
      <c r="O36" s="124">
        <f t="shared" si="3"/>
      </c>
    </row>
    <row r="37" spans="2:15" s="90" customFormat="1" ht="15" hidden="1">
      <c r="B37" s="412"/>
      <c r="C37" s="94"/>
      <c r="D37" s="117"/>
      <c r="E37" s="118"/>
      <c r="F37" s="130">
        <f>'Res (100kWh)'!F37</f>
        <v>0</v>
      </c>
      <c r="G37" s="120">
        <f t="shared" si="5"/>
        <v>350</v>
      </c>
      <c r="H37" s="121">
        <f t="shared" si="0"/>
        <v>0</v>
      </c>
      <c r="I37" s="103"/>
      <c r="J37" s="145"/>
      <c r="K37" s="120">
        <f t="shared" si="4"/>
        <v>350</v>
      </c>
      <c r="L37" s="121">
        <f t="shared" si="1"/>
        <v>0</v>
      </c>
      <c r="M37" s="103"/>
      <c r="N37" s="123">
        <f t="shared" si="2"/>
        <v>0</v>
      </c>
      <c r="O37" s="124">
        <f t="shared" si="3"/>
      </c>
    </row>
    <row r="38" spans="2:15" s="90" customFormat="1" ht="15" hidden="1">
      <c r="B38" s="412"/>
      <c r="C38" s="94"/>
      <c r="D38" s="117"/>
      <c r="E38" s="118"/>
      <c r="F38" s="130">
        <f>'Res (100kWh)'!F38</f>
        <v>0</v>
      </c>
      <c r="G38" s="120">
        <f t="shared" si="5"/>
        <v>350</v>
      </c>
      <c r="H38" s="121">
        <f t="shared" si="0"/>
        <v>0</v>
      </c>
      <c r="I38" s="103"/>
      <c r="J38" s="145"/>
      <c r="K38" s="120">
        <f t="shared" si="4"/>
        <v>350</v>
      </c>
      <c r="L38" s="121">
        <f t="shared" si="1"/>
        <v>0</v>
      </c>
      <c r="M38" s="103"/>
      <c r="N38" s="123">
        <f t="shared" si="2"/>
        <v>0</v>
      </c>
      <c r="O38" s="124">
        <f t="shared" si="3"/>
      </c>
    </row>
    <row r="39" spans="2:15" s="90" customFormat="1" ht="15" hidden="1">
      <c r="B39" s="412"/>
      <c r="C39" s="94"/>
      <c r="D39" s="117"/>
      <c r="E39" s="118"/>
      <c r="F39" s="130">
        <f>'Res (100kWh)'!F39</f>
        <v>0</v>
      </c>
      <c r="G39" s="120">
        <f t="shared" si="5"/>
        <v>350</v>
      </c>
      <c r="H39" s="121">
        <f t="shared" si="0"/>
        <v>0</v>
      </c>
      <c r="I39" s="103"/>
      <c r="J39" s="145"/>
      <c r="K39" s="120">
        <f t="shared" si="4"/>
        <v>350</v>
      </c>
      <c r="L39" s="121">
        <f t="shared" si="1"/>
        <v>0</v>
      </c>
      <c r="M39" s="103"/>
      <c r="N39" s="123">
        <f t="shared" si="2"/>
        <v>0</v>
      </c>
      <c r="O39" s="124">
        <f t="shared" si="3"/>
      </c>
    </row>
    <row r="40" spans="2:15" s="90" customFormat="1" ht="15" hidden="1">
      <c r="B40" s="412"/>
      <c r="C40" s="94"/>
      <c r="D40" s="117"/>
      <c r="E40" s="118"/>
      <c r="F40" s="130">
        <f>'Res (100kWh)'!F40</f>
        <v>0</v>
      </c>
      <c r="G40" s="120">
        <f t="shared" si="5"/>
        <v>350</v>
      </c>
      <c r="H40" s="121">
        <f t="shared" si="0"/>
        <v>0</v>
      </c>
      <c r="I40" s="103"/>
      <c r="J40" s="145"/>
      <c r="K40" s="120">
        <f t="shared" si="4"/>
        <v>350</v>
      </c>
      <c r="L40" s="121">
        <f t="shared" si="1"/>
        <v>0</v>
      </c>
      <c r="M40" s="103"/>
      <c r="N40" s="123">
        <f t="shared" si="2"/>
        <v>0</v>
      </c>
      <c r="O40" s="124">
        <f t="shared" si="3"/>
      </c>
    </row>
    <row r="41" spans="2:22" s="141" customFormat="1" ht="15">
      <c r="B41" s="421" t="s">
        <v>24</v>
      </c>
      <c r="C41" s="133"/>
      <c r="D41" s="134"/>
      <c r="E41" s="133"/>
      <c r="F41" s="135"/>
      <c r="G41" s="136"/>
      <c r="H41" s="137">
        <f>SUM(H23:H40)</f>
        <v>20.355</v>
      </c>
      <c r="I41" s="138"/>
      <c r="J41" s="415"/>
      <c r="K41" s="140"/>
      <c r="L41" s="137">
        <f>SUM(L23:L40)</f>
        <v>22.830000000000002</v>
      </c>
      <c r="M41" s="138"/>
      <c r="N41" s="184">
        <f t="shared" si="2"/>
        <v>2.4750000000000014</v>
      </c>
      <c r="O41" s="185">
        <f t="shared" si="3"/>
        <v>0.1215917464996316</v>
      </c>
      <c r="Q41" s="492">
        <f>N41-N28-N29</f>
        <v>2.5150000000000015</v>
      </c>
      <c r="R41" s="493">
        <f>(L41-L28-L29)/(H41-H28-H29)-1</f>
        <v>0.12355686563497925</v>
      </c>
      <c r="V41" s="90"/>
    </row>
    <row r="42" spans="2:15" s="90" customFormat="1" ht="15" hidden="1">
      <c r="B42" s="419"/>
      <c r="C42" s="94"/>
      <c r="D42" s="127" t="s">
        <v>62</v>
      </c>
      <c r="E42" s="118"/>
      <c r="F42" s="130">
        <f>'Res (100kWh)'!F42</f>
        <v>0</v>
      </c>
      <c r="G42" s="120">
        <v>1</v>
      </c>
      <c r="H42" s="121">
        <f>G42*F42</f>
        <v>0</v>
      </c>
      <c r="I42" s="103"/>
      <c r="J42" s="414"/>
      <c r="K42" s="122">
        <v>1</v>
      </c>
      <c r="L42" s="121">
        <f>K42*J42</f>
        <v>0</v>
      </c>
      <c r="M42" s="103"/>
      <c r="N42" s="123">
        <f>L42-H42</f>
        <v>0</v>
      </c>
      <c r="O42" s="124">
        <f>IF((H42)=0,"",(N42/H42))</f>
      </c>
    </row>
    <row r="43" spans="2:15" s="90" customFormat="1" ht="15">
      <c r="B43" s="420" t="s">
        <v>25</v>
      </c>
      <c r="C43" s="94"/>
      <c r="D43" s="127" t="s">
        <v>63</v>
      </c>
      <c r="E43" s="129"/>
      <c r="F43" s="416">
        <f>'Res (100kWh)'!F43</f>
        <v>-0.007</v>
      </c>
      <c r="G43" s="120">
        <f>$F$18</f>
        <v>350</v>
      </c>
      <c r="H43" s="121">
        <f aca="true" t="shared" si="6" ref="H43:H51">G43*F43</f>
        <v>-2.45</v>
      </c>
      <c r="I43" s="103"/>
      <c r="J43" s="416">
        <f>'Res (100kWh)'!J43</f>
        <v>0.0021</v>
      </c>
      <c r="K43" s="120">
        <f>$F$18</f>
        <v>350</v>
      </c>
      <c r="L43" s="121">
        <f aca="true" t="shared" si="7" ref="L43:L51">K43*J43</f>
        <v>0.735</v>
      </c>
      <c r="M43" s="103"/>
      <c r="N43" s="249">
        <f t="shared" si="2"/>
        <v>3.185</v>
      </c>
      <c r="O43" s="124">
        <f t="shared" si="3"/>
        <v>-1.2999999999999998</v>
      </c>
    </row>
    <row r="44" spans="2:15" s="90" customFormat="1" ht="15" customHeight="1" hidden="1">
      <c r="B44" s="420"/>
      <c r="C44" s="94"/>
      <c r="D44" s="117" t="s">
        <v>63</v>
      </c>
      <c r="E44" s="118"/>
      <c r="F44" s="146">
        <f>'Res (100kWh)'!F44</f>
        <v>0</v>
      </c>
      <c r="G44" s="120">
        <f>$F$18</f>
        <v>350</v>
      </c>
      <c r="H44" s="121">
        <f t="shared" si="6"/>
        <v>0</v>
      </c>
      <c r="I44" s="143"/>
      <c r="J44" s="145">
        <f>'Res (100kWh)'!J44</f>
        <v>0</v>
      </c>
      <c r="K44" s="120">
        <f>$F$18</f>
        <v>350</v>
      </c>
      <c r="L44" s="121">
        <f t="shared" si="7"/>
        <v>0</v>
      </c>
      <c r="M44" s="144"/>
      <c r="N44" s="249">
        <f t="shared" si="2"/>
        <v>0</v>
      </c>
      <c r="O44" s="124">
        <f t="shared" si="3"/>
      </c>
    </row>
    <row r="45" spans="2:15" s="90" customFormat="1" ht="15" customHeight="1" hidden="1">
      <c r="B45" s="420"/>
      <c r="C45" s="94"/>
      <c r="D45" s="117" t="s">
        <v>63</v>
      </c>
      <c r="E45" s="118"/>
      <c r="F45" s="146">
        <f>'Res (100kWh)'!F45</f>
        <v>0</v>
      </c>
      <c r="G45" s="120">
        <f>$F$18</f>
        <v>350</v>
      </c>
      <c r="H45" s="121">
        <f t="shared" si="6"/>
        <v>0</v>
      </c>
      <c r="I45" s="143"/>
      <c r="J45" s="145">
        <f>'Res (100kWh)'!J45</f>
        <v>0</v>
      </c>
      <c r="K45" s="120">
        <f>$F$18</f>
        <v>350</v>
      </c>
      <c r="L45" s="121">
        <f t="shared" si="7"/>
        <v>0</v>
      </c>
      <c r="M45" s="144"/>
      <c r="N45" s="249">
        <f t="shared" si="2"/>
        <v>0</v>
      </c>
      <c r="O45" s="124">
        <f t="shared" si="3"/>
      </c>
    </row>
    <row r="46" spans="2:15" s="90" customFormat="1" ht="15" customHeight="1" hidden="1">
      <c r="B46" s="420"/>
      <c r="C46" s="94"/>
      <c r="D46" s="117"/>
      <c r="E46" s="118"/>
      <c r="F46" s="146">
        <f>'Res (100kWh)'!F46</f>
        <v>0</v>
      </c>
      <c r="G46" s="120">
        <f>$F$18</f>
        <v>350</v>
      </c>
      <c r="H46" s="121">
        <f t="shared" si="6"/>
        <v>0</v>
      </c>
      <c r="I46" s="143"/>
      <c r="J46" s="145">
        <f>'Res (100kWh)'!J46</f>
        <v>0</v>
      </c>
      <c r="K46" s="120">
        <f>$F$18</f>
        <v>350</v>
      </c>
      <c r="L46" s="121">
        <f t="shared" si="7"/>
        <v>0</v>
      </c>
      <c r="M46" s="144"/>
      <c r="N46" s="249">
        <f t="shared" si="2"/>
        <v>0</v>
      </c>
      <c r="O46" s="124">
        <f t="shared" si="3"/>
      </c>
    </row>
    <row r="47" spans="2:15" s="90" customFormat="1" ht="15" customHeight="1" hidden="1">
      <c r="B47" s="420"/>
      <c r="C47" s="94"/>
      <c r="D47" s="117" t="s">
        <v>62</v>
      </c>
      <c r="E47" s="118"/>
      <c r="F47" s="146">
        <f>'Res (100kWh)'!F47</f>
        <v>0</v>
      </c>
      <c r="G47" s="120">
        <v>1</v>
      </c>
      <c r="H47" s="121">
        <f t="shared" si="6"/>
        <v>0</v>
      </c>
      <c r="I47" s="103"/>
      <c r="J47" s="249">
        <f>'Res (100kWh)'!J47</f>
        <v>0</v>
      </c>
      <c r="K47" s="120">
        <v>1</v>
      </c>
      <c r="L47" s="121">
        <f t="shared" si="7"/>
        <v>0</v>
      </c>
      <c r="M47" s="103"/>
      <c r="N47" s="249">
        <f>L47-H47</f>
        <v>0</v>
      </c>
      <c r="O47" s="124">
        <f>IF((H47)=0,"",(N47/H47))</f>
      </c>
    </row>
    <row r="48" spans="2:15" s="90" customFormat="1" ht="15" hidden="1">
      <c r="B48" s="118"/>
      <c r="C48" s="94"/>
      <c r="D48" s="117" t="s">
        <v>63</v>
      </c>
      <c r="E48" s="118"/>
      <c r="F48" s="146">
        <f>'Res (100kWh)'!F48</f>
        <v>0</v>
      </c>
      <c r="G48" s="120">
        <f>$F$18</f>
        <v>350</v>
      </c>
      <c r="H48" s="121">
        <f t="shared" si="6"/>
        <v>0</v>
      </c>
      <c r="I48" s="103"/>
      <c r="J48" s="145">
        <f>'Res (100kWh)'!J48</f>
        <v>0</v>
      </c>
      <c r="K48" s="120">
        <f>$F$18</f>
        <v>350</v>
      </c>
      <c r="L48" s="121">
        <f t="shared" si="7"/>
        <v>0</v>
      </c>
      <c r="M48" s="103"/>
      <c r="N48" s="249">
        <f>L48-H48</f>
        <v>0</v>
      </c>
      <c r="O48" s="124">
        <f>IF((H48)=0,"",(N48/H48))</f>
      </c>
    </row>
    <row r="49" spans="2:15" s="90" customFormat="1" ht="15">
      <c r="B49" s="100" t="s">
        <v>26</v>
      </c>
      <c r="C49" s="94"/>
      <c r="D49" s="117" t="s">
        <v>63</v>
      </c>
      <c r="E49" s="118"/>
      <c r="F49" s="146">
        <f>'Res (100kWh)'!F49</f>
        <v>0.0024</v>
      </c>
      <c r="G49" s="120">
        <f>$F$18</f>
        <v>350</v>
      </c>
      <c r="H49" s="121">
        <f t="shared" si="6"/>
        <v>0.84</v>
      </c>
      <c r="I49" s="103"/>
      <c r="J49" s="145">
        <f>'Res (100kWh)'!J49</f>
        <v>0.0024</v>
      </c>
      <c r="K49" s="120">
        <f>$F$18</f>
        <v>350</v>
      </c>
      <c r="L49" s="121">
        <f t="shared" si="7"/>
        <v>0.84</v>
      </c>
      <c r="M49" s="103"/>
      <c r="N49" s="249">
        <f t="shared" si="2"/>
        <v>0</v>
      </c>
      <c r="O49" s="124">
        <f t="shared" si="3"/>
        <v>0</v>
      </c>
    </row>
    <row r="50" spans="2:15" s="141" customFormat="1" ht="15">
      <c r="B50" s="101" t="s">
        <v>27</v>
      </c>
      <c r="C50" s="118"/>
      <c r="D50" s="117" t="s">
        <v>63</v>
      </c>
      <c r="E50" s="118"/>
      <c r="F50" s="146">
        <f>IF(ISBLANK(D16)=TRUE,0,IF(D16="TOU",0.64*$F$61+0.18*$F$62+0.18*$F$63,IF(AND(D16="non-TOU",G65&gt;0),F65,F64)))</f>
        <v>0.10214000000000001</v>
      </c>
      <c r="G50" s="120">
        <f>$F$18*(1+$F$80)-$F$18</f>
        <v>17.325000000000045</v>
      </c>
      <c r="H50" s="147">
        <f t="shared" si="6"/>
        <v>1.7695755000000049</v>
      </c>
      <c r="I50" s="129"/>
      <c r="J50" s="145">
        <f>0.64*$F$61+0.18*$F$62+0.18*$F$63</f>
        <v>0.10214000000000001</v>
      </c>
      <c r="K50" s="120">
        <f>$F$18*(1+$J$80)-$F$18</f>
        <v>17.325000000000045</v>
      </c>
      <c r="L50" s="147">
        <f t="shared" si="7"/>
        <v>1.7695755000000049</v>
      </c>
      <c r="M50" s="129"/>
      <c r="N50" s="249">
        <f t="shared" si="2"/>
        <v>0</v>
      </c>
      <c r="O50" s="148">
        <f t="shared" si="3"/>
        <v>0</v>
      </c>
    </row>
    <row r="51" spans="2:15" s="90" customFormat="1" ht="15">
      <c r="B51" s="100" t="s">
        <v>28</v>
      </c>
      <c r="C51" s="94"/>
      <c r="D51" s="117" t="s">
        <v>62</v>
      </c>
      <c r="E51" s="118"/>
      <c r="F51" s="413">
        <f>'Res (100kWh)'!F51</f>
        <v>0.79</v>
      </c>
      <c r="G51" s="120">
        <v>1</v>
      </c>
      <c r="H51" s="121">
        <f t="shared" si="6"/>
        <v>0.79</v>
      </c>
      <c r="I51" s="103"/>
      <c r="J51" s="413">
        <f>'Res (100kWh)'!J51</f>
        <v>0.79</v>
      </c>
      <c r="K51" s="120">
        <v>1</v>
      </c>
      <c r="L51" s="121">
        <f t="shared" si="7"/>
        <v>0.79</v>
      </c>
      <c r="M51" s="103"/>
      <c r="N51" s="249">
        <f t="shared" si="2"/>
        <v>0</v>
      </c>
      <c r="O51" s="124"/>
    </row>
    <row r="52" spans="2:15" s="90" customFormat="1" ht="15">
      <c r="B52" s="102" t="s">
        <v>29</v>
      </c>
      <c r="C52" s="149"/>
      <c r="D52" s="149"/>
      <c r="E52" s="149"/>
      <c r="F52" s="150"/>
      <c r="G52" s="151"/>
      <c r="H52" s="186">
        <f>SUM(H42:H51)+H41</f>
        <v>21.304575500000006</v>
      </c>
      <c r="I52" s="138"/>
      <c r="J52" s="417"/>
      <c r="K52" s="152"/>
      <c r="L52" s="186">
        <f>SUM(L42:L51)+L41</f>
        <v>26.964575500000006</v>
      </c>
      <c r="M52" s="138"/>
      <c r="N52" s="184">
        <f t="shared" si="2"/>
        <v>5.66</v>
      </c>
      <c r="O52" s="185">
        <f aca="true" t="shared" si="8" ref="O52:O71">IF((H52)=0,"",(N52/H52))</f>
        <v>0.26567063023621373</v>
      </c>
    </row>
    <row r="53" spans="2:15" s="90" customFormat="1" ht="15">
      <c r="B53" s="103" t="s">
        <v>30</v>
      </c>
      <c r="C53" s="103"/>
      <c r="D53" s="127" t="s">
        <v>63</v>
      </c>
      <c r="E53" s="129"/>
      <c r="F53" s="145">
        <f>'Res (100kWh)'!F53</f>
        <v>0.0048</v>
      </c>
      <c r="G53" s="483">
        <f>F18*(1+F80)</f>
        <v>367.32500000000005</v>
      </c>
      <c r="H53" s="147">
        <f>G53*F53</f>
        <v>1.76316</v>
      </c>
      <c r="I53" s="129"/>
      <c r="J53" s="145">
        <f>'Res (100kWh)'!J53</f>
        <v>0.0064</v>
      </c>
      <c r="K53" s="484">
        <f>F18*(1+J80)</f>
        <v>367.32500000000005</v>
      </c>
      <c r="L53" s="121">
        <f>K53*J53</f>
        <v>2.3508800000000005</v>
      </c>
      <c r="M53" s="103"/>
      <c r="N53" s="249">
        <f t="shared" si="2"/>
        <v>0.5877200000000005</v>
      </c>
      <c r="O53" s="124">
        <f t="shared" si="8"/>
        <v>0.3333333333333336</v>
      </c>
    </row>
    <row r="54" spans="2:15" s="90" customFormat="1" ht="15">
      <c r="B54" s="104" t="s">
        <v>31</v>
      </c>
      <c r="C54" s="103"/>
      <c r="D54" s="127" t="s">
        <v>63</v>
      </c>
      <c r="E54" s="129"/>
      <c r="F54" s="145">
        <f>'Res (100kWh)'!F54</f>
        <v>0.0019</v>
      </c>
      <c r="G54" s="483">
        <f>G53</f>
        <v>367.32500000000005</v>
      </c>
      <c r="H54" s="147">
        <f>G54*F54</f>
        <v>0.6979175000000001</v>
      </c>
      <c r="I54" s="129"/>
      <c r="J54" s="145">
        <f>'Res (100kWh)'!J54</f>
        <v>0.003</v>
      </c>
      <c r="K54" s="484">
        <f>K53</f>
        <v>367.32500000000005</v>
      </c>
      <c r="L54" s="121">
        <f>K54*J54</f>
        <v>1.1019750000000001</v>
      </c>
      <c r="M54" s="103"/>
      <c r="N54" s="249">
        <f t="shared" si="2"/>
        <v>0.40405750000000007</v>
      </c>
      <c r="O54" s="124">
        <f t="shared" si="8"/>
        <v>0.5789473684210527</v>
      </c>
    </row>
    <row r="55" spans="2:15" s="90" customFormat="1" ht="15">
      <c r="B55" s="102" t="s">
        <v>32</v>
      </c>
      <c r="C55" s="133"/>
      <c r="D55" s="133"/>
      <c r="E55" s="133"/>
      <c r="F55" s="153"/>
      <c r="G55" s="151"/>
      <c r="H55" s="186">
        <f>SUM(H52:H54)</f>
        <v>23.765653000000004</v>
      </c>
      <c r="I55" s="187"/>
      <c r="J55" s="418"/>
      <c r="K55" s="189"/>
      <c r="L55" s="186">
        <f>SUM(L52:L54)</f>
        <v>30.417430500000005</v>
      </c>
      <c r="M55" s="187"/>
      <c r="N55" s="184">
        <f t="shared" si="2"/>
        <v>6.6517775000000015</v>
      </c>
      <c r="O55" s="185">
        <f t="shared" si="8"/>
        <v>0.27989037372547687</v>
      </c>
    </row>
    <row r="56" spans="2:15" s="90" customFormat="1" ht="15">
      <c r="B56" s="95" t="s">
        <v>33</v>
      </c>
      <c r="C56" s="94"/>
      <c r="D56" s="117" t="s">
        <v>63</v>
      </c>
      <c r="E56" s="118"/>
      <c r="F56" s="146">
        <f>'Res (100kWh)'!F56</f>
        <v>0.0044</v>
      </c>
      <c r="G56" s="483">
        <f>G54</f>
        <v>367.32500000000005</v>
      </c>
      <c r="H56" s="147">
        <f aca="true" t="shared" si="9" ref="H56:H63">G56*F56</f>
        <v>1.6162300000000003</v>
      </c>
      <c r="I56" s="129"/>
      <c r="J56" s="479">
        <f>'Res (100kWh)'!J56</f>
        <v>0.0036</v>
      </c>
      <c r="K56" s="484">
        <f>K54</f>
        <v>367.32500000000005</v>
      </c>
      <c r="L56" s="121">
        <f aca="true" t="shared" si="10" ref="L56:L63">K56*J56</f>
        <v>1.32237</v>
      </c>
      <c r="M56" s="103"/>
      <c r="N56" s="249">
        <f t="shared" si="2"/>
        <v>-0.29386000000000023</v>
      </c>
      <c r="O56" s="124">
        <f t="shared" si="8"/>
        <v>-0.18181818181818193</v>
      </c>
    </row>
    <row r="57" spans="2:15" s="90" customFormat="1" ht="15">
      <c r="B57" s="95" t="s">
        <v>34</v>
      </c>
      <c r="C57" s="94"/>
      <c r="D57" s="117" t="s">
        <v>63</v>
      </c>
      <c r="E57" s="118"/>
      <c r="F57" s="146">
        <f>'Res (100kWh)'!F57</f>
        <v>0.0013</v>
      </c>
      <c r="G57" s="483">
        <f>G54</f>
        <v>367.32500000000005</v>
      </c>
      <c r="H57" s="147">
        <f t="shared" si="9"/>
        <v>0.4775225</v>
      </c>
      <c r="I57" s="129"/>
      <c r="J57" s="145">
        <f>'Res (100kWh)'!J57</f>
        <v>0.0013</v>
      </c>
      <c r="K57" s="484">
        <f>K54</f>
        <v>367.32500000000005</v>
      </c>
      <c r="L57" s="121">
        <f t="shared" si="10"/>
        <v>0.4775225</v>
      </c>
      <c r="M57" s="103"/>
      <c r="N57" s="249">
        <f t="shared" si="2"/>
        <v>0</v>
      </c>
      <c r="O57" s="124">
        <f t="shared" si="8"/>
        <v>0</v>
      </c>
    </row>
    <row r="58" spans="2:15" s="90" customFormat="1" ht="15">
      <c r="B58" s="95" t="s">
        <v>121</v>
      </c>
      <c r="C58" s="94"/>
      <c r="D58" s="117" t="s">
        <v>63</v>
      </c>
      <c r="E58" s="118"/>
      <c r="F58" s="146">
        <f>'Res (100kWh)'!F58</f>
        <v>0</v>
      </c>
      <c r="G58" s="483">
        <f>G54</f>
        <v>367.32500000000005</v>
      </c>
      <c r="H58" s="147">
        <f t="shared" si="9"/>
        <v>0</v>
      </c>
      <c r="I58" s="129"/>
      <c r="J58" s="479">
        <f>'Res (100kWh)'!J58</f>
        <v>0.0011</v>
      </c>
      <c r="K58" s="484">
        <f>K54</f>
        <v>367.32500000000005</v>
      </c>
      <c r="L58" s="121">
        <f t="shared" si="10"/>
        <v>0.40405750000000007</v>
      </c>
      <c r="M58" s="103"/>
      <c r="N58" s="249">
        <f t="shared" si="2"/>
        <v>0.40405750000000007</v>
      </c>
      <c r="O58" s="124">
        <f t="shared" si="8"/>
      </c>
    </row>
    <row r="59" spans="2:15" s="90" customFormat="1" ht="15">
      <c r="B59" s="94" t="s">
        <v>35</v>
      </c>
      <c r="C59" s="94"/>
      <c r="D59" s="117" t="s">
        <v>62</v>
      </c>
      <c r="E59" s="118"/>
      <c r="F59" s="413">
        <f>'Res (100kWh)'!F59</f>
        <v>0.25</v>
      </c>
      <c r="G59" s="120">
        <v>1</v>
      </c>
      <c r="H59" s="147">
        <f t="shared" si="9"/>
        <v>0.25</v>
      </c>
      <c r="I59" s="129"/>
      <c r="J59" s="414">
        <f>'Res (100kWh)'!J59</f>
        <v>0.25</v>
      </c>
      <c r="K59" s="122">
        <v>1</v>
      </c>
      <c r="L59" s="121">
        <f t="shared" si="10"/>
        <v>0.25</v>
      </c>
      <c r="M59" s="103"/>
      <c r="N59" s="249">
        <f t="shared" si="2"/>
        <v>0</v>
      </c>
      <c r="O59" s="124">
        <f t="shared" si="8"/>
        <v>0</v>
      </c>
    </row>
    <row r="60" spans="2:15" s="90" customFormat="1" ht="15">
      <c r="B60" s="94" t="s">
        <v>36</v>
      </c>
      <c r="C60" s="94"/>
      <c r="D60" s="117" t="s">
        <v>63</v>
      </c>
      <c r="E60" s="118"/>
      <c r="F60" s="146">
        <f>'Res (100kWh)'!F60</f>
        <v>0.007</v>
      </c>
      <c r="G60" s="154">
        <f>F18</f>
        <v>350</v>
      </c>
      <c r="H60" s="121">
        <f t="shared" si="9"/>
        <v>2.45</v>
      </c>
      <c r="I60" s="103"/>
      <c r="J60" s="145">
        <f>'Res (100kWh)'!J60</f>
        <v>0</v>
      </c>
      <c r="K60" s="155">
        <f>F18</f>
        <v>350</v>
      </c>
      <c r="L60" s="121">
        <f t="shared" si="10"/>
        <v>0</v>
      </c>
      <c r="M60" s="103"/>
      <c r="N60" s="249">
        <f t="shared" si="2"/>
        <v>-2.45</v>
      </c>
      <c r="O60" s="124">
        <f t="shared" si="8"/>
        <v>-1</v>
      </c>
    </row>
    <row r="61" spans="2:19" s="90" customFormat="1" ht="15">
      <c r="B61" s="100" t="s">
        <v>37</v>
      </c>
      <c r="C61" s="94"/>
      <c r="D61" s="117" t="s">
        <v>63</v>
      </c>
      <c r="E61" s="118"/>
      <c r="F61" s="146">
        <f>'Res (100kWh)'!F61</f>
        <v>0.08</v>
      </c>
      <c r="G61" s="154">
        <f>0.64*$F$18</f>
        <v>224</v>
      </c>
      <c r="H61" s="121">
        <f t="shared" si="9"/>
        <v>17.92</v>
      </c>
      <c r="I61" s="103"/>
      <c r="J61" s="146">
        <f>'Res (100kWh)'!J61</f>
        <v>0.08</v>
      </c>
      <c r="K61" s="154">
        <f>G61</f>
        <v>224</v>
      </c>
      <c r="L61" s="121">
        <f t="shared" si="10"/>
        <v>17.92</v>
      </c>
      <c r="M61" s="103"/>
      <c r="N61" s="249">
        <f t="shared" si="2"/>
        <v>0</v>
      </c>
      <c r="O61" s="124">
        <f t="shared" si="8"/>
        <v>0</v>
      </c>
      <c r="S61" s="156"/>
    </row>
    <row r="62" spans="2:19" s="90" customFormat="1" ht="15">
      <c r="B62" s="100" t="s">
        <v>38</v>
      </c>
      <c r="C62" s="94"/>
      <c r="D62" s="117" t="s">
        <v>63</v>
      </c>
      <c r="E62" s="118"/>
      <c r="F62" s="146">
        <f>'Res (100kWh)'!F62</f>
        <v>0.122</v>
      </c>
      <c r="G62" s="154">
        <f>0.18*$F$18</f>
        <v>63</v>
      </c>
      <c r="H62" s="121">
        <f t="shared" si="9"/>
        <v>7.686</v>
      </c>
      <c r="I62" s="103"/>
      <c r="J62" s="146">
        <f>'Res (100kWh)'!J62</f>
        <v>0.122</v>
      </c>
      <c r="K62" s="154">
        <f>G62</f>
        <v>63</v>
      </c>
      <c r="L62" s="121">
        <f t="shared" si="10"/>
        <v>7.686</v>
      </c>
      <c r="M62" s="103"/>
      <c r="N62" s="249">
        <f t="shared" si="2"/>
        <v>0</v>
      </c>
      <c r="O62" s="124">
        <f t="shared" si="8"/>
        <v>0</v>
      </c>
      <c r="S62" s="156"/>
    </row>
    <row r="63" spans="2:19" s="90" customFormat="1" ht="15">
      <c r="B63" s="93" t="s">
        <v>39</v>
      </c>
      <c r="C63" s="94"/>
      <c r="D63" s="117" t="s">
        <v>63</v>
      </c>
      <c r="E63" s="118"/>
      <c r="F63" s="146">
        <f>'Res (100kWh)'!F63</f>
        <v>0.161</v>
      </c>
      <c r="G63" s="154">
        <f>0.18*$F$18</f>
        <v>63</v>
      </c>
      <c r="H63" s="121">
        <f t="shared" si="9"/>
        <v>10.143</v>
      </c>
      <c r="I63" s="103"/>
      <c r="J63" s="146">
        <f>'Res (100kWh)'!J63</f>
        <v>0.161</v>
      </c>
      <c r="K63" s="154">
        <f>G63</f>
        <v>63</v>
      </c>
      <c r="L63" s="121">
        <f t="shared" si="10"/>
        <v>10.143</v>
      </c>
      <c r="M63" s="103"/>
      <c r="N63" s="249">
        <f t="shared" si="2"/>
        <v>0</v>
      </c>
      <c r="O63" s="124">
        <f t="shared" si="8"/>
        <v>0</v>
      </c>
      <c r="S63" s="156"/>
    </row>
    <row r="64" spans="2:15" s="194" customFormat="1" ht="15">
      <c r="B64" s="105" t="s">
        <v>40</v>
      </c>
      <c r="C64" s="105"/>
      <c r="D64" s="190" t="s">
        <v>63</v>
      </c>
      <c r="E64" s="191"/>
      <c r="F64" s="146">
        <f>'Res (100kWh)'!F64</f>
        <v>0.094</v>
      </c>
      <c r="G64" s="192">
        <f>IF(AND($T$1=1,F18&gt;=600),600,IF(AND($T$1=1,AND(F18&lt;600,F18&gt;=0)),F18,IF(AND($T$1=2,F18&gt;=1000),1000,IF(AND($T$1=2,AND(F18&lt;1000,F18&gt;=0)),F18))))</f>
        <v>350</v>
      </c>
      <c r="H64" s="121">
        <f>G64*F64</f>
        <v>32.9</v>
      </c>
      <c r="I64" s="193"/>
      <c r="J64" s="146">
        <f>'Res (100kWh)'!J64</f>
        <v>0.094</v>
      </c>
      <c r="K64" s="192">
        <f>G64</f>
        <v>350</v>
      </c>
      <c r="L64" s="121">
        <f>K64*J64</f>
        <v>32.9</v>
      </c>
      <c r="M64" s="193"/>
      <c r="N64" s="249">
        <f t="shared" si="2"/>
        <v>0</v>
      </c>
      <c r="O64" s="124">
        <f t="shared" si="8"/>
        <v>0</v>
      </c>
    </row>
    <row r="65" spans="2:15" s="194" customFormat="1" ht="15.75" thickBot="1">
      <c r="B65" s="105" t="s">
        <v>41</v>
      </c>
      <c r="C65" s="105"/>
      <c r="D65" s="190" t="s">
        <v>63</v>
      </c>
      <c r="E65" s="191"/>
      <c r="F65" s="146">
        <f>'Res (100kWh)'!F65</f>
        <v>0.11</v>
      </c>
      <c r="G65" s="192">
        <f>IF(AND($T$1=1,F18&gt;=600),F18-600,IF(AND($T$1=1,AND(F18&lt;600,F18&gt;=0)),0,IF(AND($T$1=2,F18&gt;=1000),F18-1000,IF(AND($T$1=2,AND(F18&lt;1000,F18&gt;=0)),0))))</f>
        <v>0</v>
      </c>
      <c r="H65" s="121">
        <f>G65*F65</f>
        <v>0</v>
      </c>
      <c r="I65" s="193"/>
      <c r="J65" s="146">
        <f>'Res (100kWh)'!J65</f>
        <v>0.11</v>
      </c>
      <c r="K65" s="192">
        <f>G65</f>
        <v>0</v>
      </c>
      <c r="L65" s="121">
        <f>K65*J65</f>
        <v>0</v>
      </c>
      <c r="M65" s="193"/>
      <c r="N65" s="249">
        <f t="shared" si="2"/>
        <v>0</v>
      </c>
      <c r="O65" s="124">
        <f t="shared" si="8"/>
      </c>
    </row>
    <row r="66" spans="2:15" s="90" customFormat="1" ht="8.25" customHeight="1" thickBot="1">
      <c r="B66" s="106"/>
      <c r="C66" s="115"/>
      <c r="D66" s="116"/>
      <c r="E66" s="115"/>
      <c r="F66" s="157"/>
      <c r="G66" s="158"/>
      <c r="H66" s="159"/>
      <c r="I66" s="160"/>
      <c r="J66" s="157"/>
      <c r="K66" s="161"/>
      <c r="L66" s="159"/>
      <c r="M66" s="160"/>
      <c r="N66" s="162"/>
      <c r="O66" s="163"/>
    </row>
    <row r="67" spans="2:19" s="90" customFormat="1" ht="15">
      <c r="B67" s="107" t="s">
        <v>42</v>
      </c>
      <c r="C67" s="94"/>
      <c r="D67" s="94"/>
      <c r="E67" s="94"/>
      <c r="F67" s="164"/>
      <c r="G67" s="165"/>
      <c r="H67" s="195">
        <f>SUM(H56:H63,H55)</f>
        <v>64.3084055</v>
      </c>
      <c r="I67" s="196"/>
      <c r="J67" s="197"/>
      <c r="K67" s="197"/>
      <c r="L67" s="198">
        <f>SUM(L56:L63,L55)</f>
        <v>68.62038050000001</v>
      </c>
      <c r="M67" s="199"/>
      <c r="N67" s="250">
        <f>L67-H67</f>
        <v>4.311975000000004</v>
      </c>
      <c r="O67" s="200">
        <f>IF((H67)=0,"",(N67/H67))</f>
        <v>0.06705149920098709</v>
      </c>
      <c r="S67" s="156"/>
    </row>
    <row r="68" spans="2:19" s="90" customFormat="1" ht="15">
      <c r="B68" s="108" t="s">
        <v>43</v>
      </c>
      <c r="C68" s="94"/>
      <c r="D68" s="94"/>
      <c r="E68" s="94"/>
      <c r="F68" s="166">
        <v>0.13</v>
      </c>
      <c r="G68" s="167"/>
      <c r="H68" s="201">
        <f>H67*F68</f>
        <v>8.360092715</v>
      </c>
      <c r="I68" s="202"/>
      <c r="J68" s="203">
        <v>0.13</v>
      </c>
      <c r="K68" s="202"/>
      <c r="L68" s="204">
        <f>L67*J68</f>
        <v>8.920649465000002</v>
      </c>
      <c r="M68" s="205"/>
      <c r="N68" s="249">
        <f t="shared" si="2"/>
        <v>0.5605567500000017</v>
      </c>
      <c r="O68" s="206">
        <f t="shared" si="8"/>
        <v>0.06705149920098723</v>
      </c>
      <c r="S68" s="156"/>
    </row>
    <row r="69" spans="2:19" s="90" customFormat="1" ht="15">
      <c r="B69" s="109" t="s">
        <v>124</v>
      </c>
      <c r="C69" s="94"/>
      <c r="D69" s="94"/>
      <c r="E69" s="94"/>
      <c r="F69" s="168"/>
      <c r="G69" s="167"/>
      <c r="H69" s="201">
        <f>H67+H68</f>
        <v>72.668498215</v>
      </c>
      <c r="I69" s="202"/>
      <c r="J69" s="202"/>
      <c r="K69" s="202"/>
      <c r="L69" s="204">
        <f>L67+L68</f>
        <v>77.541029965</v>
      </c>
      <c r="M69" s="205"/>
      <c r="N69" s="249">
        <f t="shared" si="2"/>
        <v>4.872531750000007</v>
      </c>
      <c r="O69" s="206">
        <f t="shared" si="8"/>
        <v>0.06705149920098713</v>
      </c>
      <c r="S69" s="156"/>
    </row>
    <row r="70" spans="2:15" s="90" customFormat="1" ht="15.75" customHeight="1">
      <c r="B70" s="540" t="s">
        <v>125</v>
      </c>
      <c r="C70" s="540"/>
      <c r="D70" s="540"/>
      <c r="E70" s="94"/>
      <c r="F70" s="168"/>
      <c r="G70" s="167"/>
      <c r="H70" s="207">
        <f>ROUND(-H69*10%,2)</f>
        <v>-7.27</v>
      </c>
      <c r="I70" s="202"/>
      <c r="J70" s="202"/>
      <c r="K70" s="202"/>
      <c r="L70" s="208">
        <v>0</v>
      </c>
      <c r="M70" s="205"/>
      <c r="N70" s="249">
        <f t="shared" si="2"/>
        <v>7.27</v>
      </c>
      <c r="O70" s="209">
        <f t="shared" si="8"/>
        <v>-1</v>
      </c>
    </row>
    <row r="71" spans="2:15" s="90" customFormat="1" ht="15.75" thickBot="1">
      <c r="B71" s="541" t="s">
        <v>46</v>
      </c>
      <c r="C71" s="541"/>
      <c r="D71" s="541"/>
      <c r="E71" s="169"/>
      <c r="F71" s="170"/>
      <c r="G71" s="171"/>
      <c r="H71" s="210">
        <f>H69+H70</f>
        <v>65.398498215</v>
      </c>
      <c r="I71" s="211"/>
      <c r="J71" s="211"/>
      <c r="K71" s="211"/>
      <c r="L71" s="212">
        <f>L69+L70</f>
        <v>77.541029965</v>
      </c>
      <c r="M71" s="213"/>
      <c r="N71" s="251">
        <f t="shared" si="2"/>
        <v>12.142531750000003</v>
      </c>
      <c r="O71" s="214">
        <f t="shared" si="8"/>
        <v>0.18566988663991912</v>
      </c>
    </row>
    <row r="72" spans="2:15" s="194" customFormat="1" ht="8.25" customHeight="1" thickBot="1">
      <c r="B72" s="110"/>
      <c r="C72" s="215"/>
      <c r="D72" s="216"/>
      <c r="E72" s="215"/>
      <c r="F72" s="157"/>
      <c r="G72" s="217"/>
      <c r="H72" s="159"/>
      <c r="I72" s="218"/>
      <c r="J72" s="157"/>
      <c r="K72" s="219"/>
      <c r="L72" s="159"/>
      <c r="M72" s="218"/>
      <c r="N72" s="220"/>
      <c r="O72" s="163"/>
    </row>
    <row r="73" spans="2:15" s="194" customFormat="1" ht="15">
      <c r="B73" s="111" t="s">
        <v>47</v>
      </c>
      <c r="C73" s="105"/>
      <c r="D73" s="105"/>
      <c r="E73" s="105"/>
      <c r="F73" s="221"/>
      <c r="G73" s="222"/>
      <c r="H73" s="223">
        <f>SUM(H64:H65,H55,H56:H60)</f>
        <v>61.45940550000001</v>
      </c>
      <c r="I73" s="224"/>
      <c r="J73" s="225"/>
      <c r="K73" s="225"/>
      <c r="L73" s="226">
        <f>SUM(L64:L65,L55,L56:L60)</f>
        <v>65.7713805</v>
      </c>
      <c r="M73" s="227"/>
      <c r="N73" s="250">
        <f>L73-H73</f>
        <v>4.311974999999997</v>
      </c>
      <c r="O73" s="200">
        <f>IF((H73)=0,"",(N73/H73))</f>
        <v>0.07015972518640773</v>
      </c>
    </row>
    <row r="74" spans="2:15" s="194" customFormat="1" ht="15">
      <c r="B74" s="112" t="s">
        <v>43</v>
      </c>
      <c r="C74" s="105"/>
      <c r="D74" s="105"/>
      <c r="E74" s="105"/>
      <c r="F74" s="228">
        <v>0.13</v>
      </c>
      <c r="G74" s="222"/>
      <c r="H74" s="229">
        <f>H73*F74</f>
        <v>7.989722715000002</v>
      </c>
      <c r="I74" s="230"/>
      <c r="J74" s="228">
        <v>0.13</v>
      </c>
      <c r="K74" s="231"/>
      <c r="L74" s="232">
        <f>L73*J74</f>
        <v>8.550279465000001</v>
      </c>
      <c r="M74" s="233"/>
      <c r="N74" s="249">
        <f>L74-H74</f>
        <v>0.560556749999999</v>
      </c>
      <c r="O74" s="206">
        <f>IF((H74)=0,"",(N74/H74))</f>
        <v>0.07015972518640766</v>
      </c>
    </row>
    <row r="75" spans="2:15" s="194" customFormat="1" ht="15">
      <c r="B75" s="113" t="s">
        <v>124</v>
      </c>
      <c r="C75" s="105"/>
      <c r="D75" s="105"/>
      <c r="E75" s="105"/>
      <c r="F75" s="234"/>
      <c r="G75" s="233"/>
      <c r="H75" s="229">
        <f>H73+H74</f>
        <v>69.44912821500002</v>
      </c>
      <c r="I75" s="230"/>
      <c r="J75" s="230"/>
      <c r="K75" s="230"/>
      <c r="L75" s="232">
        <f>L73+L74</f>
        <v>74.32165996500001</v>
      </c>
      <c r="M75" s="233"/>
      <c r="N75" s="249">
        <f>L75-H75</f>
        <v>4.872531749999993</v>
      </c>
      <c r="O75" s="206">
        <f>IF((H75)=0,"",(N75/H75))</f>
        <v>0.07015972518640769</v>
      </c>
    </row>
    <row r="76" spans="2:15" s="194" customFormat="1" ht="15.75" customHeight="1">
      <c r="B76" s="542" t="s">
        <v>125</v>
      </c>
      <c r="C76" s="542"/>
      <c r="D76" s="542"/>
      <c r="E76" s="105"/>
      <c r="F76" s="234"/>
      <c r="G76" s="233"/>
      <c r="H76" s="235">
        <f>ROUND(-H75*10%,2)</f>
        <v>-6.94</v>
      </c>
      <c r="I76" s="230"/>
      <c r="J76" s="230"/>
      <c r="K76" s="230"/>
      <c r="L76" s="236">
        <v>0</v>
      </c>
      <c r="M76" s="233"/>
      <c r="N76" s="249">
        <f>L76-H76</f>
        <v>6.94</v>
      </c>
      <c r="O76" s="209">
        <f>IF((H76)=0,"",(N76/H76))</f>
        <v>-1</v>
      </c>
    </row>
    <row r="77" spans="2:15" s="194" customFormat="1" ht="15.75" thickBot="1">
      <c r="B77" s="533" t="s">
        <v>48</v>
      </c>
      <c r="C77" s="533"/>
      <c r="D77" s="533"/>
      <c r="E77" s="237"/>
      <c r="F77" s="238"/>
      <c r="G77" s="239"/>
      <c r="H77" s="240">
        <f>SUM(H75:H76)</f>
        <v>62.50912821500002</v>
      </c>
      <c r="I77" s="241"/>
      <c r="J77" s="241"/>
      <c r="K77" s="241"/>
      <c r="L77" s="242">
        <f>SUM(L75:L76)</f>
        <v>74.32165996500001</v>
      </c>
      <c r="M77" s="243"/>
      <c r="N77" s="251">
        <f>L77-H77</f>
        <v>11.812531749999991</v>
      </c>
      <c r="O77" s="244">
        <f>IF((H77)=0,"",(N77/H77))</f>
        <v>0.18897290823463114</v>
      </c>
    </row>
    <row r="78" spans="2:15" s="194" customFormat="1" ht="8.25" customHeight="1" thickBot="1">
      <c r="B78" s="110"/>
      <c r="C78" s="215"/>
      <c r="D78" s="216"/>
      <c r="E78" s="215"/>
      <c r="F78" s="172"/>
      <c r="G78" s="245"/>
      <c r="H78" s="173"/>
      <c r="I78" s="246"/>
      <c r="J78" s="172"/>
      <c r="K78" s="217"/>
      <c r="L78" s="174"/>
      <c r="M78" s="218"/>
      <c r="N78" s="247"/>
      <c r="O78" s="163"/>
    </row>
    <row r="79" s="90" customFormat="1" ht="10.5" customHeight="1">
      <c r="L79" s="156"/>
    </row>
    <row r="80" spans="2:10" s="90" customFormat="1" ht="15">
      <c r="B80" s="114" t="s">
        <v>49</v>
      </c>
      <c r="F80" s="424">
        <f>'Res (100kWh)'!F80</f>
        <v>0.0495</v>
      </c>
      <c r="G80" s="141"/>
      <c r="H80" s="141"/>
      <c r="I80" s="141"/>
      <c r="J80" s="424">
        <f>'Res (100kWh)'!J80</f>
        <v>0.0495</v>
      </c>
    </row>
    <row r="81" s="90" customFormat="1" ht="10.5" customHeight="1"/>
    <row r="82" spans="2:15" s="90" customFormat="1" ht="15">
      <c r="B82" s="470" t="s">
        <v>135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pans="2:15" s="90" customFormat="1" ht="15">
      <c r="B83" s="470" t="s">
        <v>134</v>
      </c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</row>
    <row r="84" s="90" customFormat="1" ht="17.25">
      <c r="A84" s="248" t="s">
        <v>126</v>
      </c>
    </row>
    <row r="85" s="90" customFormat="1" ht="10.5" customHeight="1"/>
    <row r="86" s="90" customFormat="1" ht="15">
      <c r="A86" s="90" t="s">
        <v>51</v>
      </c>
    </row>
    <row r="87" s="90" customFormat="1" ht="15">
      <c r="A87" s="90" t="s">
        <v>52</v>
      </c>
    </row>
    <row r="88" s="90" customFormat="1" ht="15"/>
    <row r="89" s="90" customFormat="1" ht="15">
      <c r="A89" s="93" t="s">
        <v>53</v>
      </c>
    </row>
    <row r="90" s="90" customFormat="1" ht="15">
      <c r="A90" s="93" t="s">
        <v>54</v>
      </c>
    </row>
    <row r="91" s="90" customFormat="1" ht="15"/>
    <row r="92" s="90" customFormat="1" ht="15">
      <c r="A92" s="90" t="s">
        <v>55</v>
      </c>
    </row>
    <row r="93" s="90" customFormat="1" ht="15">
      <c r="A93" s="90" t="s">
        <v>56</v>
      </c>
    </row>
    <row r="94" s="90" customFormat="1" ht="15">
      <c r="A94" s="90" t="s">
        <v>57</v>
      </c>
    </row>
    <row r="95" s="90" customFormat="1" ht="15">
      <c r="A95" s="90" t="s">
        <v>58</v>
      </c>
    </row>
    <row r="96" s="90" customFormat="1" ht="15">
      <c r="A96" s="90" t="s">
        <v>59</v>
      </c>
    </row>
    <row r="97" s="90" customFormat="1" ht="15"/>
    <row r="98" spans="1:2" s="90" customFormat="1" ht="15">
      <c r="A98" s="176"/>
      <c r="B98" s="90" t="s">
        <v>60</v>
      </c>
    </row>
  </sheetData>
  <sheetProtection/>
  <mergeCells count="20">
    <mergeCell ref="B77:D77"/>
    <mergeCell ref="D21:D22"/>
    <mergeCell ref="N21:N22"/>
    <mergeCell ref="O21:O22"/>
    <mergeCell ref="B70:D70"/>
    <mergeCell ref="B71:D71"/>
    <mergeCell ref="B76:D76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7:O7"/>
    <mergeCell ref="A3:K3"/>
    <mergeCell ref="B10:O10"/>
    <mergeCell ref="B11:O11"/>
  </mergeCells>
  <dataValidations count="4">
    <dataValidation type="list" allowBlank="1" showInputMessage="1" showErrorMessage="1" sqref="E53:E54 E42:E51 E66 E23:E40 E56:E63">
      <formula1>'Res (350kWh)'!#REF!</formula1>
    </dataValidation>
    <dataValidation type="list" allowBlank="1" showInputMessage="1" showErrorMessage="1" prompt="Select Charge Unit - monthly, per kWh, per kW" sqref="D53:D54 D72 D78 D42:D51 D23:D40 D56:D66">
      <formula1>"Monthly, per kWh, per kW"</formula1>
    </dataValidation>
    <dataValidation type="list" allowBlank="1" showInputMessage="1" showErrorMessage="1" sqref="E78 E72 E64:E65">
      <formula1>'Res (350kWh)'!#REF!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98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58.2812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customWidth="1"/>
    <col min="16" max="16" width="6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4</v>
      </c>
      <c r="O4" s="523"/>
      <c r="P4" s="21"/>
    </row>
    <row r="5" spans="3:16" s="2" customFormat="1" ht="15" customHeight="1">
      <c r="C5" s="7"/>
      <c r="D5" s="7"/>
      <c r="E5" s="7"/>
      <c r="L5" s="3" t="s">
        <v>77</v>
      </c>
      <c r="N5" s="525" t="s">
        <v>78</v>
      </c>
      <c r="O5" s="525"/>
      <c r="P5" s="20"/>
    </row>
    <row r="6" spans="12:16" s="2" customFormat="1" ht="9" customHeight="1">
      <c r="L6" s="3"/>
      <c r="N6" s="78"/>
      <c r="O6" s="4"/>
      <c r="P6"/>
    </row>
    <row r="7" spans="12:16" s="2" customFormat="1" ht="15">
      <c r="L7" s="3" t="s">
        <v>145</v>
      </c>
      <c r="N7" s="526">
        <v>42412</v>
      </c>
      <c r="O7" s="525"/>
      <c r="P7" s="18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148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61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800</v>
      </c>
      <c r="G18" s="14" t="s">
        <v>9</v>
      </c>
    </row>
    <row r="19" ht="15">
      <c r="B19" s="13"/>
    </row>
    <row r="20" spans="2:15" s="90" customFormat="1" ht="15">
      <c r="B20" s="93"/>
      <c r="D20" s="178"/>
      <c r="E20" s="178"/>
      <c r="F20" s="530" t="s">
        <v>10</v>
      </c>
      <c r="G20" s="531"/>
      <c r="H20" s="532"/>
      <c r="J20" s="530" t="s">
        <v>11</v>
      </c>
      <c r="K20" s="531"/>
      <c r="L20" s="532"/>
      <c r="N20" s="530" t="s">
        <v>12</v>
      </c>
      <c r="O20" s="532"/>
    </row>
    <row r="21" spans="2:15" s="90" customFormat="1" ht="15">
      <c r="B21" s="93"/>
      <c r="D21" s="534" t="s">
        <v>13</v>
      </c>
      <c r="E21" s="177"/>
      <c r="F21" s="179" t="s">
        <v>14</v>
      </c>
      <c r="G21" s="179" t="s">
        <v>15</v>
      </c>
      <c r="H21" s="180" t="s">
        <v>16</v>
      </c>
      <c r="J21" s="179" t="s">
        <v>14</v>
      </c>
      <c r="K21" s="181" t="s">
        <v>15</v>
      </c>
      <c r="L21" s="180" t="s">
        <v>16</v>
      </c>
      <c r="N21" s="536" t="s">
        <v>17</v>
      </c>
      <c r="O21" s="538" t="s">
        <v>18</v>
      </c>
    </row>
    <row r="22" spans="2:15" s="90" customFormat="1" ht="15">
      <c r="B22" s="93"/>
      <c r="D22" s="535"/>
      <c r="E22" s="177"/>
      <c r="F22" s="182" t="s">
        <v>19</v>
      </c>
      <c r="G22" s="182"/>
      <c r="H22" s="183" t="s">
        <v>19</v>
      </c>
      <c r="J22" s="182" t="s">
        <v>19</v>
      </c>
      <c r="K22" s="183"/>
      <c r="L22" s="183" t="s">
        <v>19</v>
      </c>
      <c r="N22" s="537"/>
      <c r="O22" s="539"/>
    </row>
    <row r="23" spans="2:15" s="90" customFormat="1" ht="15">
      <c r="B23" s="94" t="s">
        <v>20</v>
      </c>
      <c r="C23" s="94"/>
      <c r="D23" s="117" t="s">
        <v>62</v>
      </c>
      <c r="E23" s="118"/>
      <c r="F23" s="413">
        <f>'Res (100kWh)'!F23</f>
        <v>11.22</v>
      </c>
      <c r="G23" s="120">
        <v>1</v>
      </c>
      <c r="H23" s="121">
        <f>G23*F23</f>
        <v>11.22</v>
      </c>
      <c r="I23" s="103"/>
      <c r="J23" s="481">
        <f>'Res (100kWh)'!J23</f>
        <v>15.59</v>
      </c>
      <c r="K23" s="122">
        <v>1</v>
      </c>
      <c r="L23" s="121">
        <f>K23*J23</f>
        <v>15.59</v>
      </c>
      <c r="M23" s="103"/>
      <c r="N23" s="249">
        <f>L23-H23</f>
        <v>4.369999999999999</v>
      </c>
      <c r="O23" s="124">
        <f>IF((H23)=0,"",(N23/H23))</f>
        <v>0.3894830659536541</v>
      </c>
    </row>
    <row r="24" spans="2:15" s="90" customFormat="1" ht="22.5" customHeight="1" hidden="1">
      <c r="B24" s="94" t="s">
        <v>92</v>
      </c>
      <c r="C24" s="94"/>
      <c r="D24" s="117" t="s">
        <v>62</v>
      </c>
      <c r="E24" s="118"/>
      <c r="F24" s="422">
        <f>'Res (100kWh)'!F24</f>
        <v>0</v>
      </c>
      <c r="G24" s="120">
        <v>1</v>
      </c>
      <c r="H24" s="121">
        <f>G24*F24</f>
        <v>0</v>
      </c>
      <c r="I24" s="103"/>
      <c r="J24" s="414">
        <v>0</v>
      </c>
      <c r="K24" s="122">
        <v>1</v>
      </c>
      <c r="L24" s="121">
        <f>K24*J24</f>
        <v>0</v>
      </c>
      <c r="M24" s="103"/>
      <c r="N24" s="249">
        <f>L24-H24</f>
        <v>0</v>
      </c>
      <c r="O24" s="124">
        <f>IF((H24)=0,"",(N24/H24))</f>
      </c>
    </row>
    <row r="25" spans="2:15" s="90" customFormat="1" ht="15" customHeight="1" hidden="1">
      <c r="B25" s="95" t="s">
        <v>111</v>
      </c>
      <c r="C25" s="94"/>
      <c r="D25" s="127" t="s">
        <v>62</v>
      </c>
      <c r="E25" s="118"/>
      <c r="F25" s="414">
        <v>0</v>
      </c>
      <c r="G25" s="120">
        <v>1</v>
      </c>
      <c r="H25" s="121">
        <f>G25*F25</f>
        <v>0</v>
      </c>
      <c r="I25" s="103"/>
      <c r="J25" s="145">
        <v>0</v>
      </c>
      <c r="K25" s="122">
        <v>1</v>
      </c>
      <c r="L25" s="121">
        <f>K25*J25</f>
        <v>0</v>
      </c>
      <c r="M25" s="103"/>
      <c r="N25" s="249">
        <f>L25-H25</f>
        <v>0</v>
      </c>
      <c r="O25" s="124">
        <f>IF((H25)=0,"",(N25/H25))</f>
      </c>
    </row>
    <row r="26" spans="2:15" s="90" customFormat="1" ht="30">
      <c r="B26" s="419" t="s">
        <v>64</v>
      </c>
      <c r="C26" s="94"/>
      <c r="D26" s="127" t="s">
        <v>62</v>
      </c>
      <c r="E26" s="129"/>
      <c r="F26" s="414">
        <f>'Res (100kWh)'!F26</f>
        <v>1.75</v>
      </c>
      <c r="G26" s="120">
        <v>1</v>
      </c>
      <c r="H26" s="121">
        <f aca="true" t="shared" si="0" ref="H26:H40">G26*F26</f>
        <v>1.75</v>
      </c>
      <c r="I26" s="103"/>
      <c r="J26" s="414">
        <f>'Res (100kWh)'!J26</f>
        <v>1.75</v>
      </c>
      <c r="K26" s="122">
        <v>1</v>
      </c>
      <c r="L26" s="121">
        <f aca="true" t="shared" si="1" ref="L26:L40">K26*J26</f>
        <v>1.75</v>
      </c>
      <c r="M26" s="103"/>
      <c r="N26" s="249">
        <f aca="true" t="shared" si="2" ref="N26:N71">L26-H26</f>
        <v>0</v>
      </c>
      <c r="O26" s="124">
        <f aca="true" t="shared" si="3" ref="O26:O50">IF((H26)=0,"",(N26/H26))</f>
        <v>0</v>
      </c>
    </row>
    <row r="27" spans="2:15" s="90" customFormat="1" ht="15" hidden="1">
      <c r="B27" s="419" t="s">
        <v>65</v>
      </c>
      <c r="C27" s="94"/>
      <c r="D27" s="117" t="s">
        <v>62</v>
      </c>
      <c r="E27" s="118"/>
      <c r="F27" s="146">
        <f>'Res (100kWh)'!F27</f>
        <v>0</v>
      </c>
      <c r="G27" s="120">
        <v>1</v>
      </c>
      <c r="H27" s="121">
        <f t="shared" si="0"/>
        <v>0</v>
      </c>
      <c r="I27" s="103"/>
      <c r="J27" s="414">
        <f>'Res (100kWh)'!J27</f>
        <v>0</v>
      </c>
      <c r="K27" s="122">
        <v>1</v>
      </c>
      <c r="L27" s="121">
        <f t="shared" si="1"/>
        <v>0</v>
      </c>
      <c r="M27" s="103"/>
      <c r="N27" s="249">
        <f t="shared" si="2"/>
        <v>0</v>
      </c>
      <c r="O27" s="124">
        <f t="shared" si="3"/>
      </c>
    </row>
    <row r="28" spans="2:15" s="90" customFormat="1" ht="15">
      <c r="B28" s="420" t="s">
        <v>66</v>
      </c>
      <c r="C28" s="94"/>
      <c r="D28" s="117" t="s">
        <v>62</v>
      </c>
      <c r="E28" s="118"/>
      <c r="F28" s="146">
        <f>'Res (100kWh)'!F28</f>
        <v>0</v>
      </c>
      <c r="G28" s="120">
        <v>1</v>
      </c>
      <c r="H28" s="121">
        <f t="shared" si="0"/>
        <v>0</v>
      </c>
      <c r="I28" s="103"/>
      <c r="J28" s="477">
        <f>'Res (100kWh)'!J28</f>
        <v>-0.04</v>
      </c>
      <c r="K28" s="120">
        <f>K27</f>
        <v>1</v>
      </c>
      <c r="L28" s="121">
        <f t="shared" si="1"/>
        <v>-0.04</v>
      </c>
      <c r="M28" s="103"/>
      <c r="N28" s="249">
        <f t="shared" si="2"/>
        <v>-0.04</v>
      </c>
      <c r="O28" s="124">
        <f t="shared" si="3"/>
      </c>
    </row>
    <row r="29" spans="2:15" s="90" customFormat="1" ht="15">
      <c r="B29" s="94" t="s">
        <v>110</v>
      </c>
      <c r="C29" s="94"/>
      <c r="D29" s="117" t="s">
        <v>63</v>
      </c>
      <c r="E29" s="118"/>
      <c r="F29" s="423">
        <f>'Res (100kWh)'!F29</f>
        <v>0</v>
      </c>
      <c r="G29" s="120">
        <f>$F$18</f>
        <v>800</v>
      </c>
      <c r="H29" s="121">
        <f t="shared" si="0"/>
        <v>0</v>
      </c>
      <c r="I29" s="103"/>
      <c r="J29" s="479">
        <f>'Res (100kWh)'!J29</f>
        <v>0</v>
      </c>
      <c r="K29" s="120">
        <f>$F$18</f>
        <v>800</v>
      </c>
      <c r="L29" s="121">
        <f>K29*J29</f>
        <v>0</v>
      </c>
      <c r="M29" s="103"/>
      <c r="N29" s="249">
        <f t="shared" si="2"/>
        <v>0</v>
      </c>
      <c r="O29" s="124">
        <f t="shared" si="3"/>
      </c>
    </row>
    <row r="30" spans="2:15" s="90" customFormat="1" ht="15" hidden="1">
      <c r="B30" s="97" t="s">
        <v>92</v>
      </c>
      <c r="C30" s="94"/>
      <c r="D30" s="117" t="s">
        <v>63</v>
      </c>
      <c r="E30" s="118"/>
      <c r="F30" s="146">
        <f>'Res (100kWh)'!F30</f>
        <v>0</v>
      </c>
      <c r="G30" s="120">
        <f>$F$18</f>
        <v>800</v>
      </c>
      <c r="H30" s="121">
        <f t="shared" si="0"/>
        <v>0</v>
      </c>
      <c r="I30" s="103"/>
      <c r="J30" s="479">
        <f>'Res (100kWh)'!J30</f>
        <v>0</v>
      </c>
      <c r="K30" s="120">
        <f>$F$18</f>
        <v>800</v>
      </c>
      <c r="L30" s="121">
        <f>K30*J30</f>
        <v>0</v>
      </c>
      <c r="M30" s="103"/>
      <c r="N30" s="249">
        <f>L30-H30</f>
        <v>0</v>
      </c>
      <c r="O30" s="124">
        <f>IF((H30)=0,"",(N30/H30))</f>
      </c>
    </row>
    <row r="31" spans="2:17" s="90" customFormat="1" ht="15">
      <c r="B31" s="94" t="s">
        <v>21</v>
      </c>
      <c r="C31" s="94"/>
      <c r="D31" s="117" t="s">
        <v>63</v>
      </c>
      <c r="E31" s="118"/>
      <c r="F31" s="146">
        <f>'Res (100kWh)'!F31</f>
        <v>0.0211</v>
      </c>
      <c r="G31" s="120">
        <f>$F$18</f>
        <v>800</v>
      </c>
      <c r="H31" s="121">
        <f t="shared" si="0"/>
        <v>16.88</v>
      </c>
      <c r="I31" s="103"/>
      <c r="J31" s="482">
        <f>'Res (100kWh)'!J31</f>
        <v>0.0158</v>
      </c>
      <c r="K31" s="120">
        <f>$F$18</f>
        <v>800</v>
      </c>
      <c r="L31" s="121">
        <f>K31*J31</f>
        <v>12.64</v>
      </c>
      <c r="M31" s="103"/>
      <c r="N31" s="249">
        <f t="shared" si="2"/>
        <v>-4.239999999999998</v>
      </c>
      <c r="O31" s="124">
        <f t="shared" si="3"/>
        <v>-0.2511848341232227</v>
      </c>
      <c r="Q31" s="90" t="s">
        <v>150</v>
      </c>
    </row>
    <row r="32" spans="2:15" s="90" customFormat="1" ht="14.25" customHeight="1" hidden="1">
      <c r="B32" s="94" t="s">
        <v>22</v>
      </c>
      <c r="C32" s="94"/>
      <c r="D32" s="117"/>
      <c r="E32" s="118"/>
      <c r="F32" s="130">
        <f>'Res (100kWh)'!F32</f>
        <v>0</v>
      </c>
      <c r="G32" s="120">
        <f>$F$18</f>
        <v>800</v>
      </c>
      <c r="H32" s="121">
        <f t="shared" si="0"/>
        <v>0</v>
      </c>
      <c r="I32" s="103"/>
      <c r="J32" s="145"/>
      <c r="K32" s="120">
        <f aca="true" t="shared" si="4" ref="K32:K40">$F$18</f>
        <v>800</v>
      </c>
      <c r="L32" s="121">
        <f t="shared" si="1"/>
        <v>0</v>
      </c>
      <c r="M32" s="103"/>
      <c r="N32" s="123">
        <f t="shared" si="2"/>
        <v>0</v>
      </c>
      <c r="O32" s="124">
        <f t="shared" si="3"/>
      </c>
    </row>
    <row r="33" spans="2:15" s="90" customFormat="1" ht="15" hidden="1">
      <c r="B33" s="94" t="s">
        <v>110</v>
      </c>
      <c r="C33" s="94"/>
      <c r="D33" s="117" t="s">
        <v>63</v>
      </c>
      <c r="E33" s="118"/>
      <c r="F33" s="130">
        <f>'Res (100kWh)'!F33</f>
        <v>0</v>
      </c>
      <c r="G33" s="120">
        <f>$F$18</f>
        <v>800</v>
      </c>
      <c r="H33" s="121">
        <f t="shared" si="0"/>
        <v>0</v>
      </c>
      <c r="I33" s="103"/>
      <c r="J33" s="145">
        <v>0</v>
      </c>
      <c r="K33" s="120">
        <f t="shared" si="4"/>
        <v>800</v>
      </c>
      <c r="L33" s="121">
        <f t="shared" si="1"/>
        <v>0</v>
      </c>
      <c r="M33" s="103"/>
      <c r="N33" s="123">
        <f t="shared" si="2"/>
        <v>0</v>
      </c>
      <c r="O33" s="124">
        <f t="shared" si="3"/>
      </c>
    </row>
    <row r="34" spans="2:15" s="90" customFormat="1" ht="15" hidden="1">
      <c r="B34" s="98"/>
      <c r="C34" s="94"/>
      <c r="D34" s="117"/>
      <c r="E34" s="118"/>
      <c r="F34" s="130">
        <f>'Res (100kWh)'!F34</f>
        <v>0</v>
      </c>
      <c r="G34" s="120">
        <f aca="true" t="shared" si="5" ref="G34:G40">$F$18</f>
        <v>800</v>
      </c>
      <c r="H34" s="121">
        <f t="shared" si="0"/>
        <v>0</v>
      </c>
      <c r="I34" s="103"/>
      <c r="J34" s="145"/>
      <c r="K34" s="120">
        <f t="shared" si="4"/>
        <v>800</v>
      </c>
      <c r="L34" s="121">
        <f t="shared" si="1"/>
        <v>0</v>
      </c>
      <c r="M34" s="103"/>
      <c r="N34" s="123">
        <f t="shared" si="2"/>
        <v>0</v>
      </c>
      <c r="O34" s="124">
        <f t="shared" si="3"/>
      </c>
    </row>
    <row r="35" spans="2:15" s="90" customFormat="1" ht="15" hidden="1">
      <c r="B35" s="98"/>
      <c r="C35" s="94"/>
      <c r="D35" s="117"/>
      <c r="E35" s="118"/>
      <c r="F35" s="130">
        <f>'Res (100kWh)'!F35</f>
        <v>0</v>
      </c>
      <c r="G35" s="120">
        <f t="shared" si="5"/>
        <v>800</v>
      </c>
      <c r="H35" s="121">
        <f t="shared" si="0"/>
        <v>0</v>
      </c>
      <c r="I35" s="103"/>
      <c r="J35" s="145"/>
      <c r="K35" s="120">
        <f t="shared" si="4"/>
        <v>800</v>
      </c>
      <c r="L35" s="121">
        <f t="shared" si="1"/>
        <v>0</v>
      </c>
      <c r="M35" s="103"/>
      <c r="N35" s="123">
        <f t="shared" si="2"/>
        <v>0</v>
      </c>
      <c r="O35" s="124">
        <f t="shared" si="3"/>
      </c>
    </row>
    <row r="36" spans="2:15" s="90" customFormat="1" ht="15" hidden="1">
      <c r="B36" s="98"/>
      <c r="C36" s="94"/>
      <c r="D36" s="117"/>
      <c r="E36" s="118"/>
      <c r="F36" s="130">
        <f>'Res (100kWh)'!F36</f>
        <v>0</v>
      </c>
      <c r="G36" s="120">
        <f t="shared" si="5"/>
        <v>800</v>
      </c>
      <c r="H36" s="121">
        <f t="shared" si="0"/>
        <v>0</v>
      </c>
      <c r="I36" s="103"/>
      <c r="J36" s="145"/>
      <c r="K36" s="120">
        <f t="shared" si="4"/>
        <v>800</v>
      </c>
      <c r="L36" s="121">
        <f t="shared" si="1"/>
        <v>0</v>
      </c>
      <c r="M36" s="103"/>
      <c r="N36" s="123">
        <f t="shared" si="2"/>
        <v>0</v>
      </c>
      <c r="O36" s="124">
        <f t="shared" si="3"/>
      </c>
    </row>
    <row r="37" spans="2:15" s="90" customFormat="1" ht="15" hidden="1">
      <c r="B37" s="98"/>
      <c r="C37" s="94"/>
      <c r="D37" s="117"/>
      <c r="E37" s="118"/>
      <c r="F37" s="130">
        <f>'Res (100kWh)'!F37</f>
        <v>0</v>
      </c>
      <c r="G37" s="120">
        <f t="shared" si="5"/>
        <v>800</v>
      </c>
      <c r="H37" s="121">
        <f t="shared" si="0"/>
        <v>0</v>
      </c>
      <c r="I37" s="103"/>
      <c r="J37" s="145"/>
      <c r="K37" s="120">
        <f t="shared" si="4"/>
        <v>800</v>
      </c>
      <c r="L37" s="121">
        <f t="shared" si="1"/>
        <v>0</v>
      </c>
      <c r="M37" s="103"/>
      <c r="N37" s="123">
        <f t="shared" si="2"/>
        <v>0</v>
      </c>
      <c r="O37" s="124">
        <f t="shared" si="3"/>
      </c>
    </row>
    <row r="38" spans="2:15" s="90" customFormat="1" ht="15" hidden="1">
      <c r="B38" s="98"/>
      <c r="C38" s="94"/>
      <c r="D38" s="117"/>
      <c r="E38" s="118"/>
      <c r="F38" s="130">
        <f>'Res (100kWh)'!F38</f>
        <v>0</v>
      </c>
      <c r="G38" s="120">
        <f t="shared" si="5"/>
        <v>800</v>
      </c>
      <c r="H38" s="121">
        <f t="shared" si="0"/>
        <v>0</v>
      </c>
      <c r="I38" s="103"/>
      <c r="J38" s="145"/>
      <c r="K38" s="120">
        <f t="shared" si="4"/>
        <v>800</v>
      </c>
      <c r="L38" s="121">
        <f t="shared" si="1"/>
        <v>0</v>
      </c>
      <c r="M38" s="103"/>
      <c r="N38" s="123">
        <f t="shared" si="2"/>
        <v>0</v>
      </c>
      <c r="O38" s="124">
        <f t="shared" si="3"/>
      </c>
    </row>
    <row r="39" spans="2:15" s="90" customFormat="1" ht="15" hidden="1">
      <c r="B39" s="98"/>
      <c r="C39" s="94"/>
      <c r="D39" s="117"/>
      <c r="E39" s="118"/>
      <c r="F39" s="130">
        <f>'Res (100kWh)'!F39</f>
        <v>0</v>
      </c>
      <c r="G39" s="120">
        <f t="shared" si="5"/>
        <v>800</v>
      </c>
      <c r="H39" s="121">
        <f t="shared" si="0"/>
        <v>0</v>
      </c>
      <c r="I39" s="103"/>
      <c r="J39" s="145"/>
      <c r="K39" s="120">
        <f t="shared" si="4"/>
        <v>800</v>
      </c>
      <c r="L39" s="121">
        <f t="shared" si="1"/>
        <v>0</v>
      </c>
      <c r="M39" s="103"/>
      <c r="N39" s="123">
        <f t="shared" si="2"/>
        <v>0</v>
      </c>
      <c r="O39" s="124">
        <f t="shared" si="3"/>
      </c>
    </row>
    <row r="40" spans="2:15" s="90" customFormat="1" ht="15" hidden="1">
      <c r="B40" s="98"/>
      <c r="C40" s="94"/>
      <c r="D40" s="117"/>
      <c r="E40" s="118"/>
      <c r="F40" s="130">
        <f>'Res (100kWh)'!F40</f>
        <v>0</v>
      </c>
      <c r="G40" s="120">
        <f t="shared" si="5"/>
        <v>800</v>
      </c>
      <c r="H40" s="121">
        <f t="shared" si="0"/>
        <v>0</v>
      </c>
      <c r="I40" s="103"/>
      <c r="J40" s="145"/>
      <c r="K40" s="120">
        <f t="shared" si="4"/>
        <v>800</v>
      </c>
      <c r="L40" s="121">
        <f t="shared" si="1"/>
        <v>0</v>
      </c>
      <c r="M40" s="103"/>
      <c r="N40" s="123">
        <f t="shared" si="2"/>
        <v>0</v>
      </c>
      <c r="O40" s="124">
        <f t="shared" si="3"/>
      </c>
    </row>
    <row r="41" spans="2:22" s="141" customFormat="1" ht="15">
      <c r="B41" s="99" t="s">
        <v>24</v>
      </c>
      <c r="C41" s="133"/>
      <c r="D41" s="134"/>
      <c r="E41" s="133"/>
      <c r="F41" s="135"/>
      <c r="G41" s="136"/>
      <c r="H41" s="137">
        <f>SUM(H23:H40)</f>
        <v>29.85</v>
      </c>
      <c r="I41" s="138"/>
      <c r="J41" s="415"/>
      <c r="K41" s="140"/>
      <c r="L41" s="137">
        <f>SUM(L23:L40)</f>
        <v>29.94</v>
      </c>
      <c r="M41" s="138"/>
      <c r="N41" s="184">
        <f>L41-H41</f>
        <v>0.08999999999999986</v>
      </c>
      <c r="O41" s="185">
        <f t="shared" si="3"/>
        <v>0.003015075376884417</v>
      </c>
      <c r="Q41" s="492">
        <f>N41-N26-N28-N29</f>
        <v>0.12999999999999987</v>
      </c>
      <c r="R41" s="493">
        <f>(L41-L26-L28-L29)/(H41-H26-H28-H29)-1</f>
        <v>0.00462633451957295</v>
      </c>
      <c r="V41" s="90"/>
    </row>
    <row r="42" spans="2:15" s="90" customFormat="1" ht="15" hidden="1">
      <c r="B42" s="96"/>
      <c r="C42" s="94"/>
      <c r="D42" s="127" t="s">
        <v>62</v>
      </c>
      <c r="E42" s="118"/>
      <c r="F42" s="130">
        <f>'Res (100kWh)'!F42</f>
        <v>0</v>
      </c>
      <c r="G42" s="120">
        <v>1</v>
      </c>
      <c r="H42" s="121">
        <f>G42*F42</f>
        <v>0</v>
      </c>
      <c r="I42" s="103"/>
      <c r="J42" s="414"/>
      <c r="K42" s="122">
        <v>1</v>
      </c>
      <c r="L42" s="121">
        <f>K42*J42</f>
        <v>0</v>
      </c>
      <c r="M42" s="103"/>
      <c r="N42" s="123">
        <f>L42-H42</f>
        <v>0</v>
      </c>
      <c r="O42" s="124">
        <f>IF((H42)=0,"",(N42/H42))</f>
      </c>
    </row>
    <row r="43" spans="2:15" s="90" customFormat="1" ht="15">
      <c r="B43" s="420" t="s">
        <v>25</v>
      </c>
      <c r="C43" s="94"/>
      <c r="D43" s="127" t="s">
        <v>63</v>
      </c>
      <c r="E43" s="129"/>
      <c r="F43" s="416">
        <f>'Res (100kWh)'!F43</f>
        <v>-0.007</v>
      </c>
      <c r="G43" s="120">
        <f>$F$18</f>
        <v>800</v>
      </c>
      <c r="H43" s="121">
        <f aca="true" t="shared" si="6" ref="H43:H51">G43*F43</f>
        <v>-5.6000000000000005</v>
      </c>
      <c r="I43" s="103"/>
      <c r="J43" s="416">
        <f>'Res (100kWh)'!J43</f>
        <v>0.0021</v>
      </c>
      <c r="K43" s="120">
        <f>$F$18</f>
        <v>800</v>
      </c>
      <c r="L43" s="121">
        <f aca="true" t="shared" si="7" ref="L43:L51">K43*J43</f>
        <v>1.68</v>
      </c>
      <c r="M43" s="103"/>
      <c r="N43" s="249">
        <f t="shared" si="2"/>
        <v>7.28</v>
      </c>
      <c r="O43" s="124">
        <f t="shared" si="3"/>
        <v>-1.2999999999999998</v>
      </c>
    </row>
    <row r="44" spans="2:15" s="90" customFormat="1" ht="15" hidden="1">
      <c r="B44" s="97"/>
      <c r="C44" s="94"/>
      <c r="D44" s="117" t="s">
        <v>63</v>
      </c>
      <c r="E44" s="118"/>
      <c r="F44" s="146">
        <f>'Res (100kWh)'!F44</f>
        <v>0</v>
      </c>
      <c r="G44" s="120">
        <f>$F$18</f>
        <v>800</v>
      </c>
      <c r="H44" s="121">
        <f t="shared" si="6"/>
        <v>0</v>
      </c>
      <c r="I44" s="143"/>
      <c r="J44" s="145">
        <f>'Res (100kWh)'!J44</f>
        <v>0</v>
      </c>
      <c r="K44" s="120">
        <f>$F$18</f>
        <v>800</v>
      </c>
      <c r="L44" s="121">
        <f t="shared" si="7"/>
        <v>0</v>
      </c>
      <c r="M44" s="144"/>
      <c r="N44" s="249">
        <f t="shared" si="2"/>
        <v>0</v>
      </c>
      <c r="O44" s="124">
        <f t="shared" si="3"/>
      </c>
    </row>
    <row r="45" spans="2:15" s="90" customFormat="1" ht="15" hidden="1">
      <c r="B45" s="97"/>
      <c r="C45" s="94"/>
      <c r="D45" s="117" t="s">
        <v>63</v>
      </c>
      <c r="E45" s="118"/>
      <c r="F45" s="146">
        <f>'Res (100kWh)'!F45</f>
        <v>0</v>
      </c>
      <c r="G45" s="120">
        <f>$F$18</f>
        <v>800</v>
      </c>
      <c r="H45" s="121">
        <f t="shared" si="6"/>
        <v>0</v>
      </c>
      <c r="I45" s="143"/>
      <c r="J45" s="145">
        <f>'Res (100kWh)'!J45</f>
        <v>0</v>
      </c>
      <c r="K45" s="120">
        <f>$F$18</f>
        <v>800</v>
      </c>
      <c r="L45" s="121">
        <f t="shared" si="7"/>
        <v>0</v>
      </c>
      <c r="M45" s="144"/>
      <c r="N45" s="249">
        <f t="shared" si="2"/>
        <v>0</v>
      </c>
      <c r="O45" s="124">
        <f t="shared" si="3"/>
      </c>
    </row>
    <row r="46" spans="2:15" s="90" customFormat="1" ht="15" hidden="1">
      <c r="B46" s="97"/>
      <c r="C46" s="94"/>
      <c r="D46" s="117"/>
      <c r="E46" s="118"/>
      <c r="F46" s="146">
        <f>'Res (100kWh)'!F46</f>
        <v>0</v>
      </c>
      <c r="G46" s="120">
        <f>$F$18</f>
        <v>800</v>
      </c>
      <c r="H46" s="121">
        <f t="shared" si="6"/>
        <v>0</v>
      </c>
      <c r="I46" s="143"/>
      <c r="J46" s="145">
        <f>'Res (100kWh)'!J46</f>
        <v>0</v>
      </c>
      <c r="K46" s="120">
        <f>$F$18</f>
        <v>800</v>
      </c>
      <c r="L46" s="121">
        <f t="shared" si="7"/>
        <v>0</v>
      </c>
      <c r="M46" s="144"/>
      <c r="N46" s="249">
        <f t="shared" si="2"/>
        <v>0</v>
      </c>
      <c r="O46" s="124">
        <f t="shared" si="3"/>
      </c>
    </row>
    <row r="47" spans="2:15" s="90" customFormat="1" ht="15" hidden="1">
      <c r="B47" s="97"/>
      <c r="C47" s="94"/>
      <c r="D47" s="117" t="s">
        <v>62</v>
      </c>
      <c r="E47" s="118"/>
      <c r="F47" s="146">
        <f>'Res (100kWh)'!F47</f>
        <v>0</v>
      </c>
      <c r="G47" s="120">
        <v>1</v>
      </c>
      <c r="H47" s="121">
        <f t="shared" si="6"/>
        <v>0</v>
      </c>
      <c r="I47" s="103"/>
      <c r="J47" s="249">
        <f>'Res (100kWh)'!J47</f>
        <v>0</v>
      </c>
      <c r="K47" s="120">
        <v>1</v>
      </c>
      <c r="L47" s="121">
        <f t="shared" si="7"/>
        <v>0</v>
      </c>
      <c r="M47" s="103"/>
      <c r="N47" s="249">
        <f>L47-H47</f>
        <v>0</v>
      </c>
      <c r="O47" s="124">
        <f>IF((H47)=0,"",(N47/H47))</f>
      </c>
    </row>
    <row r="48" spans="2:15" s="90" customFormat="1" ht="15" hidden="1">
      <c r="B48" s="94"/>
      <c r="C48" s="94"/>
      <c r="D48" s="117" t="s">
        <v>63</v>
      </c>
      <c r="E48" s="118"/>
      <c r="F48" s="146">
        <f>'Res (100kWh)'!F48</f>
        <v>0</v>
      </c>
      <c r="G48" s="120">
        <f>$F$18</f>
        <v>800</v>
      </c>
      <c r="H48" s="121">
        <f t="shared" si="6"/>
        <v>0</v>
      </c>
      <c r="I48" s="103"/>
      <c r="J48" s="145">
        <f>'Res (100kWh)'!J48</f>
        <v>0</v>
      </c>
      <c r="K48" s="120">
        <f>$F$18</f>
        <v>800</v>
      </c>
      <c r="L48" s="121">
        <f t="shared" si="7"/>
        <v>0</v>
      </c>
      <c r="M48" s="103"/>
      <c r="N48" s="249">
        <f>L48-H48</f>
        <v>0</v>
      </c>
      <c r="O48" s="124">
        <f>IF((H48)=0,"",(N48/H48))</f>
      </c>
    </row>
    <row r="49" spans="2:15" s="90" customFormat="1" ht="15">
      <c r="B49" s="100" t="s">
        <v>26</v>
      </c>
      <c r="C49" s="94"/>
      <c r="D49" s="117" t="s">
        <v>63</v>
      </c>
      <c r="E49" s="118"/>
      <c r="F49" s="146">
        <f>'Res (100kWh)'!F49</f>
        <v>0.0024</v>
      </c>
      <c r="G49" s="120">
        <f>$F$18</f>
        <v>800</v>
      </c>
      <c r="H49" s="121">
        <f t="shared" si="6"/>
        <v>1.92</v>
      </c>
      <c r="I49" s="103"/>
      <c r="J49" s="145">
        <f>'Res (100kWh)'!J49</f>
        <v>0.0024</v>
      </c>
      <c r="K49" s="120">
        <f>$F$18</f>
        <v>800</v>
      </c>
      <c r="L49" s="121">
        <f t="shared" si="7"/>
        <v>1.92</v>
      </c>
      <c r="M49" s="103"/>
      <c r="N49" s="249">
        <f t="shared" si="2"/>
        <v>0</v>
      </c>
      <c r="O49" s="124">
        <f t="shared" si="3"/>
        <v>0</v>
      </c>
    </row>
    <row r="50" spans="2:15" s="141" customFormat="1" ht="15">
      <c r="B50" s="101" t="s">
        <v>27</v>
      </c>
      <c r="C50" s="118"/>
      <c r="D50" s="117" t="s">
        <v>63</v>
      </c>
      <c r="E50" s="118"/>
      <c r="F50" s="146">
        <f>IF(ISBLANK(D16)=TRUE,0,IF(D16="TOU",0.64*$F$61+0.18*$F$62+0.18*$F$63,IF(AND(D16="non-TOU",G65&gt;0),F65,F64)))</f>
        <v>0.10214000000000001</v>
      </c>
      <c r="G50" s="120">
        <f>$F$18*(1+$F$80)-$F$18</f>
        <v>39.600000000000136</v>
      </c>
      <c r="H50" s="147">
        <f t="shared" si="6"/>
        <v>4.044744000000014</v>
      </c>
      <c r="I50" s="129"/>
      <c r="J50" s="145">
        <f>0.64*$F$61+0.18*$F$62+0.18*$F$63</f>
        <v>0.10214000000000001</v>
      </c>
      <c r="K50" s="120">
        <f>$F$18*(1+$J$80)-$F$18</f>
        <v>39.600000000000136</v>
      </c>
      <c r="L50" s="147">
        <f t="shared" si="7"/>
        <v>4.044744000000014</v>
      </c>
      <c r="M50" s="129"/>
      <c r="N50" s="249">
        <f t="shared" si="2"/>
        <v>0</v>
      </c>
      <c r="O50" s="148">
        <f t="shared" si="3"/>
        <v>0</v>
      </c>
    </row>
    <row r="51" spans="2:15" s="90" customFormat="1" ht="15">
      <c r="B51" s="100" t="s">
        <v>28</v>
      </c>
      <c r="C51" s="94"/>
      <c r="D51" s="117" t="s">
        <v>62</v>
      </c>
      <c r="E51" s="118"/>
      <c r="F51" s="413">
        <f>'Res (100kWh)'!F51</f>
        <v>0.79</v>
      </c>
      <c r="G51" s="120">
        <v>1</v>
      </c>
      <c r="H51" s="121">
        <f t="shared" si="6"/>
        <v>0.79</v>
      </c>
      <c r="I51" s="103"/>
      <c r="J51" s="413">
        <f>'Res (100kWh)'!J51</f>
        <v>0.79</v>
      </c>
      <c r="K51" s="120">
        <v>1</v>
      </c>
      <c r="L51" s="121">
        <f t="shared" si="7"/>
        <v>0.79</v>
      </c>
      <c r="M51" s="103"/>
      <c r="N51" s="249">
        <f t="shared" si="2"/>
        <v>0</v>
      </c>
      <c r="O51" s="124"/>
    </row>
    <row r="52" spans="2:15" s="90" customFormat="1" ht="15">
      <c r="B52" s="102" t="s">
        <v>29</v>
      </c>
      <c r="C52" s="149"/>
      <c r="D52" s="149"/>
      <c r="E52" s="149"/>
      <c r="F52" s="150"/>
      <c r="G52" s="151"/>
      <c r="H52" s="186">
        <f>SUM(H42:H51)+H41</f>
        <v>31.004744000000017</v>
      </c>
      <c r="I52" s="138"/>
      <c r="J52" s="417"/>
      <c r="K52" s="152"/>
      <c r="L52" s="186">
        <f>SUM(L42:L51)+L41</f>
        <v>38.374744000000014</v>
      </c>
      <c r="M52" s="138"/>
      <c r="N52" s="184">
        <f t="shared" si="2"/>
        <v>7.369999999999997</v>
      </c>
      <c r="O52" s="185">
        <f aca="true" t="shared" si="8" ref="O52:O71">IF((H52)=0,"",(N52/H52))</f>
        <v>0.2377055588654431</v>
      </c>
    </row>
    <row r="53" spans="2:15" s="90" customFormat="1" ht="15">
      <c r="B53" s="103" t="s">
        <v>30</v>
      </c>
      <c r="C53" s="103"/>
      <c r="D53" s="127" t="s">
        <v>63</v>
      </c>
      <c r="E53" s="129"/>
      <c r="F53" s="145">
        <f>'Res (100kWh)'!F53</f>
        <v>0.0048</v>
      </c>
      <c r="G53" s="483">
        <f>F18*(1+F80)</f>
        <v>839.6000000000001</v>
      </c>
      <c r="H53" s="147">
        <f>G53*F53</f>
        <v>4.03008</v>
      </c>
      <c r="I53" s="129"/>
      <c r="J53" s="145">
        <f>'Res (100kWh)'!J53</f>
        <v>0.0064</v>
      </c>
      <c r="K53" s="484">
        <f>F18*(1+J80)</f>
        <v>839.6000000000001</v>
      </c>
      <c r="L53" s="121">
        <f>K53*J53</f>
        <v>5.373440000000001</v>
      </c>
      <c r="M53" s="103"/>
      <c r="N53" s="249">
        <f t="shared" si="2"/>
        <v>1.3433600000000014</v>
      </c>
      <c r="O53" s="124">
        <f t="shared" si="8"/>
        <v>0.3333333333333337</v>
      </c>
    </row>
    <row r="54" spans="2:15" s="90" customFormat="1" ht="15">
      <c r="B54" s="104" t="s">
        <v>31</v>
      </c>
      <c r="C54" s="103"/>
      <c r="D54" s="127" t="s">
        <v>63</v>
      </c>
      <c r="E54" s="129"/>
      <c r="F54" s="145">
        <f>'Res (100kWh)'!F54</f>
        <v>0.0019</v>
      </c>
      <c r="G54" s="483">
        <f>G53</f>
        <v>839.6000000000001</v>
      </c>
      <c r="H54" s="147">
        <f>G54*F54</f>
        <v>1.5952400000000002</v>
      </c>
      <c r="I54" s="129"/>
      <c r="J54" s="145">
        <f>'Res (100kWh)'!J54</f>
        <v>0.003</v>
      </c>
      <c r="K54" s="484">
        <f>K53</f>
        <v>839.6000000000001</v>
      </c>
      <c r="L54" s="121">
        <f>K54*J54</f>
        <v>2.5188000000000006</v>
      </c>
      <c r="M54" s="103"/>
      <c r="N54" s="249">
        <f t="shared" si="2"/>
        <v>0.9235600000000004</v>
      </c>
      <c r="O54" s="124">
        <f t="shared" si="8"/>
        <v>0.5789473684210528</v>
      </c>
    </row>
    <row r="55" spans="2:15" s="90" customFormat="1" ht="15">
      <c r="B55" s="102" t="s">
        <v>32</v>
      </c>
      <c r="C55" s="133"/>
      <c r="D55" s="133"/>
      <c r="E55" s="133"/>
      <c r="F55" s="153"/>
      <c r="G55" s="151"/>
      <c r="H55" s="186">
        <f>SUM(H52:H54)</f>
        <v>36.63006400000001</v>
      </c>
      <c r="I55" s="187"/>
      <c r="J55" s="418"/>
      <c r="K55" s="189"/>
      <c r="L55" s="186">
        <f>SUM(L52:L54)</f>
        <v>46.266984000000015</v>
      </c>
      <c r="M55" s="187"/>
      <c r="N55" s="184">
        <f t="shared" si="2"/>
        <v>9.636920000000003</v>
      </c>
      <c r="O55" s="185">
        <f t="shared" si="8"/>
        <v>0.26308771942085607</v>
      </c>
    </row>
    <row r="56" spans="2:15" s="90" customFormat="1" ht="15">
      <c r="B56" s="95" t="s">
        <v>33</v>
      </c>
      <c r="C56" s="94"/>
      <c r="D56" s="117" t="s">
        <v>63</v>
      </c>
      <c r="E56" s="118"/>
      <c r="F56" s="146">
        <f>'Res (100kWh)'!F56</f>
        <v>0.0044</v>
      </c>
      <c r="G56" s="483">
        <f>G54</f>
        <v>839.6000000000001</v>
      </c>
      <c r="H56" s="147">
        <f aca="true" t="shared" si="9" ref="H56:H63">G56*F56</f>
        <v>3.6942400000000006</v>
      </c>
      <c r="I56" s="129"/>
      <c r="J56" s="479">
        <f>'Res (100kWh)'!J56</f>
        <v>0.0036</v>
      </c>
      <c r="K56" s="484">
        <f>K54</f>
        <v>839.6000000000001</v>
      </c>
      <c r="L56" s="121">
        <f aca="true" t="shared" si="10" ref="L56:L63">K56*J56</f>
        <v>3.0225600000000004</v>
      </c>
      <c r="M56" s="103"/>
      <c r="N56" s="249">
        <f t="shared" si="2"/>
        <v>-0.6716800000000003</v>
      </c>
      <c r="O56" s="124">
        <f t="shared" si="8"/>
        <v>-0.18181818181818185</v>
      </c>
    </row>
    <row r="57" spans="2:15" s="90" customFormat="1" ht="15">
      <c r="B57" s="95" t="s">
        <v>34</v>
      </c>
      <c r="C57" s="94"/>
      <c r="D57" s="117" t="s">
        <v>63</v>
      </c>
      <c r="E57" s="118"/>
      <c r="F57" s="146">
        <f>'Res (100kWh)'!F57</f>
        <v>0.0013</v>
      </c>
      <c r="G57" s="483">
        <f>G54</f>
        <v>839.6000000000001</v>
      </c>
      <c r="H57" s="147">
        <f t="shared" si="9"/>
        <v>1.0914800000000002</v>
      </c>
      <c r="I57" s="129"/>
      <c r="J57" s="145">
        <f>'Res (100kWh)'!J57</f>
        <v>0.0013</v>
      </c>
      <c r="K57" s="484">
        <f>K54</f>
        <v>839.6000000000001</v>
      </c>
      <c r="L57" s="121">
        <f t="shared" si="10"/>
        <v>1.0914800000000002</v>
      </c>
      <c r="M57" s="103"/>
      <c r="N57" s="249">
        <f t="shared" si="2"/>
        <v>0</v>
      </c>
      <c r="O57" s="124">
        <f t="shared" si="8"/>
        <v>0</v>
      </c>
    </row>
    <row r="58" spans="2:15" s="90" customFormat="1" ht="15">
      <c r="B58" s="95" t="s">
        <v>121</v>
      </c>
      <c r="C58" s="94"/>
      <c r="D58" s="117" t="s">
        <v>63</v>
      </c>
      <c r="E58" s="118"/>
      <c r="F58" s="146">
        <f>'Res (100kWh)'!F58</f>
        <v>0</v>
      </c>
      <c r="G58" s="483">
        <f>G54</f>
        <v>839.6000000000001</v>
      </c>
      <c r="H58" s="147">
        <f t="shared" si="9"/>
        <v>0</v>
      </c>
      <c r="I58" s="129"/>
      <c r="J58" s="479">
        <f>'Res (100kWh)'!J58</f>
        <v>0.0011</v>
      </c>
      <c r="K58" s="484">
        <f>K54</f>
        <v>839.6000000000001</v>
      </c>
      <c r="L58" s="121">
        <f t="shared" si="10"/>
        <v>0.9235600000000002</v>
      </c>
      <c r="M58" s="103"/>
      <c r="N58" s="249">
        <f t="shared" si="2"/>
        <v>0.9235600000000002</v>
      </c>
      <c r="O58" s="124">
        <f t="shared" si="8"/>
      </c>
    </row>
    <row r="59" spans="2:15" s="90" customFormat="1" ht="15">
      <c r="B59" s="94" t="s">
        <v>35</v>
      </c>
      <c r="C59" s="94"/>
      <c r="D59" s="117" t="s">
        <v>62</v>
      </c>
      <c r="E59" s="118"/>
      <c r="F59" s="413">
        <f>'Res (100kWh)'!F59</f>
        <v>0.25</v>
      </c>
      <c r="G59" s="120">
        <v>1</v>
      </c>
      <c r="H59" s="147">
        <f t="shared" si="9"/>
        <v>0.25</v>
      </c>
      <c r="I59" s="129"/>
      <c r="J59" s="414">
        <f>'Res (100kWh)'!J59</f>
        <v>0.25</v>
      </c>
      <c r="K59" s="122">
        <v>1</v>
      </c>
      <c r="L59" s="121">
        <f t="shared" si="10"/>
        <v>0.25</v>
      </c>
      <c r="M59" s="103"/>
      <c r="N59" s="249">
        <f t="shared" si="2"/>
        <v>0</v>
      </c>
      <c r="O59" s="124">
        <f t="shared" si="8"/>
        <v>0</v>
      </c>
    </row>
    <row r="60" spans="2:15" s="90" customFormat="1" ht="15">
      <c r="B60" s="94" t="s">
        <v>36</v>
      </c>
      <c r="C60" s="94"/>
      <c r="D60" s="117" t="s">
        <v>63</v>
      </c>
      <c r="E60" s="118"/>
      <c r="F60" s="146">
        <f>'Res (100kWh)'!F60</f>
        <v>0.007</v>
      </c>
      <c r="G60" s="154">
        <f>F18</f>
        <v>800</v>
      </c>
      <c r="H60" s="121">
        <f t="shared" si="9"/>
        <v>5.6000000000000005</v>
      </c>
      <c r="I60" s="103"/>
      <c r="J60" s="145">
        <f>'Res (100kWh)'!J60</f>
        <v>0</v>
      </c>
      <c r="K60" s="155">
        <f>F18</f>
        <v>800</v>
      </c>
      <c r="L60" s="121">
        <f t="shared" si="10"/>
        <v>0</v>
      </c>
      <c r="M60" s="103"/>
      <c r="N60" s="249">
        <f t="shared" si="2"/>
        <v>-5.6000000000000005</v>
      </c>
      <c r="O60" s="124">
        <f t="shared" si="8"/>
        <v>-1</v>
      </c>
    </row>
    <row r="61" spans="2:19" s="90" customFormat="1" ht="15">
      <c r="B61" s="100" t="s">
        <v>37</v>
      </c>
      <c r="C61" s="94"/>
      <c r="D61" s="117" t="s">
        <v>63</v>
      </c>
      <c r="E61" s="118"/>
      <c r="F61" s="146">
        <f>'Res (100kWh)'!F61</f>
        <v>0.08</v>
      </c>
      <c r="G61" s="154">
        <f>0.64*$F$18</f>
        <v>512</v>
      </c>
      <c r="H61" s="121">
        <f t="shared" si="9"/>
        <v>40.96</v>
      </c>
      <c r="I61" s="103"/>
      <c r="J61" s="146">
        <f>'Res (100kWh)'!J61</f>
        <v>0.08</v>
      </c>
      <c r="K61" s="154">
        <f>G61</f>
        <v>512</v>
      </c>
      <c r="L61" s="121">
        <f t="shared" si="10"/>
        <v>40.96</v>
      </c>
      <c r="M61" s="103"/>
      <c r="N61" s="249">
        <f t="shared" si="2"/>
        <v>0</v>
      </c>
      <c r="O61" s="124">
        <f t="shared" si="8"/>
        <v>0</v>
      </c>
      <c r="S61" s="156"/>
    </row>
    <row r="62" spans="2:19" s="90" customFormat="1" ht="15">
      <c r="B62" s="100" t="s">
        <v>38</v>
      </c>
      <c r="C62" s="94"/>
      <c r="D62" s="117" t="s">
        <v>63</v>
      </c>
      <c r="E62" s="118"/>
      <c r="F62" s="146">
        <f>'Res (100kWh)'!F62</f>
        <v>0.122</v>
      </c>
      <c r="G62" s="154">
        <f>0.18*$F$18</f>
        <v>144</v>
      </c>
      <c r="H62" s="121">
        <f t="shared" si="9"/>
        <v>17.567999999999998</v>
      </c>
      <c r="I62" s="103"/>
      <c r="J62" s="146">
        <f>'Res (100kWh)'!J62</f>
        <v>0.122</v>
      </c>
      <c r="K62" s="154">
        <f>G62</f>
        <v>144</v>
      </c>
      <c r="L62" s="121">
        <f t="shared" si="10"/>
        <v>17.567999999999998</v>
      </c>
      <c r="M62" s="103"/>
      <c r="N62" s="249">
        <f t="shared" si="2"/>
        <v>0</v>
      </c>
      <c r="O62" s="124">
        <f t="shared" si="8"/>
        <v>0</v>
      </c>
      <c r="S62" s="156"/>
    </row>
    <row r="63" spans="2:19" s="90" customFormat="1" ht="15">
      <c r="B63" s="93" t="s">
        <v>39</v>
      </c>
      <c r="C63" s="94"/>
      <c r="D63" s="117" t="s">
        <v>63</v>
      </c>
      <c r="E63" s="118"/>
      <c r="F63" s="146">
        <f>'Res (100kWh)'!F63</f>
        <v>0.161</v>
      </c>
      <c r="G63" s="154">
        <f>0.18*$F$18</f>
        <v>144</v>
      </c>
      <c r="H63" s="121">
        <f t="shared" si="9"/>
        <v>23.184</v>
      </c>
      <c r="I63" s="103"/>
      <c r="J63" s="146">
        <f>'Res (100kWh)'!J63</f>
        <v>0.161</v>
      </c>
      <c r="K63" s="154">
        <f>G63</f>
        <v>144</v>
      </c>
      <c r="L63" s="121">
        <f t="shared" si="10"/>
        <v>23.184</v>
      </c>
      <c r="M63" s="103"/>
      <c r="N63" s="249">
        <f t="shared" si="2"/>
        <v>0</v>
      </c>
      <c r="O63" s="124">
        <f t="shared" si="8"/>
        <v>0</v>
      </c>
      <c r="S63" s="156"/>
    </row>
    <row r="64" spans="2:15" s="194" customFormat="1" ht="15">
      <c r="B64" s="105" t="s">
        <v>40</v>
      </c>
      <c r="C64" s="105"/>
      <c r="D64" s="190" t="s">
        <v>63</v>
      </c>
      <c r="E64" s="191"/>
      <c r="F64" s="146">
        <f>'Res (100kWh)'!F64</f>
        <v>0.094</v>
      </c>
      <c r="G64" s="192">
        <f>IF(AND($T$1=1,F18&gt;=600),600,IF(AND($T$1=1,AND(F18&lt;600,F18&gt;=0)),F18,IF(AND($T$1=2,F18&gt;=1000),1000,IF(AND($T$1=2,AND(F18&lt;1000,F18&gt;=0)),F18))))</f>
        <v>600</v>
      </c>
      <c r="H64" s="121">
        <f>G64*F64</f>
        <v>56.4</v>
      </c>
      <c r="I64" s="193"/>
      <c r="J64" s="146">
        <f>'Res (100kWh)'!J64</f>
        <v>0.094</v>
      </c>
      <c r="K64" s="192">
        <f>G64</f>
        <v>600</v>
      </c>
      <c r="L64" s="121">
        <f>K64*J64</f>
        <v>56.4</v>
      </c>
      <c r="M64" s="193"/>
      <c r="N64" s="249">
        <f t="shared" si="2"/>
        <v>0</v>
      </c>
      <c r="O64" s="124">
        <f t="shared" si="8"/>
        <v>0</v>
      </c>
    </row>
    <row r="65" spans="2:15" s="194" customFormat="1" ht="15.75" thickBot="1">
      <c r="B65" s="105" t="s">
        <v>41</v>
      </c>
      <c r="C65" s="105"/>
      <c r="D65" s="190" t="s">
        <v>63</v>
      </c>
      <c r="E65" s="191"/>
      <c r="F65" s="146">
        <f>'Res (100kWh)'!F65</f>
        <v>0.11</v>
      </c>
      <c r="G65" s="192">
        <f>IF(AND($T$1=1,F18&gt;=600),F18-600,IF(AND($T$1=1,AND(F18&lt;600,F18&gt;=0)),0,IF(AND($T$1=2,F18&gt;=1000),F18-1000,IF(AND($T$1=2,AND(F18&lt;1000,F18&gt;=0)),0))))</f>
        <v>200</v>
      </c>
      <c r="H65" s="121">
        <f>G65*F65</f>
        <v>22</v>
      </c>
      <c r="I65" s="193"/>
      <c r="J65" s="146">
        <f>'Res (100kWh)'!J65</f>
        <v>0.11</v>
      </c>
      <c r="K65" s="192">
        <f>G65</f>
        <v>200</v>
      </c>
      <c r="L65" s="121">
        <f>K65*J65</f>
        <v>22</v>
      </c>
      <c r="M65" s="193"/>
      <c r="N65" s="249">
        <f t="shared" si="2"/>
        <v>0</v>
      </c>
      <c r="O65" s="124">
        <f t="shared" si="8"/>
        <v>0</v>
      </c>
    </row>
    <row r="66" spans="2:15" s="90" customFormat="1" ht="8.25" customHeight="1" thickBot="1">
      <c r="B66" s="106"/>
      <c r="C66" s="115"/>
      <c r="D66" s="116"/>
      <c r="E66" s="115"/>
      <c r="F66" s="157"/>
      <c r="G66" s="158"/>
      <c r="H66" s="159"/>
      <c r="I66" s="160"/>
      <c r="J66" s="157"/>
      <c r="K66" s="161"/>
      <c r="L66" s="159"/>
      <c r="M66" s="160"/>
      <c r="N66" s="162"/>
      <c r="O66" s="163"/>
    </row>
    <row r="67" spans="2:19" s="90" customFormat="1" ht="15">
      <c r="B67" s="107" t="s">
        <v>42</v>
      </c>
      <c r="C67" s="94"/>
      <c r="D67" s="94"/>
      <c r="E67" s="94"/>
      <c r="F67" s="164"/>
      <c r="G67" s="165"/>
      <c r="H67" s="195">
        <f>SUM(H56:H63,H55)</f>
        <v>128.977784</v>
      </c>
      <c r="I67" s="196"/>
      <c r="J67" s="197"/>
      <c r="K67" s="197"/>
      <c r="L67" s="198">
        <f>SUM(L56:L63,L55)</f>
        <v>133.26658400000002</v>
      </c>
      <c r="M67" s="199"/>
      <c r="N67" s="250">
        <f>L67-H67</f>
        <v>4.288800000000009</v>
      </c>
      <c r="O67" s="200">
        <f>IF((H67)=0,"",(N67/H67))</f>
        <v>0.033252238230422754</v>
      </c>
      <c r="S67" s="156"/>
    </row>
    <row r="68" spans="2:19" s="90" customFormat="1" ht="15">
      <c r="B68" s="108" t="s">
        <v>43</v>
      </c>
      <c r="C68" s="94"/>
      <c r="D68" s="94"/>
      <c r="E68" s="94"/>
      <c r="F68" s="166">
        <v>0.13</v>
      </c>
      <c r="G68" s="167"/>
      <c r="H68" s="201">
        <f>H67*F68</f>
        <v>16.76711192</v>
      </c>
      <c r="I68" s="202"/>
      <c r="J68" s="203">
        <v>0.13</v>
      </c>
      <c r="K68" s="202"/>
      <c r="L68" s="204">
        <f>L67*J68</f>
        <v>17.324655920000005</v>
      </c>
      <c r="M68" s="205"/>
      <c r="N68" s="249">
        <f t="shared" si="2"/>
        <v>0.5575440000000036</v>
      </c>
      <c r="O68" s="206">
        <f t="shared" si="8"/>
        <v>0.0332522382304229</v>
      </c>
      <c r="S68" s="156"/>
    </row>
    <row r="69" spans="2:19" s="90" customFormat="1" ht="15">
      <c r="B69" s="109" t="s">
        <v>124</v>
      </c>
      <c r="C69" s="94"/>
      <c r="D69" s="94"/>
      <c r="E69" s="94"/>
      <c r="F69" s="168"/>
      <c r="G69" s="167"/>
      <c r="H69" s="201">
        <f>H67+H68</f>
        <v>145.74489592</v>
      </c>
      <c r="I69" s="202"/>
      <c r="J69" s="202"/>
      <c r="K69" s="202"/>
      <c r="L69" s="204">
        <f>L67+L68</f>
        <v>150.59123992000002</v>
      </c>
      <c r="M69" s="205"/>
      <c r="N69" s="249">
        <f t="shared" si="2"/>
        <v>4.846344000000016</v>
      </c>
      <c r="O69" s="206">
        <f t="shared" si="8"/>
        <v>0.0332522382304228</v>
      </c>
      <c r="S69" s="156"/>
    </row>
    <row r="70" spans="2:15" s="90" customFormat="1" ht="15.75" customHeight="1">
      <c r="B70" s="540" t="s">
        <v>125</v>
      </c>
      <c r="C70" s="540"/>
      <c r="D70" s="540"/>
      <c r="E70" s="94"/>
      <c r="F70" s="168"/>
      <c r="G70" s="167"/>
      <c r="H70" s="207">
        <f>ROUND(-H69*10%,2)</f>
        <v>-14.57</v>
      </c>
      <c r="I70" s="202"/>
      <c r="J70" s="202"/>
      <c r="K70" s="202"/>
      <c r="L70" s="208">
        <v>0</v>
      </c>
      <c r="M70" s="205"/>
      <c r="N70" s="249">
        <f t="shared" si="2"/>
        <v>14.57</v>
      </c>
      <c r="O70" s="209">
        <f t="shared" si="8"/>
        <v>-1</v>
      </c>
    </row>
    <row r="71" spans="2:15" s="90" customFormat="1" ht="15.75" thickBot="1">
      <c r="B71" s="541" t="s">
        <v>46</v>
      </c>
      <c r="C71" s="541"/>
      <c r="D71" s="541"/>
      <c r="E71" s="169"/>
      <c r="F71" s="170"/>
      <c r="G71" s="171"/>
      <c r="H71" s="210">
        <f>H69+H70</f>
        <v>131.17489592</v>
      </c>
      <c r="I71" s="211"/>
      <c r="J71" s="211"/>
      <c r="K71" s="211"/>
      <c r="L71" s="212">
        <f>L69+L70</f>
        <v>150.59123992000002</v>
      </c>
      <c r="M71" s="213"/>
      <c r="N71" s="251">
        <f t="shared" si="2"/>
        <v>19.41634400000001</v>
      </c>
      <c r="O71" s="214">
        <f t="shared" si="8"/>
        <v>0.14801874904357848</v>
      </c>
    </row>
    <row r="72" spans="2:15" s="194" customFormat="1" ht="8.25" customHeight="1" thickBot="1">
      <c r="B72" s="110"/>
      <c r="C72" s="215"/>
      <c r="D72" s="216"/>
      <c r="E72" s="215"/>
      <c r="F72" s="157"/>
      <c r="G72" s="217"/>
      <c r="H72" s="159"/>
      <c r="I72" s="218"/>
      <c r="J72" s="157"/>
      <c r="K72" s="219"/>
      <c r="L72" s="159"/>
      <c r="M72" s="218"/>
      <c r="N72" s="220"/>
      <c r="O72" s="163"/>
    </row>
    <row r="73" spans="2:15" s="194" customFormat="1" ht="15">
      <c r="B73" s="111" t="s">
        <v>47</v>
      </c>
      <c r="C73" s="105"/>
      <c r="D73" s="105"/>
      <c r="E73" s="105"/>
      <c r="F73" s="221"/>
      <c r="G73" s="222"/>
      <c r="H73" s="223">
        <f>SUM(H64:H65,H55,H56:H60)</f>
        <v>125.66578400000002</v>
      </c>
      <c r="I73" s="224"/>
      <c r="J73" s="225"/>
      <c r="K73" s="225"/>
      <c r="L73" s="226">
        <f>SUM(L64:L65,L55,L56:L60)</f>
        <v>129.954584</v>
      </c>
      <c r="M73" s="227"/>
      <c r="N73" s="250">
        <f>L73-H73</f>
        <v>4.288799999999995</v>
      </c>
      <c r="O73" s="200">
        <f>IF((H73)=0,"",(N73/H73))</f>
        <v>0.034128621677958056</v>
      </c>
    </row>
    <row r="74" spans="2:15" s="194" customFormat="1" ht="15">
      <c r="B74" s="112" t="s">
        <v>43</v>
      </c>
      <c r="C74" s="105"/>
      <c r="D74" s="105"/>
      <c r="E74" s="105"/>
      <c r="F74" s="228">
        <v>0.13</v>
      </c>
      <c r="G74" s="222"/>
      <c r="H74" s="229">
        <f>H73*F74</f>
        <v>16.33655192</v>
      </c>
      <c r="I74" s="230"/>
      <c r="J74" s="228">
        <v>0.13</v>
      </c>
      <c r="K74" s="231"/>
      <c r="L74" s="232">
        <f>L73*J74</f>
        <v>16.89409592</v>
      </c>
      <c r="M74" s="233"/>
      <c r="N74" s="249">
        <f>L74-H74</f>
        <v>0.557544</v>
      </c>
      <c r="O74" s="206">
        <f>IF((H74)=0,"",(N74/H74))</f>
        <v>0.0341286216779581</v>
      </c>
    </row>
    <row r="75" spans="2:15" s="194" customFormat="1" ht="15">
      <c r="B75" s="113" t="s">
        <v>124</v>
      </c>
      <c r="C75" s="105"/>
      <c r="D75" s="105"/>
      <c r="E75" s="105"/>
      <c r="F75" s="234"/>
      <c r="G75" s="233"/>
      <c r="H75" s="229">
        <f>H73+H74</f>
        <v>142.00233592</v>
      </c>
      <c r="I75" s="230"/>
      <c r="J75" s="230"/>
      <c r="K75" s="230"/>
      <c r="L75" s="232">
        <f>L73+L74</f>
        <v>146.84867992000002</v>
      </c>
      <c r="M75" s="233"/>
      <c r="N75" s="249">
        <f>L75-H75</f>
        <v>4.846344000000016</v>
      </c>
      <c r="O75" s="206">
        <f>IF((H75)=0,"",(N75/H75))</f>
        <v>0.03412862167795821</v>
      </c>
    </row>
    <row r="76" spans="2:15" s="194" customFormat="1" ht="15.75" customHeight="1">
      <c r="B76" s="542" t="s">
        <v>125</v>
      </c>
      <c r="C76" s="542"/>
      <c r="D76" s="542"/>
      <c r="E76" s="105"/>
      <c r="F76" s="234"/>
      <c r="G76" s="233"/>
      <c r="H76" s="235">
        <f>ROUND(-H75*10%,2)</f>
        <v>-14.2</v>
      </c>
      <c r="I76" s="230"/>
      <c r="J76" s="230"/>
      <c r="K76" s="230"/>
      <c r="L76" s="236">
        <v>0</v>
      </c>
      <c r="M76" s="233"/>
      <c r="N76" s="249">
        <f>L76-H76</f>
        <v>14.2</v>
      </c>
      <c r="O76" s="209">
        <f>IF((H76)=0,"",(N76/H76))</f>
        <v>-1</v>
      </c>
    </row>
    <row r="77" spans="2:15" s="194" customFormat="1" ht="15.75" thickBot="1">
      <c r="B77" s="533" t="s">
        <v>48</v>
      </c>
      <c r="C77" s="533"/>
      <c r="D77" s="533"/>
      <c r="E77" s="237"/>
      <c r="F77" s="238"/>
      <c r="G77" s="239"/>
      <c r="H77" s="240">
        <f>SUM(H75:H76)</f>
        <v>127.80233592</v>
      </c>
      <c r="I77" s="241"/>
      <c r="J77" s="241"/>
      <c r="K77" s="241"/>
      <c r="L77" s="242">
        <f>SUM(L75:L76)</f>
        <v>146.84867992000002</v>
      </c>
      <c r="M77" s="243"/>
      <c r="N77" s="251">
        <f>L77-H77</f>
        <v>19.04634400000002</v>
      </c>
      <c r="O77" s="244">
        <f>IF((H77)=0,"",(N77/H77))</f>
        <v>0.1490297017100094</v>
      </c>
    </row>
    <row r="78" spans="2:15" s="194" customFormat="1" ht="8.25" customHeight="1" thickBot="1">
      <c r="B78" s="110"/>
      <c r="C78" s="215"/>
      <c r="D78" s="216"/>
      <c r="E78" s="215"/>
      <c r="F78" s="172"/>
      <c r="G78" s="245"/>
      <c r="H78" s="173"/>
      <c r="I78" s="246"/>
      <c r="J78" s="172"/>
      <c r="K78" s="217"/>
      <c r="L78" s="174"/>
      <c r="M78" s="218"/>
      <c r="N78" s="247"/>
      <c r="O78" s="163"/>
    </row>
    <row r="79" s="90" customFormat="1" ht="10.5" customHeight="1">
      <c r="L79" s="156"/>
    </row>
    <row r="80" spans="2:10" s="90" customFormat="1" ht="15">
      <c r="B80" s="114" t="s">
        <v>49</v>
      </c>
      <c r="F80" s="424">
        <f>'Res (100kWh)'!F80</f>
        <v>0.0495</v>
      </c>
      <c r="G80" s="141"/>
      <c r="H80" s="141"/>
      <c r="I80" s="141"/>
      <c r="J80" s="424">
        <f>'Res (100kWh)'!J80</f>
        <v>0.0495</v>
      </c>
    </row>
    <row r="81" s="90" customFormat="1" ht="10.5" customHeight="1"/>
    <row r="82" spans="2:15" s="90" customFormat="1" ht="15">
      <c r="B82" s="470" t="s">
        <v>137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pans="2:15" s="90" customFormat="1" ht="15">
      <c r="B83" s="470" t="s">
        <v>136</v>
      </c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</row>
    <row r="84" s="90" customFormat="1" ht="17.25">
      <c r="A84" s="248" t="s">
        <v>126</v>
      </c>
    </row>
    <row r="85" s="90" customFormat="1" ht="10.5" customHeight="1"/>
    <row r="86" s="90" customFormat="1" ht="15">
      <c r="A86" s="90" t="s">
        <v>51</v>
      </c>
    </row>
    <row r="87" s="90" customFormat="1" ht="15">
      <c r="A87" s="90" t="s">
        <v>52</v>
      </c>
    </row>
    <row r="88" s="90" customFormat="1" ht="15"/>
    <row r="89" s="90" customFormat="1" ht="15">
      <c r="A89" s="93" t="s">
        <v>53</v>
      </c>
    </row>
    <row r="90" s="90" customFormat="1" ht="15">
      <c r="A90" s="93" t="s">
        <v>54</v>
      </c>
    </row>
    <row r="91" s="90" customFormat="1" ht="15"/>
    <row r="92" s="90" customFormat="1" ht="15">
      <c r="A92" s="90" t="s">
        <v>55</v>
      </c>
    </row>
    <row r="93" s="90" customFormat="1" ht="15">
      <c r="A93" s="90" t="s">
        <v>56</v>
      </c>
    </row>
    <row r="94" s="90" customFormat="1" ht="15">
      <c r="A94" s="90" t="s">
        <v>57</v>
      </c>
    </row>
    <row r="95" s="90" customFormat="1" ht="15">
      <c r="A95" s="90" t="s">
        <v>58</v>
      </c>
    </row>
    <row r="96" s="90" customFormat="1" ht="15">
      <c r="A96" s="90" t="s">
        <v>59</v>
      </c>
    </row>
    <row r="97" s="90" customFormat="1" ht="15"/>
    <row r="98" spans="1:2" s="90" customFormat="1" ht="15">
      <c r="A98" s="176"/>
      <c r="B98" s="90" t="s">
        <v>60</v>
      </c>
    </row>
    <row r="99" s="90" customFormat="1" ht="15"/>
    <row r="100" s="90" customFormat="1" ht="15"/>
  </sheetData>
  <sheetProtection/>
  <mergeCells count="20">
    <mergeCell ref="B77:D77"/>
    <mergeCell ref="D21:D22"/>
    <mergeCell ref="N21:N22"/>
    <mergeCell ref="O21:O22"/>
    <mergeCell ref="B70:D70"/>
    <mergeCell ref="B71:D71"/>
    <mergeCell ref="B76:D76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7:O7"/>
    <mergeCell ref="A3:K3"/>
    <mergeCell ref="B10:O10"/>
    <mergeCell ref="B11:O11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8 E72 E64:E65">
      <formula1>'Res (800kWh)'!#REF!</formula1>
    </dataValidation>
    <dataValidation type="list" allowBlank="1" showInputMessage="1" showErrorMessage="1" prompt="Select Charge Unit - monthly, per kWh, per kW" sqref="D53:D54 D72 D78 D42:D51 D23:D40 D56:D66">
      <formula1>"Monthly, per kWh, per kW"</formula1>
    </dataValidation>
    <dataValidation type="list" allowBlank="1" showInputMessage="1" showErrorMessage="1" sqref="E53:E54 E42:E51 E66 E23:E40 E56:E63">
      <formula1>'Res (800kWh)'!#REF!</formula1>
    </dataValidation>
  </dataValidations>
  <printOptions/>
  <pageMargins left="0.7" right="0.7" top="0.75" bottom="0.75" header="0.3" footer="0.3"/>
  <pageSetup fitToHeight="1" fitToWidth="1" horizontalDpi="600" verticalDpi="600" orientation="portrait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98"/>
  <sheetViews>
    <sheetView showGridLines="0" zoomScalePageLayoutView="0" workbookViewId="0" topLeftCell="A4">
      <selection activeCell="N7" sqref="N7:O7"/>
    </sheetView>
  </sheetViews>
  <sheetFormatPr defaultColWidth="9.140625" defaultRowHeight="15"/>
  <cols>
    <col min="1" max="1" width="2.140625" style="8" customWidth="1"/>
    <col min="2" max="2" width="58.0039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 s="18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5</v>
      </c>
      <c r="O4" s="523"/>
      <c r="P4" s="21"/>
    </row>
    <row r="5" spans="3:16" s="2" customFormat="1" ht="15" customHeight="1">
      <c r="C5" s="7"/>
      <c r="D5" s="7"/>
      <c r="E5" s="7"/>
      <c r="L5" s="3" t="s">
        <v>77</v>
      </c>
      <c r="N5" s="525" t="s">
        <v>81</v>
      </c>
      <c r="O5" s="525"/>
      <c r="P5" s="20"/>
    </row>
    <row r="6" spans="12:16" s="2" customFormat="1" ht="9" customHeight="1">
      <c r="L6" s="3"/>
      <c r="N6" s="19"/>
      <c r="O6" s="4"/>
      <c r="P6" s="23"/>
    </row>
    <row r="7" spans="12:16" s="2" customFormat="1" ht="15">
      <c r="L7" s="3" t="s">
        <v>145</v>
      </c>
      <c r="N7" s="526">
        <v>42412</v>
      </c>
      <c r="O7" s="525"/>
      <c r="P7" s="20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148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61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</v>
      </c>
      <c r="G18" s="14" t="s">
        <v>9</v>
      </c>
    </row>
    <row r="19" ht="15">
      <c r="B19" s="13"/>
    </row>
    <row r="20" spans="2:15" s="90" customFormat="1" ht="15">
      <c r="B20" s="93"/>
      <c r="D20" s="178"/>
      <c r="E20" s="178"/>
      <c r="F20" s="530" t="s">
        <v>10</v>
      </c>
      <c r="G20" s="531"/>
      <c r="H20" s="532"/>
      <c r="J20" s="530" t="s">
        <v>11</v>
      </c>
      <c r="K20" s="531"/>
      <c r="L20" s="532"/>
      <c r="N20" s="530" t="s">
        <v>12</v>
      </c>
      <c r="O20" s="532"/>
    </row>
    <row r="21" spans="2:15" s="90" customFormat="1" ht="15">
      <c r="B21" s="93"/>
      <c r="D21" s="534" t="s">
        <v>13</v>
      </c>
      <c r="E21" s="177"/>
      <c r="F21" s="179" t="s">
        <v>14</v>
      </c>
      <c r="G21" s="179" t="s">
        <v>15</v>
      </c>
      <c r="H21" s="180" t="s">
        <v>16</v>
      </c>
      <c r="J21" s="179" t="s">
        <v>14</v>
      </c>
      <c r="K21" s="181" t="s">
        <v>15</v>
      </c>
      <c r="L21" s="180" t="s">
        <v>16</v>
      </c>
      <c r="N21" s="536" t="s">
        <v>17</v>
      </c>
      <c r="O21" s="538" t="s">
        <v>18</v>
      </c>
    </row>
    <row r="22" spans="2:15" s="90" customFormat="1" ht="15">
      <c r="B22" s="93"/>
      <c r="D22" s="535"/>
      <c r="E22" s="177"/>
      <c r="F22" s="182" t="s">
        <v>19</v>
      </c>
      <c r="G22" s="182"/>
      <c r="H22" s="183" t="s">
        <v>19</v>
      </c>
      <c r="J22" s="182" t="s">
        <v>19</v>
      </c>
      <c r="K22" s="183"/>
      <c r="L22" s="183" t="s">
        <v>19</v>
      </c>
      <c r="N22" s="537"/>
      <c r="O22" s="539"/>
    </row>
    <row r="23" spans="2:15" s="90" customFormat="1" ht="15">
      <c r="B23" s="94" t="s">
        <v>20</v>
      </c>
      <c r="C23" s="94"/>
      <c r="D23" s="117" t="s">
        <v>62</v>
      </c>
      <c r="E23" s="118"/>
      <c r="F23" s="413">
        <f>'Res (100kWh)'!F23</f>
        <v>11.22</v>
      </c>
      <c r="G23" s="120">
        <v>1</v>
      </c>
      <c r="H23" s="121">
        <f>G23*F23</f>
        <v>11.22</v>
      </c>
      <c r="I23" s="103"/>
      <c r="J23" s="481">
        <f>'Res (100kWh)'!J23</f>
        <v>15.59</v>
      </c>
      <c r="K23" s="122">
        <v>1</v>
      </c>
      <c r="L23" s="121">
        <f>K23*J23</f>
        <v>15.59</v>
      </c>
      <c r="M23" s="103"/>
      <c r="N23" s="249">
        <f>L23-H23</f>
        <v>4.369999999999999</v>
      </c>
      <c r="O23" s="124">
        <f>IF((H23)=0,"",(N23/H23))</f>
        <v>0.3894830659536541</v>
      </c>
    </row>
    <row r="24" spans="2:15" s="90" customFormat="1" ht="22.5" customHeight="1" hidden="1">
      <c r="B24" s="94" t="s">
        <v>92</v>
      </c>
      <c r="C24" s="94"/>
      <c r="D24" s="117" t="s">
        <v>62</v>
      </c>
      <c r="E24" s="118"/>
      <c r="F24" s="422">
        <f>'Res (100kWh)'!F24</f>
        <v>0</v>
      </c>
      <c r="G24" s="120">
        <v>1</v>
      </c>
      <c r="H24" s="121">
        <f>G24*F24</f>
        <v>0</v>
      </c>
      <c r="I24" s="103"/>
      <c r="J24" s="414">
        <v>0</v>
      </c>
      <c r="K24" s="122">
        <v>1</v>
      </c>
      <c r="L24" s="121">
        <f>K24*J24</f>
        <v>0</v>
      </c>
      <c r="M24" s="103"/>
      <c r="N24" s="249">
        <f>L24-H24</f>
        <v>0</v>
      </c>
      <c r="O24" s="124">
        <f>IF((H24)=0,"",(N24/H24))</f>
      </c>
    </row>
    <row r="25" spans="2:15" s="90" customFormat="1" ht="15" customHeight="1" hidden="1">
      <c r="B25" s="95" t="s">
        <v>111</v>
      </c>
      <c r="C25" s="94"/>
      <c r="D25" s="127" t="s">
        <v>62</v>
      </c>
      <c r="E25" s="118"/>
      <c r="F25" s="414">
        <v>0</v>
      </c>
      <c r="G25" s="120">
        <v>1</v>
      </c>
      <c r="H25" s="121">
        <f>G25*F25</f>
        <v>0</v>
      </c>
      <c r="I25" s="103"/>
      <c r="J25" s="145">
        <v>0</v>
      </c>
      <c r="K25" s="122">
        <v>1</v>
      </c>
      <c r="L25" s="121">
        <f>K25*J25</f>
        <v>0</v>
      </c>
      <c r="M25" s="103"/>
      <c r="N25" s="249">
        <f>L25-H25</f>
        <v>0</v>
      </c>
      <c r="O25" s="124">
        <f>IF((H25)=0,"",(N25/H25))</f>
      </c>
    </row>
    <row r="26" spans="2:15" s="90" customFormat="1" ht="30">
      <c r="B26" s="419" t="s">
        <v>64</v>
      </c>
      <c r="C26" s="94"/>
      <c r="D26" s="127" t="s">
        <v>62</v>
      </c>
      <c r="E26" s="129"/>
      <c r="F26" s="414">
        <f>'Res (100kWh)'!F26</f>
        <v>1.75</v>
      </c>
      <c r="G26" s="120">
        <v>1</v>
      </c>
      <c r="H26" s="121">
        <f aca="true" t="shared" si="0" ref="H26:H40">G26*F26</f>
        <v>1.75</v>
      </c>
      <c r="I26" s="103"/>
      <c r="J26" s="414">
        <f>'Res (100kWh)'!J26</f>
        <v>1.75</v>
      </c>
      <c r="K26" s="122">
        <v>1</v>
      </c>
      <c r="L26" s="121">
        <f aca="true" t="shared" si="1" ref="L26:L40">K26*J26</f>
        <v>1.75</v>
      </c>
      <c r="M26" s="103"/>
      <c r="N26" s="249">
        <f aca="true" t="shared" si="2" ref="N26:N71">L26-H26</f>
        <v>0</v>
      </c>
      <c r="O26" s="124">
        <f aca="true" t="shared" si="3" ref="O26:O50">IF((H26)=0,"",(N26/H26))</f>
        <v>0</v>
      </c>
    </row>
    <row r="27" spans="2:15" s="90" customFormat="1" ht="15" hidden="1">
      <c r="B27" s="419" t="s">
        <v>65</v>
      </c>
      <c r="C27" s="94"/>
      <c r="D27" s="117" t="s">
        <v>62</v>
      </c>
      <c r="E27" s="118"/>
      <c r="F27" s="146">
        <f>'Res (100kWh)'!F27</f>
        <v>0</v>
      </c>
      <c r="G27" s="120">
        <v>1</v>
      </c>
      <c r="H27" s="121">
        <f t="shared" si="0"/>
        <v>0</v>
      </c>
      <c r="I27" s="103"/>
      <c r="J27" s="414">
        <f>'Res (100kWh)'!J27</f>
        <v>0</v>
      </c>
      <c r="K27" s="122">
        <v>1</v>
      </c>
      <c r="L27" s="121">
        <f t="shared" si="1"/>
        <v>0</v>
      </c>
      <c r="M27" s="103"/>
      <c r="N27" s="249">
        <f t="shared" si="2"/>
        <v>0</v>
      </c>
      <c r="O27" s="124">
        <f t="shared" si="3"/>
      </c>
    </row>
    <row r="28" spans="2:15" s="90" customFormat="1" ht="15">
      <c r="B28" s="420" t="s">
        <v>66</v>
      </c>
      <c r="C28" s="94"/>
      <c r="D28" s="117" t="s">
        <v>62</v>
      </c>
      <c r="E28" s="118"/>
      <c r="F28" s="146">
        <f>'Res (100kWh)'!F28</f>
        <v>0</v>
      </c>
      <c r="G28" s="120">
        <v>1</v>
      </c>
      <c r="H28" s="121">
        <f t="shared" si="0"/>
        <v>0</v>
      </c>
      <c r="I28" s="103"/>
      <c r="J28" s="477">
        <f>'Res (100kWh)'!J28</f>
        <v>-0.04</v>
      </c>
      <c r="K28" s="120">
        <v>1</v>
      </c>
      <c r="L28" s="121">
        <f t="shared" si="1"/>
        <v>-0.04</v>
      </c>
      <c r="M28" s="103"/>
      <c r="N28" s="249">
        <f t="shared" si="2"/>
        <v>-0.04</v>
      </c>
      <c r="O28" s="124">
        <f t="shared" si="3"/>
      </c>
    </row>
    <row r="29" spans="2:15" s="90" customFormat="1" ht="15">
      <c r="B29" s="118" t="s">
        <v>110</v>
      </c>
      <c r="C29" s="94"/>
      <c r="D29" s="117" t="s">
        <v>63</v>
      </c>
      <c r="E29" s="118"/>
      <c r="F29" s="423">
        <f>'Res (100kWh)'!F29</f>
        <v>0</v>
      </c>
      <c r="G29" s="120">
        <f>$F$18</f>
        <v>1000</v>
      </c>
      <c r="H29" s="121">
        <f t="shared" si="0"/>
        <v>0</v>
      </c>
      <c r="I29" s="103"/>
      <c r="J29" s="479">
        <f>'Res (100kWh)'!J29</f>
        <v>0</v>
      </c>
      <c r="K29" s="120">
        <f>$F$18</f>
        <v>1000</v>
      </c>
      <c r="L29" s="121">
        <f t="shared" si="1"/>
        <v>0</v>
      </c>
      <c r="M29" s="103"/>
      <c r="N29" s="249">
        <f t="shared" si="2"/>
        <v>0</v>
      </c>
      <c r="O29" s="124">
        <f t="shared" si="3"/>
      </c>
    </row>
    <row r="30" spans="2:15" s="90" customFormat="1" ht="15" hidden="1">
      <c r="B30" s="420" t="s">
        <v>93</v>
      </c>
      <c r="C30" s="94"/>
      <c r="D30" s="117" t="s">
        <v>63</v>
      </c>
      <c r="E30" s="118"/>
      <c r="F30" s="146">
        <f>'Res (100kWh)'!F30</f>
        <v>0</v>
      </c>
      <c r="G30" s="120">
        <f>$F$18</f>
        <v>1000</v>
      </c>
      <c r="H30" s="121">
        <f t="shared" si="0"/>
        <v>0</v>
      </c>
      <c r="I30" s="103"/>
      <c r="J30" s="145">
        <f>'Res (100kWh)'!J30</f>
        <v>0</v>
      </c>
      <c r="K30" s="120">
        <f>$F$18</f>
        <v>1000</v>
      </c>
      <c r="L30" s="121">
        <f>K30*J30</f>
        <v>0</v>
      </c>
      <c r="M30" s="103"/>
      <c r="N30" s="249">
        <f>L30-H30</f>
        <v>0</v>
      </c>
      <c r="O30" s="124">
        <f>IF((H30)=0,"",(N30/H30))</f>
      </c>
    </row>
    <row r="31" spans="2:15" s="90" customFormat="1" ht="15">
      <c r="B31" s="118" t="s">
        <v>21</v>
      </c>
      <c r="C31" s="94"/>
      <c r="D31" s="117" t="s">
        <v>63</v>
      </c>
      <c r="E31" s="118"/>
      <c r="F31" s="146">
        <f>'Res (100kWh)'!F31</f>
        <v>0.0211</v>
      </c>
      <c r="G31" s="120">
        <f>$F$18</f>
        <v>1000</v>
      </c>
      <c r="H31" s="121">
        <f t="shared" si="0"/>
        <v>21.1</v>
      </c>
      <c r="I31" s="103"/>
      <c r="J31" s="482">
        <f>'Res (100kWh)'!J31</f>
        <v>0.0158</v>
      </c>
      <c r="K31" s="120">
        <f>$F$18</f>
        <v>1000</v>
      </c>
      <c r="L31" s="121">
        <f t="shared" si="1"/>
        <v>15.8</v>
      </c>
      <c r="M31" s="103"/>
      <c r="N31" s="249">
        <f t="shared" si="2"/>
        <v>-5.300000000000001</v>
      </c>
      <c r="O31" s="124">
        <f t="shared" si="3"/>
        <v>-0.2511848341232228</v>
      </c>
    </row>
    <row r="32" spans="2:15" s="90" customFormat="1" ht="14.25" customHeight="1" hidden="1">
      <c r="B32" s="118" t="s">
        <v>22</v>
      </c>
      <c r="C32" s="94"/>
      <c r="D32" s="117"/>
      <c r="E32" s="118"/>
      <c r="F32" s="130">
        <f>'Res (100kWh)'!F32</f>
        <v>0</v>
      </c>
      <c r="G32" s="120">
        <f>$F$18</f>
        <v>1000</v>
      </c>
      <c r="H32" s="121">
        <f t="shared" si="0"/>
        <v>0</v>
      </c>
      <c r="I32" s="103"/>
      <c r="J32" s="145"/>
      <c r="K32" s="120">
        <f aca="true" t="shared" si="4" ref="K32:K40">$F$18</f>
        <v>1000</v>
      </c>
      <c r="L32" s="121">
        <f t="shared" si="1"/>
        <v>0</v>
      </c>
      <c r="M32" s="103"/>
      <c r="N32" s="123">
        <f t="shared" si="2"/>
        <v>0</v>
      </c>
      <c r="O32" s="124">
        <f t="shared" si="3"/>
      </c>
    </row>
    <row r="33" spans="2:15" s="90" customFormat="1" ht="15" hidden="1">
      <c r="B33" s="118" t="s">
        <v>110</v>
      </c>
      <c r="C33" s="94"/>
      <c r="D33" s="117" t="s">
        <v>63</v>
      </c>
      <c r="E33" s="118"/>
      <c r="F33" s="130">
        <f>'Res (100kWh)'!F33</f>
        <v>0</v>
      </c>
      <c r="G33" s="120">
        <f>$F$18</f>
        <v>1000</v>
      </c>
      <c r="H33" s="121">
        <f t="shared" si="0"/>
        <v>0</v>
      </c>
      <c r="I33" s="103"/>
      <c r="J33" s="145">
        <v>0</v>
      </c>
      <c r="K33" s="120">
        <f t="shared" si="4"/>
        <v>1000</v>
      </c>
      <c r="L33" s="121">
        <f t="shared" si="1"/>
        <v>0</v>
      </c>
      <c r="M33" s="103"/>
      <c r="N33" s="123">
        <f t="shared" si="2"/>
        <v>0</v>
      </c>
      <c r="O33" s="124">
        <f t="shared" si="3"/>
      </c>
    </row>
    <row r="34" spans="2:15" s="90" customFormat="1" ht="15" hidden="1">
      <c r="B34" s="412"/>
      <c r="C34" s="94"/>
      <c r="D34" s="117"/>
      <c r="E34" s="118"/>
      <c r="F34" s="130">
        <f>'Res (100kWh)'!F34</f>
        <v>0</v>
      </c>
      <c r="G34" s="120">
        <f aca="true" t="shared" si="5" ref="G34:G40">$F$18</f>
        <v>1000</v>
      </c>
      <c r="H34" s="121">
        <f t="shared" si="0"/>
        <v>0</v>
      </c>
      <c r="I34" s="103"/>
      <c r="J34" s="145"/>
      <c r="K34" s="120">
        <f t="shared" si="4"/>
        <v>1000</v>
      </c>
      <c r="L34" s="121">
        <f t="shared" si="1"/>
        <v>0</v>
      </c>
      <c r="M34" s="103"/>
      <c r="N34" s="123">
        <f t="shared" si="2"/>
        <v>0</v>
      </c>
      <c r="O34" s="124">
        <f t="shared" si="3"/>
      </c>
    </row>
    <row r="35" spans="2:15" s="90" customFormat="1" ht="15" hidden="1">
      <c r="B35" s="412"/>
      <c r="C35" s="94"/>
      <c r="D35" s="117"/>
      <c r="E35" s="118"/>
      <c r="F35" s="130">
        <f>'Res (100kWh)'!F35</f>
        <v>0</v>
      </c>
      <c r="G35" s="120">
        <f t="shared" si="5"/>
        <v>1000</v>
      </c>
      <c r="H35" s="121">
        <f t="shared" si="0"/>
        <v>0</v>
      </c>
      <c r="I35" s="103"/>
      <c r="J35" s="145"/>
      <c r="K35" s="120">
        <f t="shared" si="4"/>
        <v>1000</v>
      </c>
      <c r="L35" s="121">
        <f t="shared" si="1"/>
        <v>0</v>
      </c>
      <c r="M35" s="103"/>
      <c r="N35" s="123">
        <f t="shared" si="2"/>
        <v>0</v>
      </c>
      <c r="O35" s="124">
        <f t="shared" si="3"/>
      </c>
    </row>
    <row r="36" spans="2:15" s="90" customFormat="1" ht="15" hidden="1">
      <c r="B36" s="412"/>
      <c r="C36" s="94"/>
      <c r="D36" s="117"/>
      <c r="E36" s="118"/>
      <c r="F36" s="130">
        <f>'Res (100kWh)'!F36</f>
        <v>0</v>
      </c>
      <c r="G36" s="120">
        <f t="shared" si="5"/>
        <v>1000</v>
      </c>
      <c r="H36" s="121">
        <f t="shared" si="0"/>
        <v>0</v>
      </c>
      <c r="I36" s="103"/>
      <c r="J36" s="145"/>
      <c r="K36" s="120">
        <f t="shared" si="4"/>
        <v>1000</v>
      </c>
      <c r="L36" s="121">
        <f t="shared" si="1"/>
        <v>0</v>
      </c>
      <c r="M36" s="103"/>
      <c r="N36" s="123">
        <f t="shared" si="2"/>
        <v>0</v>
      </c>
      <c r="O36" s="124">
        <f t="shared" si="3"/>
      </c>
    </row>
    <row r="37" spans="2:15" s="90" customFormat="1" ht="15" hidden="1">
      <c r="B37" s="412"/>
      <c r="C37" s="94"/>
      <c r="D37" s="117"/>
      <c r="E37" s="118"/>
      <c r="F37" s="130">
        <f>'Res (100kWh)'!F37</f>
        <v>0</v>
      </c>
      <c r="G37" s="120">
        <f t="shared" si="5"/>
        <v>1000</v>
      </c>
      <c r="H37" s="121">
        <f t="shared" si="0"/>
        <v>0</v>
      </c>
      <c r="I37" s="103"/>
      <c r="J37" s="145"/>
      <c r="K37" s="120">
        <f t="shared" si="4"/>
        <v>1000</v>
      </c>
      <c r="L37" s="121">
        <f t="shared" si="1"/>
        <v>0</v>
      </c>
      <c r="M37" s="103"/>
      <c r="N37" s="123">
        <f t="shared" si="2"/>
        <v>0</v>
      </c>
      <c r="O37" s="124">
        <f t="shared" si="3"/>
      </c>
    </row>
    <row r="38" spans="2:15" s="90" customFormat="1" ht="15" hidden="1">
      <c r="B38" s="412"/>
      <c r="C38" s="94"/>
      <c r="D38" s="117"/>
      <c r="E38" s="118"/>
      <c r="F38" s="130">
        <f>'Res (100kWh)'!F38</f>
        <v>0</v>
      </c>
      <c r="G38" s="120">
        <f t="shared" si="5"/>
        <v>1000</v>
      </c>
      <c r="H38" s="121">
        <f t="shared" si="0"/>
        <v>0</v>
      </c>
      <c r="I38" s="103"/>
      <c r="J38" s="145"/>
      <c r="K38" s="120">
        <f t="shared" si="4"/>
        <v>1000</v>
      </c>
      <c r="L38" s="121">
        <f t="shared" si="1"/>
        <v>0</v>
      </c>
      <c r="M38" s="103"/>
      <c r="N38" s="123">
        <f t="shared" si="2"/>
        <v>0</v>
      </c>
      <c r="O38" s="124">
        <f t="shared" si="3"/>
      </c>
    </row>
    <row r="39" spans="2:15" s="90" customFormat="1" ht="15" hidden="1">
      <c r="B39" s="412"/>
      <c r="C39" s="94"/>
      <c r="D39" s="117"/>
      <c r="E39" s="118"/>
      <c r="F39" s="130">
        <f>'Res (100kWh)'!F39</f>
        <v>0</v>
      </c>
      <c r="G39" s="120">
        <f t="shared" si="5"/>
        <v>1000</v>
      </c>
      <c r="H39" s="121">
        <f t="shared" si="0"/>
        <v>0</v>
      </c>
      <c r="I39" s="103"/>
      <c r="J39" s="145"/>
      <c r="K39" s="120">
        <f t="shared" si="4"/>
        <v>1000</v>
      </c>
      <c r="L39" s="121">
        <f t="shared" si="1"/>
        <v>0</v>
      </c>
      <c r="M39" s="103"/>
      <c r="N39" s="123">
        <f t="shared" si="2"/>
        <v>0</v>
      </c>
      <c r="O39" s="124">
        <f t="shared" si="3"/>
      </c>
    </row>
    <row r="40" spans="2:15" s="90" customFormat="1" ht="15" hidden="1">
      <c r="B40" s="412"/>
      <c r="C40" s="94"/>
      <c r="D40" s="117"/>
      <c r="E40" s="118"/>
      <c r="F40" s="130">
        <f>'Res (100kWh)'!F40</f>
        <v>0</v>
      </c>
      <c r="G40" s="120">
        <f t="shared" si="5"/>
        <v>1000</v>
      </c>
      <c r="H40" s="121">
        <f t="shared" si="0"/>
        <v>0</v>
      </c>
      <c r="I40" s="103"/>
      <c r="J40" s="145"/>
      <c r="K40" s="120">
        <f t="shared" si="4"/>
        <v>1000</v>
      </c>
      <c r="L40" s="121">
        <f t="shared" si="1"/>
        <v>0</v>
      </c>
      <c r="M40" s="103"/>
      <c r="N40" s="123">
        <f t="shared" si="2"/>
        <v>0</v>
      </c>
      <c r="O40" s="124">
        <f t="shared" si="3"/>
      </c>
    </row>
    <row r="41" spans="2:22" s="141" customFormat="1" ht="15">
      <c r="B41" s="421" t="s">
        <v>24</v>
      </c>
      <c r="C41" s="133"/>
      <c r="D41" s="134"/>
      <c r="E41" s="133"/>
      <c r="F41" s="135"/>
      <c r="G41" s="136"/>
      <c r="H41" s="137">
        <f>SUM(H23:H40)</f>
        <v>34.07</v>
      </c>
      <c r="I41" s="138"/>
      <c r="J41" s="415"/>
      <c r="K41" s="140"/>
      <c r="L41" s="137">
        <f>SUM(L23:L40)</f>
        <v>33.1</v>
      </c>
      <c r="M41" s="138"/>
      <c r="N41" s="184">
        <f t="shared" si="2"/>
        <v>-0.9699999999999989</v>
      </c>
      <c r="O41" s="185">
        <f t="shared" si="3"/>
        <v>-0.02847079542119163</v>
      </c>
      <c r="V41" s="90"/>
    </row>
    <row r="42" spans="2:15" s="90" customFormat="1" ht="17.25" customHeight="1" hidden="1">
      <c r="B42" s="419"/>
      <c r="C42" s="94"/>
      <c r="D42" s="127" t="s">
        <v>62</v>
      </c>
      <c r="E42" s="118"/>
      <c r="F42" s="130">
        <f>'Res (100kWh)'!F42</f>
        <v>0</v>
      </c>
      <c r="G42" s="120">
        <v>1</v>
      </c>
      <c r="H42" s="121">
        <f>G42*F42</f>
        <v>0</v>
      </c>
      <c r="I42" s="103"/>
      <c r="J42" s="414"/>
      <c r="K42" s="122">
        <v>1</v>
      </c>
      <c r="L42" s="121">
        <f>K42*J42</f>
        <v>0</v>
      </c>
      <c r="M42" s="103"/>
      <c r="N42" s="123">
        <f>L42-H42</f>
        <v>0</v>
      </c>
      <c r="O42" s="124">
        <f>IF((H42)=0,"",(N42/H42))</f>
      </c>
    </row>
    <row r="43" spans="2:15" s="90" customFormat="1" ht="15">
      <c r="B43" s="420" t="s">
        <v>25</v>
      </c>
      <c r="C43" s="94"/>
      <c r="D43" s="127" t="s">
        <v>63</v>
      </c>
      <c r="E43" s="129"/>
      <c r="F43" s="416">
        <f>'Res (100kWh)'!F43</f>
        <v>-0.007</v>
      </c>
      <c r="G43" s="120">
        <f>$F$18</f>
        <v>1000</v>
      </c>
      <c r="H43" s="121">
        <f aca="true" t="shared" si="6" ref="H43:H51">G43*F43</f>
        <v>-7</v>
      </c>
      <c r="I43" s="103"/>
      <c r="J43" s="416">
        <f>'Res (100kWh)'!J43</f>
        <v>0.0021</v>
      </c>
      <c r="K43" s="120">
        <f>$F$18</f>
        <v>1000</v>
      </c>
      <c r="L43" s="121">
        <f aca="true" t="shared" si="7" ref="L43:L51">K43*J43</f>
        <v>2.1</v>
      </c>
      <c r="M43" s="103"/>
      <c r="N43" s="249">
        <f t="shared" si="2"/>
        <v>9.1</v>
      </c>
      <c r="O43" s="124">
        <f t="shared" si="3"/>
        <v>-1.3</v>
      </c>
    </row>
    <row r="44" spans="2:15" s="90" customFormat="1" ht="15" hidden="1">
      <c r="B44" s="420"/>
      <c r="C44" s="94"/>
      <c r="D44" s="117" t="s">
        <v>63</v>
      </c>
      <c r="E44" s="118"/>
      <c r="F44" s="146">
        <f>'Res (100kWh)'!F44</f>
        <v>0</v>
      </c>
      <c r="G44" s="120">
        <f>$F$18</f>
        <v>1000</v>
      </c>
      <c r="H44" s="121">
        <f t="shared" si="6"/>
        <v>0</v>
      </c>
      <c r="I44" s="143"/>
      <c r="J44" s="145">
        <f>'Res (100kWh)'!J44</f>
        <v>0</v>
      </c>
      <c r="K44" s="120">
        <f>$F$18</f>
        <v>1000</v>
      </c>
      <c r="L44" s="121">
        <f t="shared" si="7"/>
        <v>0</v>
      </c>
      <c r="M44" s="144"/>
      <c r="N44" s="249">
        <f t="shared" si="2"/>
        <v>0</v>
      </c>
      <c r="O44" s="124">
        <f t="shared" si="3"/>
      </c>
    </row>
    <row r="45" spans="2:15" s="90" customFormat="1" ht="15" hidden="1">
      <c r="B45" s="420"/>
      <c r="C45" s="94"/>
      <c r="D45" s="117" t="s">
        <v>63</v>
      </c>
      <c r="E45" s="118"/>
      <c r="F45" s="146">
        <f>'Res (100kWh)'!F45</f>
        <v>0</v>
      </c>
      <c r="G45" s="120">
        <f>$F$18</f>
        <v>1000</v>
      </c>
      <c r="H45" s="121">
        <f t="shared" si="6"/>
        <v>0</v>
      </c>
      <c r="I45" s="143"/>
      <c r="J45" s="145">
        <f>'Res (100kWh)'!J45</f>
        <v>0</v>
      </c>
      <c r="K45" s="120">
        <f>$F$18</f>
        <v>1000</v>
      </c>
      <c r="L45" s="121">
        <f t="shared" si="7"/>
        <v>0</v>
      </c>
      <c r="M45" s="144"/>
      <c r="N45" s="249">
        <f t="shared" si="2"/>
        <v>0</v>
      </c>
      <c r="O45" s="124">
        <f t="shared" si="3"/>
      </c>
    </row>
    <row r="46" spans="2:15" s="90" customFormat="1" ht="15" hidden="1">
      <c r="B46" s="420"/>
      <c r="C46" s="94"/>
      <c r="D46" s="117"/>
      <c r="E46" s="118"/>
      <c r="F46" s="146">
        <f>'Res (100kWh)'!F46</f>
        <v>0</v>
      </c>
      <c r="G46" s="120">
        <f>$F$18</f>
        <v>1000</v>
      </c>
      <c r="H46" s="121">
        <f t="shared" si="6"/>
        <v>0</v>
      </c>
      <c r="I46" s="143"/>
      <c r="J46" s="145">
        <f>'Res (100kWh)'!J46</f>
        <v>0</v>
      </c>
      <c r="K46" s="120">
        <f>$F$18</f>
        <v>1000</v>
      </c>
      <c r="L46" s="121">
        <f t="shared" si="7"/>
        <v>0</v>
      </c>
      <c r="M46" s="144"/>
      <c r="N46" s="249">
        <f t="shared" si="2"/>
        <v>0</v>
      </c>
      <c r="O46" s="124">
        <f t="shared" si="3"/>
      </c>
    </row>
    <row r="47" spans="2:15" s="90" customFormat="1" ht="15" hidden="1">
      <c r="B47" s="420"/>
      <c r="C47" s="94"/>
      <c r="D47" s="117" t="s">
        <v>62</v>
      </c>
      <c r="E47" s="118"/>
      <c r="F47" s="146">
        <f>'Res (100kWh)'!F47</f>
        <v>0</v>
      </c>
      <c r="G47" s="120">
        <v>1</v>
      </c>
      <c r="H47" s="121">
        <f t="shared" si="6"/>
        <v>0</v>
      </c>
      <c r="I47" s="103"/>
      <c r="J47" s="249">
        <f>'Res (100kWh)'!J47</f>
        <v>0</v>
      </c>
      <c r="K47" s="120">
        <v>1</v>
      </c>
      <c r="L47" s="121">
        <f t="shared" si="7"/>
        <v>0</v>
      </c>
      <c r="M47" s="103"/>
      <c r="N47" s="249">
        <f>L47-H47</f>
        <v>0</v>
      </c>
      <c r="O47" s="124">
        <f>IF((H47)=0,"",(N47/H47))</f>
      </c>
    </row>
    <row r="48" spans="2:15" s="90" customFormat="1" ht="15" hidden="1">
      <c r="B48" s="118" t="s">
        <v>110</v>
      </c>
      <c r="C48" s="94"/>
      <c r="D48" s="117" t="s">
        <v>63</v>
      </c>
      <c r="E48" s="118"/>
      <c r="F48" s="146">
        <f>'Res (100kWh)'!F48</f>
        <v>0</v>
      </c>
      <c r="G48" s="120">
        <f>$F$18</f>
        <v>1000</v>
      </c>
      <c r="H48" s="121">
        <f t="shared" si="6"/>
        <v>0</v>
      </c>
      <c r="I48" s="103"/>
      <c r="J48" s="145">
        <f>'Res (100kWh)'!J48</f>
        <v>0</v>
      </c>
      <c r="K48" s="120">
        <f>$F$18</f>
        <v>1000</v>
      </c>
      <c r="L48" s="121">
        <f t="shared" si="7"/>
        <v>0</v>
      </c>
      <c r="M48" s="103"/>
      <c r="N48" s="249">
        <f>L48-H48</f>
        <v>0</v>
      </c>
      <c r="O48" s="124">
        <f>IF((H48)=0,"",(N48/H48))</f>
      </c>
    </row>
    <row r="49" spans="2:15" s="90" customFormat="1" ht="15">
      <c r="B49" s="100" t="s">
        <v>26</v>
      </c>
      <c r="C49" s="94"/>
      <c r="D49" s="117" t="s">
        <v>63</v>
      </c>
      <c r="E49" s="118"/>
      <c r="F49" s="146">
        <f>'Res (100kWh)'!F49</f>
        <v>0.0024</v>
      </c>
      <c r="G49" s="120">
        <f>$F$18</f>
        <v>1000</v>
      </c>
      <c r="H49" s="121">
        <f t="shared" si="6"/>
        <v>2.4</v>
      </c>
      <c r="I49" s="103"/>
      <c r="J49" s="145">
        <f>'Res (100kWh)'!J49</f>
        <v>0.0024</v>
      </c>
      <c r="K49" s="120">
        <f>$F$18</f>
        <v>1000</v>
      </c>
      <c r="L49" s="121">
        <f t="shared" si="7"/>
        <v>2.4</v>
      </c>
      <c r="M49" s="103"/>
      <c r="N49" s="249">
        <f t="shared" si="2"/>
        <v>0</v>
      </c>
      <c r="O49" s="124">
        <f t="shared" si="3"/>
        <v>0</v>
      </c>
    </row>
    <row r="50" spans="2:15" s="141" customFormat="1" ht="15">
      <c r="B50" s="101" t="s">
        <v>27</v>
      </c>
      <c r="C50" s="118"/>
      <c r="D50" s="117" t="s">
        <v>63</v>
      </c>
      <c r="E50" s="118"/>
      <c r="F50" s="146">
        <f>IF(ISBLANK(D16)=TRUE,0,IF(D16="TOU",0.64*$F$61+0.18*$F$62+0.18*$F$63,IF(AND(D16="non-TOU",G65&gt;0),F65,F64)))</f>
        <v>0.10214000000000001</v>
      </c>
      <c r="G50" s="120">
        <f>$F$18*(1+$F$80)-$F$18</f>
        <v>49.5</v>
      </c>
      <c r="H50" s="147">
        <f t="shared" si="6"/>
        <v>5.05593</v>
      </c>
      <c r="I50" s="129"/>
      <c r="J50" s="145">
        <f>0.64*$F$61+0.18*$F$62+0.18*$F$63</f>
        <v>0.10214000000000001</v>
      </c>
      <c r="K50" s="120">
        <f>$F$18*(1+$J$80)-$F$18</f>
        <v>49.5</v>
      </c>
      <c r="L50" s="147">
        <f t="shared" si="7"/>
        <v>5.05593</v>
      </c>
      <c r="M50" s="129"/>
      <c r="N50" s="249">
        <f t="shared" si="2"/>
        <v>0</v>
      </c>
      <c r="O50" s="148">
        <f t="shared" si="3"/>
        <v>0</v>
      </c>
    </row>
    <row r="51" spans="2:15" s="90" customFormat="1" ht="15">
      <c r="B51" s="100" t="s">
        <v>28</v>
      </c>
      <c r="C51" s="94"/>
      <c r="D51" s="117" t="s">
        <v>62</v>
      </c>
      <c r="E51" s="118"/>
      <c r="F51" s="413">
        <f>'Res (100kWh)'!F51</f>
        <v>0.79</v>
      </c>
      <c r="G51" s="120">
        <v>1</v>
      </c>
      <c r="H51" s="121">
        <f t="shared" si="6"/>
        <v>0.79</v>
      </c>
      <c r="I51" s="103"/>
      <c r="J51" s="413">
        <f>'Res (100kWh)'!J51</f>
        <v>0.79</v>
      </c>
      <c r="K51" s="120">
        <v>1</v>
      </c>
      <c r="L51" s="121">
        <f t="shared" si="7"/>
        <v>0.79</v>
      </c>
      <c r="M51" s="103"/>
      <c r="N51" s="249">
        <f t="shared" si="2"/>
        <v>0</v>
      </c>
      <c r="O51" s="124"/>
    </row>
    <row r="52" spans="2:15" s="90" customFormat="1" ht="15">
      <c r="B52" s="102" t="s">
        <v>29</v>
      </c>
      <c r="C52" s="149"/>
      <c r="D52" s="149"/>
      <c r="E52" s="149"/>
      <c r="F52" s="150"/>
      <c r="G52" s="151"/>
      <c r="H52" s="186">
        <f>SUM(H42:H51)+H41</f>
        <v>35.31593</v>
      </c>
      <c r="I52" s="138"/>
      <c r="J52" s="417"/>
      <c r="K52" s="152"/>
      <c r="L52" s="186">
        <f>SUM(L42:L51)+L41</f>
        <v>43.445930000000004</v>
      </c>
      <c r="M52" s="138"/>
      <c r="N52" s="184">
        <f>L52-H52</f>
        <v>8.130000000000003</v>
      </c>
      <c r="O52" s="185">
        <f>IF((H52)=0,"",(N52/H52))</f>
        <v>0.23020772778743195</v>
      </c>
    </row>
    <row r="53" spans="2:15" s="90" customFormat="1" ht="15">
      <c r="B53" s="103" t="s">
        <v>30</v>
      </c>
      <c r="C53" s="103"/>
      <c r="D53" s="127" t="s">
        <v>63</v>
      </c>
      <c r="E53" s="129"/>
      <c r="F53" s="145">
        <f>'Res (100kWh)'!F53</f>
        <v>0.0048</v>
      </c>
      <c r="G53" s="483">
        <f>F18*(1+F80)</f>
        <v>1049.5</v>
      </c>
      <c r="H53" s="147">
        <f>G53*F53</f>
        <v>5.037599999999999</v>
      </c>
      <c r="I53" s="129"/>
      <c r="J53" s="145">
        <f>'Res (100kWh)'!J53</f>
        <v>0.0064</v>
      </c>
      <c r="K53" s="484">
        <f>F18*(1+J80)</f>
        <v>1049.5</v>
      </c>
      <c r="L53" s="121">
        <f>K53*J53</f>
        <v>6.7168</v>
      </c>
      <c r="M53" s="103"/>
      <c r="N53" s="249">
        <f t="shared" si="2"/>
        <v>1.6792000000000007</v>
      </c>
      <c r="O53" s="124">
        <f aca="true" t="shared" si="8" ref="O53:O71">IF((H53)=0,"",(N53/H53))</f>
        <v>0.33333333333333354</v>
      </c>
    </row>
    <row r="54" spans="2:15" s="90" customFormat="1" ht="15">
      <c r="B54" s="104" t="s">
        <v>31</v>
      </c>
      <c r="C54" s="103"/>
      <c r="D54" s="127" t="s">
        <v>63</v>
      </c>
      <c r="E54" s="129"/>
      <c r="F54" s="145">
        <f>'Res (100kWh)'!F54</f>
        <v>0.0019</v>
      </c>
      <c r="G54" s="483">
        <f>G53</f>
        <v>1049.5</v>
      </c>
      <c r="H54" s="147">
        <f>G54*F54</f>
        <v>1.99405</v>
      </c>
      <c r="I54" s="129"/>
      <c r="J54" s="145">
        <f>'Res (100kWh)'!J54</f>
        <v>0.003</v>
      </c>
      <c r="K54" s="484">
        <f>K53</f>
        <v>1049.5</v>
      </c>
      <c r="L54" s="121">
        <f>K54*J54</f>
        <v>3.1485</v>
      </c>
      <c r="M54" s="103"/>
      <c r="N54" s="249">
        <f t="shared" si="2"/>
        <v>1.1544499999999998</v>
      </c>
      <c r="O54" s="124">
        <f t="shared" si="8"/>
        <v>0.5789473684210524</v>
      </c>
    </row>
    <row r="55" spans="2:15" s="90" customFormat="1" ht="15">
      <c r="B55" s="102" t="s">
        <v>32</v>
      </c>
      <c r="C55" s="133"/>
      <c r="D55" s="133"/>
      <c r="E55" s="133"/>
      <c r="F55" s="153"/>
      <c r="G55" s="151"/>
      <c r="H55" s="186">
        <f>SUM(H52:H54)</f>
        <v>42.34758</v>
      </c>
      <c r="I55" s="187"/>
      <c r="J55" s="418"/>
      <c r="K55" s="189"/>
      <c r="L55" s="186">
        <f>SUM(L52:L54)</f>
        <v>53.31123</v>
      </c>
      <c r="M55" s="187"/>
      <c r="N55" s="184">
        <f t="shared" si="2"/>
        <v>10.963650000000001</v>
      </c>
      <c r="O55" s="185">
        <f t="shared" si="8"/>
        <v>0.25889673034444943</v>
      </c>
    </row>
    <row r="56" spans="2:15" s="90" customFormat="1" ht="15">
      <c r="B56" s="95" t="s">
        <v>33</v>
      </c>
      <c r="C56" s="94"/>
      <c r="D56" s="117" t="s">
        <v>63</v>
      </c>
      <c r="E56" s="118"/>
      <c r="F56" s="146">
        <f>'Res (100kWh)'!F56</f>
        <v>0.0044</v>
      </c>
      <c r="G56" s="483">
        <f>G54</f>
        <v>1049.5</v>
      </c>
      <c r="H56" s="147">
        <f aca="true" t="shared" si="9" ref="H56:H63">G56*F56</f>
        <v>4.6178</v>
      </c>
      <c r="I56" s="129"/>
      <c r="J56" s="479">
        <f>'Res (100kWh)'!J56</f>
        <v>0.0036</v>
      </c>
      <c r="K56" s="484">
        <f>K54</f>
        <v>1049.5</v>
      </c>
      <c r="L56" s="121">
        <f aca="true" t="shared" si="10" ref="L56:L63">K56*J56</f>
        <v>3.7782</v>
      </c>
      <c r="M56" s="103"/>
      <c r="N56" s="249">
        <f t="shared" si="2"/>
        <v>-0.8395999999999999</v>
      </c>
      <c r="O56" s="124">
        <f t="shared" si="8"/>
        <v>-0.1818181818181818</v>
      </c>
    </row>
    <row r="57" spans="2:15" s="90" customFormat="1" ht="15">
      <c r="B57" s="95" t="s">
        <v>34</v>
      </c>
      <c r="C57" s="94"/>
      <c r="D57" s="117" t="s">
        <v>63</v>
      </c>
      <c r="E57" s="118"/>
      <c r="F57" s="146">
        <f>'Res (100kWh)'!F57</f>
        <v>0.0013</v>
      </c>
      <c r="G57" s="483">
        <f>G54</f>
        <v>1049.5</v>
      </c>
      <c r="H57" s="147">
        <f t="shared" si="9"/>
        <v>1.36435</v>
      </c>
      <c r="I57" s="129"/>
      <c r="J57" s="145">
        <f>'Res (100kWh)'!J57</f>
        <v>0.0013</v>
      </c>
      <c r="K57" s="484">
        <f>K54</f>
        <v>1049.5</v>
      </c>
      <c r="L57" s="121">
        <f t="shared" si="10"/>
        <v>1.36435</v>
      </c>
      <c r="M57" s="103"/>
      <c r="N57" s="249">
        <f t="shared" si="2"/>
        <v>0</v>
      </c>
      <c r="O57" s="124">
        <f t="shared" si="8"/>
        <v>0</v>
      </c>
    </row>
    <row r="58" spans="2:15" s="90" customFormat="1" ht="15">
      <c r="B58" s="95" t="s">
        <v>121</v>
      </c>
      <c r="C58" s="94"/>
      <c r="D58" s="117" t="s">
        <v>63</v>
      </c>
      <c r="E58" s="118"/>
      <c r="F58" s="146">
        <f>'Res (100kWh)'!F58</f>
        <v>0</v>
      </c>
      <c r="G58" s="483">
        <f>G54</f>
        <v>1049.5</v>
      </c>
      <c r="H58" s="147">
        <f t="shared" si="9"/>
        <v>0</v>
      </c>
      <c r="I58" s="129"/>
      <c r="J58" s="479">
        <f>'Res (100kWh)'!J58</f>
        <v>0.0011</v>
      </c>
      <c r="K58" s="484">
        <f>K54</f>
        <v>1049.5</v>
      </c>
      <c r="L58" s="121">
        <f t="shared" si="10"/>
        <v>1.15445</v>
      </c>
      <c r="M58" s="103"/>
      <c r="N58" s="249">
        <f t="shared" si="2"/>
        <v>1.15445</v>
      </c>
      <c r="O58" s="124">
        <f t="shared" si="8"/>
      </c>
    </row>
    <row r="59" spans="2:15" s="90" customFormat="1" ht="15">
      <c r="B59" s="94" t="s">
        <v>35</v>
      </c>
      <c r="C59" s="94"/>
      <c r="D59" s="117" t="s">
        <v>62</v>
      </c>
      <c r="E59" s="118"/>
      <c r="F59" s="413">
        <f>'Res (100kWh)'!F59</f>
        <v>0.25</v>
      </c>
      <c r="G59" s="120">
        <v>1</v>
      </c>
      <c r="H59" s="147">
        <f t="shared" si="9"/>
        <v>0.25</v>
      </c>
      <c r="I59" s="129"/>
      <c r="J59" s="414">
        <f>'Res (100kWh)'!J59</f>
        <v>0.25</v>
      </c>
      <c r="K59" s="122">
        <v>1</v>
      </c>
      <c r="L59" s="121">
        <f t="shared" si="10"/>
        <v>0.25</v>
      </c>
      <c r="M59" s="103"/>
      <c r="N59" s="249">
        <f t="shared" si="2"/>
        <v>0</v>
      </c>
      <c r="O59" s="124">
        <f t="shared" si="8"/>
        <v>0</v>
      </c>
    </row>
    <row r="60" spans="2:15" s="90" customFormat="1" ht="15">
      <c r="B60" s="94" t="s">
        <v>36</v>
      </c>
      <c r="C60" s="94"/>
      <c r="D60" s="117" t="s">
        <v>63</v>
      </c>
      <c r="E60" s="118"/>
      <c r="F60" s="146">
        <f>'Res (100kWh)'!F60</f>
        <v>0.007</v>
      </c>
      <c r="G60" s="154">
        <f>F18</f>
        <v>1000</v>
      </c>
      <c r="H60" s="121">
        <f t="shared" si="9"/>
        <v>7</v>
      </c>
      <c r="I60" s="103"/>
      <c r="J60" s="145">
        <f>'Res (100kWh)'!J60</f>
        <v>0</v>
      </c>
      <c r="K60" s="155">
        <f>F18</f>
        <v>1000</v>
      </c>
      <c r="L60" s="121">
        <f t="shared" si="10"/>
        <v>0</v>
      </c>
      <c r="M60" s="103"/>
      <c r="N60" s="249">
        <f t="shared" si="2"/>
        <v>-7</v>
      </c>
      <c r="O60" s="124">
        <f t="shared" si="8"/>
        <v>-1</v>
      </c>
    </row>
    <row r="61" spans="2:19" s="90" customFormat="1" ht="15">
      <c r="B61" s="100" t="s">
        <v>37</v>
      </c>
      <c r="C61" s="94"/>
      <c r="D61" s="117" t="s">
        <v>63</v>
      </c>
      <c r="E61" s="118"/>
      <c r="F61" s="146">
        <f>'Res (100kWh)'!F61</f>
        <v>0.08</v>
      </c>
      <c r="G61" s="154">
        <f>0.64*$F$18</f>
        <v>640</v>
      </c>
      <c r="H61" s="121">
        <f t="shared" si="9"/>
        <v>51.2</v>
      </c>
      <c r="I61" s="103"/>
      <c r="J61" s="146">
        <f>'Res (100kWh)'!J61</f>
        <v>0.08</v>
      </c>
      <c r="K61" s="154">
        <f>G61</f>
        <v>640</v>
      </c>
      <c r="L61" s="121">
        <f t="shared" si="10"/>
        <v>51.2</v>
      </c>
      <c r="M61" s="103"/>
      <c r="N61" s="249">
        <f t="shared" si="2"/>
        <v>0</v>
      </c>
      <c r="O61" s="124">
        <f t="shared" si="8"/>
        <v>0</v>
      </c>
      <c r="S61" s="156"/>
    </row>
    <row r="62" spans="2:19" s="90" customFormat="1" ht="15">
      <c r="B62" s="100" t="s">
        <v>38</v>
      </c>
      <c r="C62" s="94"/>
      <c r="D62" s="117" t="s">
        <v>63</v>
      </c>
      <c r="E62" s="118"/>
      <c r="F62" s="146">
        <f>'Res (100kWh)'!F62</f>
        <v>0.122</v>
      </c>
      <c r="G62" s="154">
        <f>0.18*$F$18</f>
        <v>180</v>
      </c>
      <c r="H62" s="121">
        <f t="shared" si="9"/>
        <v>21.96</v>
      </c>
      <c r="I62" s="103"/>
      <c r="J62" s="146">
        <f>'Res (100kWh)'!J62</f>
        <v>0.122</v>
      </c>
      <c r="K62" s="154">
        <f>G62</f>
        <v>180</v>
      </c>
      <c r="L62" s="121">
        <f t="shared" si="10"/>
        <v>21.96</v>
      </c>
      <c r="M62" s="103"/>
      <c r="N62" s="249">
        <f t="shared" si="2"/>
        <v>0</v>
      </c>
      <c r="O62" s="124">
        <f t="shared" si="8"/>
        <v>0</v>
      </c>
      <c r="S62" s="156"/>
    </row>
    <row r="63" spans="2:19" s="90" customFormat="1" ht="15">
      <c r="B63" s="93" t="s">
        <v>39</v>
      </c>
      <c r="C63" s="94"/>
      <c r="D63" s="117" t="s">
        <v>63</v>
      </c>
      <c r="E63" s="118"/>
      <c r="F63" s="146">
        <f>'Res (100kWh)'!F63</f>
        <v>0.161</v>
      </c>
      <c r="G63" s="154">
        <f>0.18*$F$18</f>
        <v>180</v>
      </c>
      <c r="H63" s="121">
        <f t="shared" si="9"/>
        <v>28.98</v>
      </c>
      <c r="I63" s="103"/>
      <c r="J63" s="146">
        <f>'Res (100kWh)'!J63</f>
        <v>0.161</v>
      </c>
      <c r="K63" s="154">
        <f>G63</f>
        <v>180</v>
      </c>
      <c r="L63" s="121">
        <f t="shared" si="10"/>
        <v>28.98</v>
      </c>
      <c r="M63" s="103"/>
      <c r="N63" s="249">
        <f t="shared" si="2"/>
        <v>0</v>
      </c>
      <c r="O63" s="124">
        <f t="shared" si="8"/>
        <v>0</v>
      </c>
      <c r="S63" s="156"/>
    </row>
    <row r="64" spans="2:15" s="194" customFormat="1" ht="15">
      <c r="B64" s="105" t="s">
        <v>40</v>
      </c>
      <c r="C64" s="105"/>
      <c r="D64" s="190" t="s">
        <v>63</v>
      </c>
      <c r="E64" s="191"/>
      <c r="F64" s="146">
        <f>'Res (100kWh)'!F64</f>
        <v>0.094</v>
      </c>
      <c r="G64" s="192">
        <f>IF(AND($T$1=1,F18&gt;=600),600,IF(AND($T$1=1,AND(F18&lt;600,F18&gt;=0)),F18,IF(AND($T$1=2,F18&gt;=1000),1000,IF(AND($T$1=2,AND(F18&lt;1000,F18&gt;=0)),F18))))</f>
        <v>600</v>
      </c>
      <c r="H64" s="121">
        <f>G64*F64</f>
        <v>56.4</v>
      </c>
      <c r="I64" s="193"/>
      <c r="J64" s="146">
        <f>'Res (100kWh)'!J64</f>
        <v>0.094</v>
      </c>
      <c r="K64" s="192">
        <f>G64</f>
        <v>600</v>
      </c>
      <c r="L64" s="121">
        <f>K64*J64</f>
        <v>56.4</v>
      </c>
      <c r="M64" s="193"/>
      <c r="N64" s="249">
        <f t="shared" si="2"/>
        <v>0</v>
      </c>
      <c r="O64" s="124">
        <f t="shared" si="8"/>
        <v>0</v>
      </c>
    </row>
    <row r="65" spans="2:15" s="194" customFormat="1" ht="15.75" thickBot="1">
      <c r="B65" s="105" t="s">
        <v>41</v>
      </c>
      <c r="C65" s="105"/>
      <c r="D65" s="190" t="s">
        <v>63</v>
      </c>
      <c r="E65" s="191"/>
      <c r="F65" s="146">
        <f>'Res (100kWh)'!F65</f>
        <v>0.11</v>
      </c>
      <c r="G65" s="192">
        <f>IF(AND($T$1=1,F18&gt;=600),F18-600,IF(AND($T$1=1,AND(F18&lt;600,F18&gt;=0)),0,IF(AND($T$1=2,F18&gt;=1000),F18-1000,IF(AND($T$1=2,AND(F18&lt;1000,F18&gt;=0)),0))))</f>
        <v>400</v>
      </c>
      <c r="H65" s="121">
        <f>G65*F65</f>
        <v>44</v>
      </c>
      <c r="I65" s="193"/>
      <c r="J65" s="146">
        <f>'Res (100kWh)'!J65</f>
        <v>0.11</v>
      </c>
      <c r="K65" s="192">
        <f>G65</f>
        <v>400</v>
      </c>
      <c r="L65" s="121">
        <f>K65*J65</f>
        <v>44</v>
      </c>
      <c r="M65" s="193"/>
      <c r="N65" s="249">
        <f t="shared" si="2"/>
        <v>0</v>
      </c>
      <c r="O65" s="124">
        <f t="shared" si="8"/>
        <v>0</v>
      </c>
    </row>
    <row r="66" spans="2:15" s="90" customFormat="1" ht="8.25" customHeight="1" thickBot="1">
      <c r="B66" s="106"/>
      <c r="C66" s="115"/>
      <c r="D66" s="116"/>
      <c r="E66" s="115"/>
      <c r="F66" s="157"/>
      <c r="G66" s="158"/>
      <c r="H66" s="159"/>
      <c r="I66" s="160"/>
      <c r="J66" s="157"/>
      <c r="K66" s="161"/>
      <c r="L66" s="159"/>
      <c r="M66" s="160"/>
      <c r="N66" s="162"/>
      <c r="O66" s="163"/>
    </row>
    <row r="67" spans="2:19" s="90" customFormat="1" ht="15">
      <c r="B67" s="107" t="s">
        <v>42</v>
      </c>
      <c r="C67" s="94"/>
      <c r="D67" s="94"/>
      <c r="E67" s="94"/>
      <c r="F67" s="164"/>
      <c r="G67" s="165"/>
      <c r="H67" s="195">
        <f>SUM(H56:H63,H55)</f>
        <v>157.71973000000003</v>
      </c>
      <c r="I67" s="196"/>
      <c r="J67" s="197"/>
      <c r="K67" s="197"/>
      <c r="L67" s="198">
        <f>SUM(L56:L63,L55)</f>
        <v>161.99823</v>
      </c>
      <c r="M67" s="199"/>
      <c r="N67" s="250">
        <f>L67-H67</f>
        <v>4.27849999999998</v>
      </c>
      <c r="O67" s="200">
        <f>IF((H67)=0,"",(N67/H67))</f>
        <v>0.027127233859707844</v>
      </c>
      <c r="S67" s="156"/>
    </row>
    <row r="68" spans="2:19" s="90" customFormat="1" ht="15">
      <c r="B68" s="108" t="s">
        <v>43</v>
      </c>
      <c r="C68" s="94"/>
      <c r="D68" s="94"/>
      <c r="E68" s="94"/>
      <c r="F68" s="166">
        <v>0.13</v>
      </c>
      <c r="G68" s="167"/>
      <c r="H68" s="201">
        <f>H67*F68</f>
        <v>20.503564900000004</v>
      </c>
      <c r="I68" s="202"/>
      <c r="J68" s="203">
        <v>0.13</v>
      </c>
      <c r="K68" s="202"/>
      <c r="L68" s="204">
        <f>L67*J68</f>
        <v>21.059769900000003</v>
      </c>
      <c r="M68" s="205"/>
      <c r="N68" s="249">
        <f t="shared" si="2"/>
        <v>0.5562049999999985</v>
      </c>
      <c r="O68" s="206">
        <f t="shared" si="8"/>
        <v>0.0271272338597079</v>
      </c>
      <c r="S68" s="156"/>
    </row>
    <row r="69" spans="2:19" s="90" customFormat="1" ht="15">
      <c r="B69" s="109" t="s">
        <v>124</v>
      </c>
      <c r="C69" s="94"/>
      <c r="D69" s="94"/>
      <c r="E69" s="94"/>
      <c r="F69" s="168"/>
      <c r="G69" s="167"/>
      <c r="H69" s="201">
        <f>H67+H68</f>
        <v>178.22329490000004</v>
      </c>
      <c r="I69" s="202"/>
      <c r="J69" s="202"/>
      <c r="K69" s="202"/>
      <c r="L69" s="204">
        <f>L67+L68</f>
        <v>183.0579999</v>
      </c>
      <c r="M69" s="205"/>
      <c r="N69" s="249">
        <f t="shared" si="2"/>
        <v>4.834704999999957</v>
      </c>
      <c r="O69" s="206">
        <f t="shared" si="8"/>
        <v>0.02712723385970773</v>
      </c>
      <c r="S69" s="156"/>
    </row>
    <row r="70" spans="2:15" s="90" customFormat="1" ht="15.75" customHeight="1">
      <c r="B70" s="540" t="s">
        <v>125</v>
      </c>
      <c r="C70" s="540"/>
      <c r="D70" s="540"/>
      <c r="E70" s="94"/>
      <c r="F70" s="168"/>
      <c r="G70" s="167"/>
      <c r="H70" s="207">
        <f>ROUND(-H69*10%,2)</f>
        <v>-17.82</v>
      </c>
      <c r="I70" s="202"/>
      <c r="J70" s="202"/>
      <c r="K70" s="202"/>
      <c r="L70" s="208">
        <v>0</v>
      </c>
      <c r="M70" s="205"/>
      <c r="N70" s="249">
        <f t="shared" si="2"/>
        <v>17.82</v>
      </c>
      <c r="O70" s="209">
        <f t="shared" si="8"/>
        <v>-1</v>
      </c>
    </row>
    <row r="71" spans="2:15" s="90" customFormat="1" ht="15.75" thickBot="1">
      <c r="B71" s="541" t="s">
        <v>46</v>
      </c>
      <c r="C71" s="541"/>
      <c r="D71" s="541"/>
      <c r="E71" s="169"/>
      <c r="F71" s="170"/>
      <c r="G71" s="171"/>
      <c r="H71" s="210">
        <f>H69+H70</f>
        <v>160.40329490000005</v>
      </c>
      <c r="I71" s="211"/>
      <c r="J71" s="211"/>
      <c r="K71" s="211"/>
      <c r="L71" s="212">
        <f>L69+L70</f>
        <v>183.0579999</v>
      </c>
      <c r="M71" s="213"/>
      <c r="N71" s="251">
        <f t="shared" si="2"/>
        <v>22.65470499999995</v>
      </c>
      <c r="O71" s="214">
        <f t="shared" si="8"/>
        <v>0.1412359079913136</v>
      </c>
    </row>
    <row r="72" spans="2:15" s="194" customFormat="1" ht="8.25" customHeight="1" thickBot="1">
      <c r="B72" s="110"/>
      <c r="C72" s="215"/>
      <c r="D72" s="216"/>
      <c r="E72" s="215"/>
      <c r="F72" s="157"/>
      <c r="G72" s="217"/>
      <c r="H72" s="159"/>
      <c r="I72" s="218"/>
      <c r="J72" s="157"/>
      <c r="K72" s="219"/>
      <c r="L72" s="159"/>
      <c r="M72" s="218"/>
      <c r="N72" s="220"/>
      <c r="O72" s="163"/>
    </row>
    <row r="73" spans="2:15" s="194" customFormat="1" ht="15">
      <c r="B73" s="111" t="s">
        <v>47</v>
      </c>
      <c r="C73" s="105"/>
      <c r="D73" s="105"/>
      <c r="E73" s="105"/>
      <c r="F73" s="221"/>
      <c r="G73" s="222"/>
      <c r="H73" s="223">
        <f>SUM(H64:H65,H55,H56:H60)</f>
        <v>155.97973</v>
      </c>
      <c r="I73" s="224"/>
      <c r="J73" s="225"/>
      <c r="K73" s="225"/>
      <c r="L73" s="226">
        <f>SUM(L64:L65,L55,L56:L60)</f>
        <v>160.25823</v>
      </c>
      <c r="M73" s="227"/>
      <c r="N73" s="250">
        <f>L73-H73</f>
        <v>4.278500000000008</v>
      </c>
      <c r="O73" s="200">
        <f>IF((H73)=0,"",(N73/H73))</f>
        <v>0.02742984617296112</v>
      </c>
    </row>
    <row r="74" spans="2:15" s="194" customFormat="1" ht="15">
      <c r="B74" s="112" t="s">
        <v>43</v>
      </c>
      <c r="C74" s="105"/>
      <c r="D74" s="105"/>
      <c r="E74" s="105"/>
      <c r="F74" s="228">
        <v>0.13</v>
      </c>
      <c r="G74" s="222"/>
      <c r="H74" s="229">
        <f>H73*F74</f>
        <v>20.2773649</v>
      </c>
      <c r="I74" s="230"/>
      <c r="J74" s="228">
        <v>0.13</v>
      </c>
      <c r="K74" s="231"/>
      <c r="L74" s="232">
        <f>L73*J74</f>
        <v>20.8335699</v>
      </c>
      <c r="M74" s="233"/>
      <c r="N74" s="249">
        <f>L74-H74</f>
        <v>0.5562050000000021</v>
      </c>
      <c r="O74" s="206">
        <f>IF((H74)=0,"",(N74/H74))</f>
        <v>0.027429846172961167</v>
      </c>
    </row>
    <row r="75" spans="2:15" s="194" customFormat="1" ht="15">
      <c r="B75" s="113" t="s">
        <v>124</v>
      </c>
      <c r="C75" s="105"/>
      <c r="D75" s="105"/>
      <c r="E75" s="105"/>
      <c r="F75" s="234"/>
      <c r="G75" s="233"/>
      <c r="H75" s="229">
        <f>H73+H74</f>
        <v>176.2570949</v>
      </c>
      <c r="I75" s="230"/>
      <c r="J75" s="230"/>
      <c r="K75" s="230"/>
      <c r="L75" s="232">
        <f>L73+L74</f>
        <v>181.0917999</v>
      </c>
      <c r="M75" s="233"/>
      <c r="N75" s="249">
        <f>L75-H75</f>
        <v>4.834705000000014</v>
      </c>
      <c r="O75" s="206">
        <f>IF((H75)=0,"",(N75/H75))</f>
        <v>0.027429846172961143</v>
      </c>
    </row>
    <row r="76" spans="2:15" s="194" customFormat="1" ht="15.75" customHeight="1">
      <c r="B76" s="542" t="s">
        <v>125</v>
      </c>
      <c r="C76" s="542"/>
      <c r="D76" s="542"/>
      <c r="E76" s="105"/>
      <c r="F76" s="234"/>
      <c r="G76" s="233"/>
      <c r="H76" s="235">
        <f>ROUND(-H75*10%,2)</f>
        <v>-17.63</v>
      </c>
      <c r="I76" s="230"/>
      <c r="J76" s="230"/>
      <c r="K76" s="230"/>
      <c r="L76" s="236">
        <v>0</v>
      </c>
      <c r="M76" s="233"/>
      <c r="N76" s="249">
        <f>L76-H76</f>
        <v>17.63</v>
      </c>
      <c r="O76" s="209">
        <f>IF((H76)=0,"",(N76/H76))</f>
        <v>-1</v>
      </c>
    </row>
    <row r="77" spans="2:15" s="194" customFormat="1" ht="15.75" thickBot="1">
      <c r="B77" s="533" t="s">
        <v>48</v>
      </c>
      <c r="C77" s="533"/>
      <c r="D77" s="533"/>
      <c r="E77" s="237"/>
      <c r="F77" s="238"/>
      <c r="G77" s="239"/>
      <c r="H77" s="240">
        <f>SUM(H75:H76)</f>
        <v>158.6270949</v>
      </c>
      <c r="I77" s="241"/>
      <c r="J77" s="241"/>
      <c r="K77" s="241"/>
      <c r="L77" s="242">
        <f>SUM(L75:L76)</f>
        <v>181.0917999</v>
      </c>
      <c r="M77" s="243"/>
      <c r="N77" s="251">
        <f>L77-H77</f>
        <v>22.46470500000001</v>
      </c>
      <c r="O77" s="244">
        <f>IF((H77)=0,"",(N77/H77))</f>
        <v>0.14161959540494623</v>
      </c>
    </row>
    <row r="78" spans="2:15" s="194" customFormat="1" ht="8.25" customHeight="1" thickBot="1">
      <c r="B78" s="110"/>
      <c r="C78" s="215"/>
      <c r="D78" s="216"/>
      <c r="E78" s="215"/>
      <c r="F78" s="172"/>
      <c r="G78" s="245"/>
      <c r="H78" s="173"/>
      <c r="I78" s="246"/>
      <c r="J78" s="172"/>
      <c r="K78" s="217"/>
      <c r="L78" s="174"/>
      <c r="M78" s="218"/>
      <c r="N78" s="247"/>
      <c r="O78" s="163"/>
    </row>
    <row r="79" s="90" customFormat="1" ht="10.5" customHeight="1">
      <c r="L79" s="156"/>
    </row>
    <row r="80" spans="2:10" s="90" customFormat="1" ht="15">
      <c r="B80" s="114" t="s">
        <v>49</v>
      </c>
      <c r="F80" s="424">
        <f>'Res (100kWh)'!F80</f>
        <v>0.0495</v>
      </c>
      <c r="G80" s="141"/>
      <c r="H80" s="141"/>
      <c r="I80" s="141"/>
      <c r="J80" s="424">
        <f>'Res (100kWh)'!J80</f>
        <v>0.0495</v>
      </c>
    </row>
    <row r="81" s="90" customFormat="1" ht="10.5" customHeight="1"/>
    <row r="82" spans="2:15" s="90" customFormat="1" ht="15">
      <c r="B82" s="470" t="s">
        <v>137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pans="2:15" s="90" customFormat="1" ht="15">
      <c r="B83" s="470" t="s">
        <v>136</v>
      </c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</row>
    <row r="84" s="90" customFormat="1" ht="17.25">
      <c r="A84" s="248" t="s">
        <v>126</v>
      </c>
    </row>
    <row r="85" s="90" customFormat="1" ht="10.5" customHeight="1"/>
    <row r="86" s="90" customFormat="1" ht="15">
      <c r="A86" s="90" t="s">
        <v>51</v>
      </c>
    </row>
    <row r="87" s="90" customFormat="1" ht="15">
      <c r="A87" s="90" t="s">
        <v>52</v>
      </c>
    </row>
    <row r="88" s="90" customFormat="1" ht="15"/>
    <row r="89" s="90" customFormat="1" ht="15">
      <c r="A89" s="93" t="s">
        <v>53</v>
      </c>
    </row>
    <row r="90" s="90" customFormat="1" ht="15">
      <c r="A90" s="93" t="s">
        <v>54</v>
      </c>
    </row>
    <row r="91" s="90" customFormat="1" ht="15"/>
    <row r="92" s="90" customFormat="1" ht="15">
      <c r="A92" s="90" t="s">
        <v>55</v>
      </c>
    </row>
    <row r="93" s="90" customFormat="1" ht="15">
      <c r="A93" s="90" t="s">
        <v>56</v>
      </c>
    </row>
    <row r="94" s="90" customFormat="1" ht="15">
      <c r="A94" s="90" t="s">
        <v>57</v>
      </c>
    </row>
    <row r="95" s="90" customFormat="1" ht="15">
      <c r="A95" s="90" t="s">
        <v>58</v>
      </c>
    </row>
    <row r="96" s="90" customFormat="1" ht="15">
      <c r="A96" s="90" t="s">
        <v>59</v>
      </c>
    </row>
    <row r="97" s="90" customFormat="1" ht="15"/>
    <row r="98" spans="1:2" s="90" customFormat="1" ht="15">
      <c r="A98" s="176"/>
      <c r="B98" s="90" t="s">
        <v>60</v>
      </c>
    </row>
    <row r="99" s="90" customFormat="1" ht="15"/>
    <row r="100" s="90" customFormat="1" ht="15"/>
    <row r="101" s="90" customFormat="1" ht="15"/>
    <row r="102" s="90" customFormat="1" ht="15"/>
  </sheetData>
  <sheetProtection/>
  <mergeCells count="20">
    <mergeCell ref="B77:D77"/>
    <mergeCell ref="D21:D22"/>
    <mergeCell ref="N21:N22"/>
    <mergeCell ref="O21:O22"/>
    <mergeCell ref="B70:D70"/>
    <mergeCell ref="B71:D71"/>
    <mergeCell ref="B76:D76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7:O7"/>
    <mergeCell ref="A3:K3"/>
    <mergeCell ref="B10:O10"/>
    <mergeCell ref="B11:O11"/>
  </mergeCells>
  <dataValidations count="4">
    <dataValidation type="list" allowBlank="1" showInputMessage="1" showErrorMessage="1" sqref="E53:E54 E42:E51 E66 E23:E40 E56:E63">
      <formula1>'Res (1,000kWh)'!#REF!</formula1>
    </dataValidation>
    <dataValidation type="list" allowBlank="1" showInputMessage="1" showErrorMessage="1" prompt="Select Charge Unit - monthly, per kWh, per kW" sqref="D53:D54 D72 D78 D42:D51 D23:D40 D56:D66">
      <formula1>"Monthly, per kWh, per kW"</formula1>
    </dataValidation>
    <dataValidation type="list" allowBlank="1" showInputMessage="1" showErrorMessage="1" sqref="E78 E72 E64:E65">
      <formula1>'Res (1,000kWh)'!#REF!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8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58.2812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 s="20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6</v>
      </c>
      <c r="O4" s="523"/>
      <c r="P4" s="21"/>
    </row>
    <row r="5" spans="3:16" s="2" customFormat="1" ht="15" customHeight="1">
      <c r="C5" s="7"/>
      <c r="D5" s="7"/>
      <c r="E5" s="7"/>
      <c r="L5" s="3" t="s">
        <v>77</v>
      </c>
      <c r="N5" s="525" t="s">
        <v>82</v>
      </c>
      <c r="O5" s="525"/>
      <c r="P5" s="20"/>
    </row>
    <row r="6" spans="12:16" s="2" customFormat="1" ht="9" customHeight="1">
      <c r="L6" s="3"/>
      <c r="N6" s="543"/>
      <c r="O6" s="543"/>
      <c r="P6" s="23"/>
    </row>
    <row r="7" spans="12:16" s="2" customFormat="1" ht="15">
      <c r="L7" s="3" t="s">
        <v>145</v>
      </c>
      <c r="N7" s="526">
        <v>42412</v>
      </c>
      <c r="O7" s="525"/>
      <c r="P7" s="20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148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61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1500</v>
      </c>
      <c r="G18" s="14" t="s">
        <v>9</v>
      </c>
    </row>
    <row r="19" ht="15">
      <c r="B19" s="13"/>
    </row>
    <row r="20" spans="2:15" s="252" customFormat="1" ht="15">
      <c r="B20" s="373"/>
      <c r="D20" s="374"/>
      <c r="E20" s="374"/>
      <c r="F20" s="544" t="s">
        <v>10</v>
      </c>
      <c r="G20" s="545"/>
      <c r="H20" s="546"/>
      <c r="J20" s="544" t="s">
        <v>11</v>
      </c>
      <c r="K20" s="545"/>
      <c r="L20" s="546"/>
      <c r="N20" s="544" t="s">
        <v>12</v>
      </c>
      <c r="O20" s="546"/>
    </row>
    <row r="21" spans="2:15" s="252" customFormat="1" ht="15">
      <c r="B21" s="373"/>
      <c r="D21" s="548" t="s">
        <v>13</v>
      </c>
      <c r="E21" s="375"/>
      <c r="F21" s="376" t="s">
        <v>14</v>
      </c>
      <c r="G21" s="376" t="s">
        <v>15</v>
      </c>
      <c r="H21" s="377" t="s">
        <v>16</v>
      </c>
      <c r="J21" s="376" t="s">
        <v>14</v>
      </c>
      <c r="K21" s="378" t="s">
        <v>15</v>
      </c>
      <c r="L21" s="377" t="s">
        <v>16</v>
      </c>
      <c r="N21" s="550" t="s">
        <v>17</v>
      </c>
      <c r="O21" s="552" t="s">
        <v>18</v>
      </c>
    </row>
    <row r="22" spans="2:15" s="252" customFormat="1" ht="15">
      <c r="B22" s="373"/>
      <c r="D22" s="549"/>
      <c r="E22" s="375"/>
      <c r="F22" s="379" t="s">
        <v>19</v>
      </c>
      <c r="G22" s="379"/>
      <c r="H22" s="380" t="s">
        <v>19</v>
      </c>
      <c r="J22" s="379" t="s">
        <v>19</v>
      </c>
      <c r="K22" s="380"/>
      <c r="L22" s="380" t="s">
        <v>19</v>
      </c>
      <c r="N22" s="551"/>
      <c r="O22" s="553"/>
    </row>
    <row r="23" spans="2:15" s="252" customFormat="1" ht="15">
      <c r="B23" s="255" t="s">
        <v>20</v>
      </c>
      <c r="C23" s="253"/>
      <c r="D23" s="254" t="s">
        <v>62</v>
      </c>
      <c r="E23" s="255"/>
      <c r="F23" s="413">
        <f>'Res (100kWh)'!F23</f>
        <v>11.22</v>
      </c>
      <c r="G23" s="257">
        <v>1</v>
      </c>
      <c r="H23" s="258">
        <f>G23*F23</f>
        <v>11.22</v>
      </c>
      <c r="I23" s="259"/>
      <c r="J23" s="481">
        <f>'Res (100kWh)'!J23</f>
        <v>15.59</v>
      </c>
      <c r="K23" s="260">
        <v>1</v>
      </c>
      <c r="L23" s="258">
        <f>K23*J23</f>
        <v>15.59</v>
      </c>
      <c r="M23" s="259"/>
      <c r="N23" s="261">
        <f>L23-H23</f>
        <v>4.369999999999999</v>
      </c>
      <c r="O23" s="262">
        <f>IF((H23)=0,"",(N23/H23))</f>
        <v>0.3894830659536541</v>
      </c>
    </row>
    <row r="24" spans="2:15" s="252" customFormat="1" ht="22.5" customHeight="1" hidden="1">
      <c r="B24" s="255" t="s">
        <v>92</v>
      </c>
      <c r="C24" s="253"/>
      <c r="D24" s="254" t="s">
        <v>62</v>
      </c>
      <c r="E24" s="255"/>
      <c r="F24" s="422">
        <f>'Res (100kWh)'!F24</f>
        <v>0</v>
      </c>
      <c r="G24" s="257">
        <v>1</v>
      </c>
      <c r="H24" s="258">
        <f>G24*F24</f>
        <v>0</v>
      </c>
      <c r="I24" s="259"/>
      <c r="J24" s="414">
        <v>0</v>
      </c>
      <c r="K24" s="260">
        <v>1</v>
      </c>
      <c r="L24" s="258">
        <f>K24*J24</f>
        <v>0</v>
      </c>
      <c r="M24" s="259"/>
      <c r="N24" s="261">
        <f>L24-H24</f>
        <v>0</v>
      </c>
      <c r="O24" s="262">
        <f>IF((H24)=0,"",(N24/H24))</f>
      </c>
    </row>
    <row r="25" spans="2:15" s="252" customFormat="1" ht="36.75" customHeight="1" hidden="1">
      <c r="B25" s="425" t="s">
        <v>111</v>
      </c>
      <c r="C25" s="253"/>
      <c r="D25" s="266" t="s">
        <v>62</v>
      </c>
      <c r="E25" s="255"/>
      <c r="F25" s="414">
        <v>0</v>
      </c>
      <c r="G25" s="257">
        <v>1</v>
      </c>
      <c r="H25" s="258">
        <f>G25*F25</f>
        <v>0</v>
      </c>
      <c r="I25" s="259"/>
      <c r="J25" s="145">
        <v>0</v>
      </c>
      <c r="K25" s="260">
        <v>1</v>
      </c>
      <c r="L25" s="258">
        <f>K25*J25</f>
        <v>0</v>
      </c>
      <c r="M25" s="259"/>
      <c r="N25" s="261">
        <f>L25-H25</f>
        <v>0</v>
      </c>
      <c r="O25" s="262">
        <f>IF((H25)=0,"",(N25/H25))</f>
      </c>
    </row>
    <row r="26" spans="2:15" s="252" customFormat="1" ht="30">
      <c r="B26" s="425" t="s">
        <v>64</v>
      </c>
      <c r="C26" s="253"/>
      <c r="D26" s="266" t="s">
        <v>62</v>
      </c>
      <c r="E26" s="269"/>
      <c r="F26" s="414">
        <f>'Res (100kWh)'!F26</f>
        <v>1.75</v>
      </c>
      <c r="G26" s="257">
        <v>1</v>
      </c>
      <c r="H26" s="258">
        <f aca="true" t="shared" si="0" ref="H26:H40">G26*F26</f>
        <v>1.75</v>
      </c>
      <c r="I26" s="259"/>
      <c r="J26" s="414">
        <f>'Res (100kWh)'!J26</f>
        <v>1.75</v>
      </c>
      <c r="K26" s="260">
        <v>1</v>
      </c>
      <c r="L26" s="258">
        <f aca="true" t="shared" si="1" ref="L26:L40">K26*J26</f>
        <v>1.75</v>
      </c>
      <c r="M26" s="259"/>
      <c r="N26" s="261">
        <f aca="true" t="shared" si="2" ref="N26:N71">L26-H26</f>
        <v>0</v>
      </c>
      <c r="O26" s="262">
        <f aca="true" t="shared" si="3" ref="O26:O50">IF((H26)=0,"",(N26/H26))</f>
        <v>0</v>
      </c>
    </row>
    <row r="27" spans="2:15" s="252" customFormat="1" ht="15" hidden="1">
      <c r="B27" s="425" t="s">
        <v>65</v>
      </c>
      <c r="C27" s="253"/>
      <c r="D27" s="254" t="s">
        <v>62</v>
      </c>
      <c r="E27" s="255"/>
      <c r="F27" s="146">
        <f>'Res (100kWh)'!F27</f>
        <v>0</v>
      </c>
      <c r="G27" s="257">
        <v>1</v>
      </c>
      <c r="H27" s="258">
        <f t="shared" si="0"/>
        <v>0</v>
      </c>
      <c r="I27" s="259"/>
      <c r="J27" s="414">
        <f>'Res (100kWh)'!J27</f>
        <v>0</v>
      </c>
      <c r="K27" s="260">
        <v>1</v>
      </c>
      <c r="L27" s="258">
        <f t="shared" si="1"/>
        <v>0</v>
      </c>
      <c r="M27" s="259"/>
      <c r="N27" s="261">
        <f t="shared" si="2"/>
        <v>0</v>
      </c>
      <c r="O27" s="262">
        <f t="shared" si="3"/>
      </c>
    </row>
    <row r="28" spans="2:15" s="252" customFormat="1" ht="15">
      <c r="B28" s="426" t="s">
        <v>66</v>
      </c>
      <c r="C28" s="253"/>
      <c r="D28" s="254" t="s">
        <v>62</v>
      </c>
      <c r="E28" s="255"/>
      <c r="F28" s="146">
        <f>'Res (100kWh)'!F28</f>
        <v>0</v>
      </c>
      <c r="G28" s="257">
        <v>1</v>
      </c>
      <c r="H28" s="258">
        <f t="shared" si="0"/>
        <v>0</v>
      </c>
      <c r="I28" s="259"/>
      <c r="J28" s="477">
        <f>'Res (100kWh)'!J28</f>
        <v>-0.04</v>
      </c>
      <c r="K28" s="257">
        <v>1</v>
      </c>
      <c r="L28" s="258">
        <f t="shared" si="1"/>
        <v>-0.04</v>
      </c>
      <c r="M28" s="259"/>
      <c r="N28" s="261">
        <f t="shared" si="2"/>
        <v>-0.04</v>
      </c>
      <c r="O28" s="262">
        <f t="shared" si="3"/>
      </c>
    </row>
    <row r="29" spans="2:15" s="252" customFormat="1" ht="15">
      <c r="B29" s="253" t="s">
        <v>110</v>
      </c>
      <c r="C29" s="253"/>
      <c r="D29" s="254" t="s">
        <v>63</v>
      </c>
      <c r="E29" s="255"/>
      <c r="F29" s="423">
        <f>'Res (100kWh)'!F29</f>
        <v>0</v>
      </c>
      <c r="G29" s="257">
        <f>$F$18</f>
        <v>1500</v>
      </c>
      <c r="H29" s="258">
        <f t="shared" si="0"/>
        <v>0</v>
      </c>
      <c r="I29" s="259"/>
      <c r="J29" s="479">
        <f>'Res (100kWh)'!J29</f>
        <v>0</v>
      </c>
      <c r="K29" s="257">
        <f>$F$18</f>
        <v>1500</v>
      </c>
      <c r="L29" s="258">
        <f t="shared" si="1"/>
        <v>0</v>
      </c>
      <c r="M29" s="259"/>
      <c r="N29" s="261">
        <f t="shared" si="2"/>
        <v>0</v>
      </c>
      <c r="O29" s="262">
        <f t="shared" si="3"/>
      </c>
    </row>
    <row r="30" spans="2:15" s="252" customFormat="1" ht="15" hidden="1">
      <c r="B30" s="426" t="s">
        <v>93</v>
      </c>
      <c r="C30" s="253"/>
      <c r="D30" s="254" t="s">
        <v>63</v>
      </c>
      <c r="E30" s="255"/>
      <c r="F30" s="146">
        <f>'Res (100kWh)'!F30</f>
        <v>0</v>
      </c>
      <c r="G30" s="257">
        <f>$F$18</f>
        <v>1500</v>
      </c>
      <c r="H30" s="258">
        <f>G30*F30</f>
        <v>0</v>
      </c>
      <c r="I30" s="259"/>
      <c r="J30" s="479">
        <f>'Res (100kWh)'!J30</f>
        <v>0</v>
      </c>
      <c r="K30" s="257">
        <f>$F$18</f>
        <v>1500</v>
      </c>
      <c r="L30" s="258">
        <f>K30*J30</f>
        <v>0</v>
      </c>
      <c r="M30" s="259"/>
      <c r="N30" s="261">
        <f>L30-H30</f>
        <v>0</v>
      </c>
      <c r="O30" s="262">
        <f>IF((H30)=0,"",(N30/H30))</f>
      </c>
    </row>
    <row r="31" spans="2:15" s="252" customFormat="1" ht="14.25" customHeight="1">
      <c r="B31" s="255" t="s">
        <v>21</v>
      </c>
      <c r="C31" s="253"/>
      <c r="D31" s="254" t="s">
        <v>63</v>
      </c>
      <c r="E31" s="255"/>
      <c r="F31" s="146">
        <f>'Res (100kWh)'!F31</f>
        <v>0.0211</v>
      </c>
      <c r="G31" s="257">
        <f>$F$18</f>
        <v>1500</v>
      </c>
      <c r="H31" s="258">
        <f t="shared" si="0"/>
        <v>31.650000000000002</v>
      </c>
      <c r="I31" s="259"/>
      <c r="J31" s="482">
        <f>'Res (100kWh)'!J31</f>
        <v>0.0158</v>
      </c>
      <c r="K31" s="257">
        <f>$F$18</f>
        <v>1500</v>
      </c>
      <c r="L31" s="258">
        <f t="shared" si="1"/>
        <v>23.700000000000003</v>
      </c>
      <c r="M31" s="259"/>
      <c r="N31" s="261">
        <f t="shared" si="2"/>
        <v>-7.949999999999999</v>
      </c>
      <c r="O31" s="262">
        <f t="shared" si="3"/>
        <v>-0.25118483412322273</v>
      </c>
    </row>
    <row r="32" spans="2:15" s="252" customFormat="1" ht="15" hidden="1">
      <c r="B32" s="253" t="s">
        <v>22</v>
      </c>
      <c r="C32" s="253"/>
      <c r="D32" s="254"/>
      <c r="E32" s="255"/>
      <c r="F32" s="130">
        <f>'Res (100kWh)'!F32</f>
        <v>0</v>
      </c>
      <c r="G32" s="257">
        <f>$F$18</f>
        <v>1500</v>
      </c>
      <c r="H32" s="258">
        <f t="shared" si="0"/>
        <v>0</v>
      </c>
      <c r="I32" s="259"/>
      <c r="J32" s="145"/>
      <c r="K32" s="257">
        <f aca="true" t="shared" si="4" ref="K32:K40">$F$18</f>
        <v>1500</v>
      </c>
      <c r="L32" s="258">
        <f t="shared" si="1"/>
        <v>0</v>
      </c>
      <c r="M32" s="259"/>
      <c r="N32" s="272">
        <f t="shared" si="2"/>
        <v>0</v>
      </c>
      <c r="O32" s="262">
        <f t="shared" si="3"/>
      </c>
    </row>
    <row r="33" spans="2:15" s="252" customFormat="1" ht="15" hidden="1">
      <c r="B33" s="253" t="s">
        <v>110</v>
      </c>
      <c r="C33" s="253"/>
      <c r="D33" s="254" t="s">
        <v>63</v>
      </c>
      <c r="E33" s="255"/>
      <c r="F33" s="130">
        <f>'Res (100kWh)'!F33</f>
        <v>0</v>
      </c>
      <c r="G33" s="257">
        <f>$F$18</f>
        <v>1500</v>
      </c>
      <c r="H33" s="258">
        <f t="shared" si="0"/>
        <v>0</v>
      </c>
      <c r="I33" s="259"/>
      <c r="J33" s="145">
        <v>0</v>
      </c>
      <c r="K33" s="257">
        <f t="shared" si="4"/>
        <v>1500</v>
      </c>
      <c r="L33" s="258">
        <f t="shared" si="1"/>
        <v>0</v>
      </c>
      <c r="M33" s="259"/>
      <c r="N33" s="272">
        <f t="shared" si="2"/>
        <v>0</v>
      </c>
      <c r="O33" s="262">
        <f t="shared" si="3"/>
      </c>
    </row>
    <row r="34" spans="2:15" s="252" customFormat="1" ht="15" hidden="1">
      <c r="B34" s="273"/>
      <c r="C34" s="253"/>
      <c r="D34" s="254"/>
      <c r="E34" s="255"/>
      <c r="F34" s="130">
        <f>'Res (100kWh)'!F34</f>
        <v>0</v>
      </c>
      <c r="G34" s="257">
        <f aca="true" t="shared" si="5" ref="G34:G40">$F$18</f>
        <v>1500</v>
      </c>
      <c r="H34" s="258">
        <f t="shared" si="0"/>
        <v>0</v>
      </c>
      <c r="I34" s="259"/>
      <c r="J34" s="145"/>
      <c r="K34" s="257">
        <f t="shared" si="4"/>
        <v>1500</v>
      </c>
      <c r="L34" s="258">
        <f t="shared" si="1"/>
        <v>0</v>
      </c>
      <c r="M34" s="259"/>
      <c r="N34" s="272">
        <f t="shared" si="2"/>
        <v>0</v>
      </c>
      <c r="O34" s="262">
        <f t="shared" si="3"/>
      </c>
    </row>
    <row r="35" spans="2:15" s="252" customFormat="1" ht="15" hidden="1">
      <c r="B35" s="273"/>
      <c r="C35" s="253"/>
      <c r="D35" s="254"/>
      <c r="E35" s="255"/>
      <c r="F35" s="130">
        <f>'Res (100kWh)'!F35</f>
        <v>0</v>
      </c>
      <c r="G35" s="257">
        <f t="shared" si="5"/>
        <v>1500</v>
      </c>
      <c r="H35" s="258">
        <f t="shared" si="0"/>
        <v>0</v>
      </c>
      <c r="I35" s="259"/>
      <c r="J35" s="145"/>
      <c r="K35" s="257">
        <f t="shared" si="4"/>
        <v>1500</v>
      </c>
      <c r="L35" s="258">
        <f t="shared" si="1"/>
        <v>0</v>
      </c>
      <c r="M35" s="259"/>
      <c r="N35" s="272">
        <f t="shared" si="2"/>
        <v>0</v>
      </c>
      <c r="O35" s="262">
        <f t="shared" si="3"/>
      </c>
    </row>
    <row r="36" spans="2:15" s="252" customFormat="1" ht="15" hidden="1">
      <c r="B36" s="273"/>
      <c r="C36" s="253"/>
      <c r="D36" s="254"/>
      <c r="E36" s="255"/>
      <c r="F36" s="130">
        <f>'Res (100kWh)'!F36</f>
        <v>0</v>
      </c>
      <c r="G36" s="257">
        <f t="shared" si="5"/>
        <v>1500</v>
      </c>
      <c r="H36" s="258">
        <f t="shared" si="0"/>
        <v>0</v>
      </c>
      <c r="I36" s="259"/>
      <c r="J36" s="145"/>
      <c r="K36" s="257">
        <f t="shared" si="4"/>
        <v>1500</v>
      </c>
      <c r="L36" s="258">
        <f t="shared" si="1"/>
        <v>0</v>
      </c>
      <c r="M36" s="259"/>
      <c r="N36" s="272">
        <f t="shared" si="2"/>
        <v>0</v>
      </c>
      <c r="O36" s="262">
        <f t="shared" si="3"/>
      </c>
    </row>
    <row r="37" spans="2:15" s="252" customFormat="1" ht="15" hidden="1">
      <c r="B37" s="273"/>
      <c r="C37" s="253"/>
      <c r="D37" s="254"/>
      <c r="E37" s="255"/>
      <c r="F37" s="130">
        <f>'Res (100kWh)'!F37</f>
        <v>0</v>
      </c>
      <c r="G37" s="257">
        <f t="shared" si="5"/>
        <v>1500</v>
      </c>
      <c r="H37" s="258">
        <f t="shared" si="0"/>
        <v>0</v>
      </c>
      <c r="I37" s="259"/>
      <c r="J37" s="145"/>
      <c r="K37" s="257">
        <f t="shared" si="4"/>
        <v>1500</v>
      </c>
      <c r="L37" s="258">
        <f t="shared" si="1"/>
        <v>0</v>
      </c>
      <c r="M37" s="259"/>
      <c r="N37" s="272">
        <f t="shared" si="2"/>
        <v>0</v>
      </c>
      <c r="O37" s="262">
        <f t="shared" si="3"/>
      </c>
    </row>
    <row r="38" spans="2:15" s="252" customFormat="1" ht="15" hidden="1">
      <c r="B38" s="273"/>
      <c r="C38" s="253"/>
      <c r="D38" s="254"/>
      <c r="E38" s="255"/>
      <c r="F38" s="130">
        <f>'Res (100kWh)'!F38</f>
        <v>0</v>
      </c>
      <c r="G38" s="257">
        <f t="shared" si="5"/>
        <v>1500</v>
      </c>
      <c r="H38" s="258">
        <f t="shared" si="0"/>
        <v>0</v>
      </c>
      <c r="I38" s="259"/>
      <c r="J38" s="145"/>
      <c r="K38" s="257">
        <f t="shared" si="4"/>
        <v>1500</v>
      </c>
      <c r="L38" s="258">
        <f t="shared" si="1"/>
        <v>0</v>
      </c>
      <c r="M38" s="259"/>
      <c r="N38" s="272">
        <f t="shared" si="2"/>
        <v>0</v>
      </c>
      <c r="O38" s="262">
        <f t="shared" si="3"/>
      </c>
    </row>
    <row r="39" spans="2:15" s="252" customFormat="1" ht="15" hidden="1">
      <c r="B39" s="273"/>
      <c r="C39" s="253"/>
      <c r="D39" s="254"/>
      <c r="E39" s="255"/>
      <c r="F39" s="130">
        <f>'Res (100kWh)'!F39</f>
        <v>0</v>
      </c>
      <c r="G39" s="257">
        <f t="shared" si="5"/>
        <v>1500</v>
      </c>
      <c r="H39" s="258">
        <f t="shared" si="0"/>
        <v>0</v>
      </c>
      <c r="I39" s="259"/>
      <c r="J39" s="145"/>
      <c r="K39" s="257">
        <f t="shared" si="4"/>
        <v>1500</v>
      </c>
      <c r="L39" s="258">
        <f t="shared" si="1"/>
        <v>0</v>
      </c>
      <c r="M39" s="259"/>
      <c r="N39" s="272">
        <f t="shared" si="2"/>
        <v>0</v>
      </c>
      <c r="O39" s="262">
        <f t="shared" si="3"/>
      </c>
    </row>
    <row r="40" spans="2:15" s="252" customFormat="1" ht="15" hidden="1">
      <c r="B40" s="273"/>
      <c r="C40" s="253"/>
      <c r="D40" s="254"/>
      <c r="E40" s="255"/>
      <c r="F40" s="130">
        <f>'Res (100kWh)'!F40</f>
        <v>0</v>
      </c>
      <c r="G40" s="257">
        <f t="shared" si="5"/>
        <v>1500</v>
      </c>
      <c r="H40" s="258">
        <f t="shared" si="0"/>
        <v>0</v>
      </c>
      <c r="I40" s="259"/>
      <c r="J40" s="145"/>
      <c r="K40" s="257">
        <f t="shared" si="4"/>
        <v>1500</v>
      </c>
      <c r="L40" s="258">
        <f t="shared" si="1"/>
        <v>0</v>
      </c>
      <c r="M40" s="259"/>
      <c r="N40" s="272">
        <f t="shared" si="2"/>
        <v>0</v>
      </c>
      <c r="O40" s="262">
        <f t="shared" si="3"/>
      </c>
    </row>
    <row r="41" spans="2:15" s="283" customFormat="1" ht="15">
      <c r="B41" s="382" t="s">
        <v>24</v>
      </c>
      <c r="C41" s="274"/>
      <c r="D41" s="275"/>
      <c r="E41" s="274"/>
      <c r="F41" s="135"/>
      <c r="G41" s="277"/>
      <c r="H41" s="278">
        <f>SUM(H23:H40)</f>
        <v>44.620000000000005</v>
      </c>
      <c r="I41" s="279"/>
      <c r="J41" s="415"/>
      <c r="K41" s="281"/>
      <c r="L41" s="278">
        <f>SUM(L23:L40)</f>
        <v>41</v>
      </c>
      <c r="M41" s="279"/>
      <c r="N41" s="282">
        <f t="shared" si="2"/>
        <v>-3.6200000000000045</v>
      </c>
      <c r="O41" s="383">
        <f t="shared" si="3"/>
        <v>-0.08112953832362178</v>
      </c>
    </row>
    <row r="42" spans="2:15" s="252" customFormat="1" ht="15" hidden="1">
      <c r="B42" s="268"/>
      <c r="C42" s="253"/>
      <c r="D42" s="266" t="s">
        <v>62</v>
      </c>
      <c r="E42" s="255"/>
      <c r="F42" s="130">
        <f>'Res (100kWh)'!F42</f>
        <v>0</v>
      </c>
      <c r="G42" s="257">
        <v>1</v>
      </c>
      <c r="H42" s="258">
        <f>G42*F42</f>
        <v>0</v>
      </c>
      <c r="I42" s="259"/>
      <c r="J42" s="414"/>
      <c r="K42" s="260">
        <v>1</v>
      </c>
      <c r="L42" s="258">
        <f>K42*J42</f>
        <v>0</v>
      </c>
      <c r="M42" s="259"/>
      <c r="N42" s="272">
        <f>L42-H42</f>
        <v>0</v>
      </c>
      <c r="O42" s="262">
        <f>IF((H42)=0,"",(N42/H42))</f>
      </c>
    </row>
    <row r="43" spans="2:15" s="252" customFormat="1" ht="15">
      <c r="B43" s="426" t="s">
        <v>25</v>
      </c>
      <c r="C43" s="253"/>
      <c r="D43" s="266" t="s">
        <v>63</v>
      </c>
      <c r="E43" s="269"/>
      <c r="F43" s="416">
        <f>'Res (100kWh)'!F43</f>
        <v>-0.007</v>
      </c>
      <c r="G43" s="257">
        <f>$F$18</f>
        <v>1500</v>
      </c>
      <c r="H43" s="258">
        <f aca="true" t="shared" si="6" ref="H43:H51">G43*F43</f>
        <v>-10.5</v>
      </c>
      <c r="I43" s="259"/>
      <c r="J43" s="416">
        <f>'Res (100kWh)'!J43</f>
        <v>0.0021</v>
      </c>
      <c r="K43" s="257">
        <f>$F$18</f>
        <v>1500</v>
      </c>
      <c r="L43" s="258">
        <f aca="true" t="shared" si="7" ref="L43:L51">K43*J43</f>
        <v>3.15</v>
      </c>
      <c r="M43" s="259"/>
      <c r="N43" s="261">
        <f t="shared" si="2"/>
        <v>13.65</v>
      </c>
      <c r="O43" s="262">
        <f t="shared" si="3"/>
        <v>-1.3</v>
      </c>
    </row>
    <row r="44" spans="2:15" s="252" customFormat="1" ht="15" hidden="1">
      <c r="B44" s="381"/>
      <c r="C44" s="253"/>
      <c r="D44" s="254" t="s">
        <v>63</v>
      </c>
      <c r="E44" s="255"/>
      <c r="F44" s="146">
        <f>'Res (100kWh)'!F44</f>
        <v>0</v>
      </c>
      <c r="G44" s="257">
        <f>$F$18</f>
        <v>1500</v>
      </c>
      <c r="H44" s="258">
        <f t="shared" si="6"/>
        <v>0</v>
      </c>
      <c r="I44" s="285"/>
      <c r="J44" s="145">
        <f>'Res (100kWh)'!J44</f>
        <v>0</v>
      </c>
      <c r="K44" s="257">
        <f>$F$18</f>
        <v>1500</v>
      </c>
      <c r="L44" s="258">
        <f t="shared" si="7"/>
        <v>0</v>
      </c>
      <c r="M44" s="286"/>
      <c r="N44" s="261">
        <f t="shared" si="2"/>
        <v>0</v>
      </c>
      <c r="O44" s="262">
        <f t="shared" si="3"/>
      </c>
    </row>
    <row r="45" spans="2:15" s="252" customFormat="1" ht="15" hidden="1">
      <c r="B45" s="381"/>
      <c r="C45" s="253"/>
      <c r="D45" s="254" t="s">
        <v>63</v>
      </c>
      <c r="E45" s="255"/>
      <c r="F45" s="146">
        <f>'Res (100kWh)'!F45</f>
        <v>0</v>
      </c>
      <c r="G45" s="257">
        <f>$F$18</f>
        <v>1500</v>
      </c>
      <c r="H45" s="258">
        <f t="shared" si="6"/>
        <v>0</v>
      </c>
      <c r="I45" s="285"/>
      <c r="J45" s="145">
        <f>'Res (100kWh)'!J45</f>
        <v>0</v>
      </c>
      <c r="K45" s="257">
        <f>$F$18</f>
        <v>1500</v>
      </c>
      <c r="L45" s="258">
        <f t="shared" si="7"/>
        <v>0</v>
      </c>
      <c r="M45" s="286"/>
      <c r="N45" s="261">
        <f t="shared" si="2"/>
        <v>0</v>
      </c>
      <c r="O45" s="262">
        <f t="shared" si="3"/>
      </c>
    </row>
    <row r="46" spans="2:15" s="252" customFormat="1" ht="15" hidden="1">
      <c r="B46" s="381"/>
      <c r="C46" s="253"/>
      <c r="D46" s="254"/>
      <c r="E46" s="255"/>
      <c r="F46" s="146">
        <f>'Res (100kWh)'!F46</f>
        <v>0</v>
      </c>
      <c r="G46" s="257">
        <f>$F$18</f>
        <v>1500</v>
      </c>
      <c r="H46" s="258">
        <f t="shared" si="6"/>
        <v>0</v>
      </c>
      <c r="I46" s="285"/>
      <c r="J46" s="145">
        <f>'Res (100kWh)'!J46</f>
        <v>0</v>
      </c>
      <c r="K46" s="257">
        <f>$F$18</f>
        <v>1500</v>
      </c>
      <c r="L46" s="258">
        <f t="shared" si="7"/>
        <v>0</v>
      </c>
      <c r="M46" s="286"/>
      <c r="N46" s="261">
        <f t="shared" si="2"/>
        <v>0</v>
      </c>
      <c r="O46" s="262">
        <f t="shared" si="3"/>
      </c>
    </row>
    <row r="47" spans="2:15" s="252" customFormat="1" ht="15" hidden="1">
      <c r="B47" s="381"/>
      <c r="C47" s="253"/>
      <c r="D47" s="254" t="s">
        <v>62</v>
      </c>
      <c r="E47" s="255"/>
      <c r="F47" s="146">
        <f>'Res (100kWh)'!F47</f>
        <v>0</v>
      </c>
      <c r="G47" s="257">
        <v>1</v>
      </c>
      <c r="H47" s="258">
        <f t="shared" si="6"/>
        <v>0</v>
      </c>
      <c r="I47" s="259"/>
      <c r="J47" s="249">
        <f>'Res (100kWh)'!J47</f>
        <v>0</v>
      </c>
      <c r="K47" s="257">
        <v>1</v>
      </c>
      <c r="L47" s="258">
        <f t="shared" si="7"/>
        <v>0</v>
      </c>
      <c r="M47" s="259"/>
      <c r="N47" s="261">
        <f>L47-H47</f>
        <v>0</v>
      </c>
      <c r="O47" s="262">
        <f>IF((H47)=0,"",(N47/H47))</f>
      </c>
    </row>
    <row r="48" spans="2:15" s="252" customFormat="1" ht="15" hidden="1">
      <c r="B48" s="253"/>
      <c r="C48" s="253"/>
      <c r="D48" s="254" t="s">
        <v>63</v>
      </c>
      <c r="E48" s="255"/>
      <c r="F48" s="146">
        <f>'Res (100kWh)'!F48</f>
        <v>0</v>
      </c>
      <c r="G48" s="257">
        <f>$F$18</f>
        <v>1500</v>
      </c>
      <c r="H48" s="258">
        <f t="shared" si="6"/>
        <v>0</v>
      </c>
      <c r="I48" s="259"/>
      <c r="J48" s="145">
        <f>'Res (100kWh)'!J48</f>
        <v>0</v>
      </c>
      <c r="K48" s="257">
        <f>$F$18</f>
        <v>1500</v>
      </c>
      <c r="L48" s="258">
        <f t="shared" si="7"/>
        <v>0</v>
      </c>
      <c r="M48" s="259"/>
      <c r="N48" s="261">
        <f>L48-H48</f>
        <v>0</v>
      </c>
      <c r="O48" s="262">
        <f>IF((H48)=0,"",(N48/H48))</f>
      </c>
    </row>
    <row r="49" spans="2:15" s="252" customFormat="1" ht="15">
      <c r="B49" s="384" t="s">
        <v>26</v>
      </c>
      <c r="C49" s="253"/>
      <c r="D49" s="254" t="s">
        <v>63</v>
      </c>
      <c r="E49" s="255"/>
      <c r="F49" s="146">
        <f>'Res (100kWh)'!F49</f>
        <v>0.0024</v>
      </c>
      <c r="G49" s="257">
        <f>$F$18</f>
        <v>1500</v>
      </c>
      <c r="H49" s="258">
        <f t="shared" si="6"/>
        <v>3.5999999999999996</v>
      </c>
      <c r="I49" s="259"/>
      <c r="J49" s="145">
        <f>'Res (100kWh)'!J49</f>
        <v>0.0024</v>
      </c>
      <c r="K49" s="257">
        <f>$F$18</f>
        <v>1500</v>
      </c>
      <c r="L49" s="258">
        <f t="shared" si="7"/>
        <v>3.5999999999999996</v>
      </c>
      <c r="M49" s="259"/>
      <c r="N49" s="261">
        <f t="shared" si="2"/>
        <v>0</v>
      </c>
      <c r="O49" s="262">
        <f t="shared" si="3"/>
        <v>0</v>
      </c>
    </row>
    <row r="50" spans="2:15" s="283" customFormat="1" ht="15">
      <c r="B50" s="385" t="s">
        <v>27</v>
      </c>
      <c r="C50" s="255"/>
      <c r="D50" s="254" t="s">
        <v>63</v>
      </c>
      <c r="E50" s="255"/>
      <c r="F50" s="146">
        <f>IF(ISBLANK(D16)=TRUE,0,IF(D16="TOU",0.64*$F$61+0.18*$F$62+0.18*$F$63,IF(AND(D16="non-TOU",G65&gt;0),F65,F64)))</f>
        <v>0.10214000000000001</v>
      </c>
      <c r="G50" s="257">
        <f>$F$18*(1+$F$80)-$F$18</f>
        <v>74.25000000000023</v>
      </c>
      <c r="H50" s="290">
        <f t="shared" si="6"/>
        <v>7.583895000000024</v>
      </c>
      <c r="I50" s="269"/>
      <c r="J50" s="145">
        <f>0.64*$F$61+0.18*$F$62+0.18*$F$63</f>
        <v>0.10214000000000001</v>
      </c>
      <c r="K50" s="257">
        <f>$F$18*(1+$J$80)-$F$18</f>
        <v>74.25000000000023</v>
      </c>
      <c r="L50" s="290">
        <f t="shared" si="7"/>
        <v>7.583895000000024</v>
      </c>
      <c r="M50" s="269"/>
      <c r="N50" s="261">
        <f t="shared" si="2"/>
        <v>0</v>
      </c>
      <c r="O50" s="291">
        <f t="shared" si="3"/>
        <v>0</v>
      </c>
    </row>
    <row r="51" spans="2:15" s="252" customFormat="1" ht="15">
      <c r="B51" s="384" t="s">
        <v>28</v>
      </c>
      <c r="C51" s="253"/>
      <c r="D51" s="254" t="s">
        <v>62</v>
      </c>
      <c r="E51" s="255"/>
      <c r="F51" s="413">
        <f>'Res (100kWh)'!F51</f>
        <v>0.79</v>
      </c>
      <c r="G51" s="257">
        <v>1</v>
      </c>
      <c r="H51" s="258">
        <f t="shared" si="6"/>
        <v>0.79</v>
      </c>
      <c r="I51" s="259"/>
      <c r="J51" s="413">
        <f>'Res (100kWh)'!J51</f>
        <v>0.79</v>
      </c>
      <c r="K51" s="257">
        <v>1</v>
      </c>
      <c r="L51" s="258">
        <f t="shared" si="7"/>
        <v>0.79</v>
      </c>
      <c r="M51" s="259"/>
      <c r="N51" s="261">
        <f t="shared" si="2"/>
        <v>0</v>
      </c>
      <c r="O51" s="262"/>
    </row>
    <row r="52" spans="2:15" s="252" customFormat="1" ht="15">
      <c r="B52" s="386" t="s">
        <v>29</v>
      </c>
      <c r="C52" s="293"/>
      <c r="D52" s="293"/>
      <c r="E52" s="293"/>
      <c r="F52" s="150"/>
      <c r="G52" s="294"/>
      <c r="H52" s="295">
        <f>SUM(H42:H51)+H41</f>
        <v>46.09389500000003</v>
      </c>
      <c r="I52" s="279"/>
      <c r="J52" s="417"/>
      <c r="K52" s="296"/>
      <c r="L52" s="295">
        <f>SUM(L42:L51)+L41</f>
        <v>56.12389500000002</v>
      </c>
      <c r="M52" s="279"/>
      <c r="N52" s="282">
        <f t="shared" si="2"/>
        <v>10.029999999999987</v>
      </c>
      <c r="O52" s="383">
        <f aca="true" t="shared" si="8" ref="O52:O71">IF((H52)=0,"",(N52/H52))</f>
        <v>0.2175993154841868</v>
      </c>
    </row>
    <row r="53" spans="2:15" s="252" customFormat="1" ht="15">
      <c r="B53" s="259" t="s">
        <v>30</v>
      </c>
      <c r="C53" s="259"/>
      <c r="D53" s="266" t="s">
        <v>63</v>
      </c>
      <c r="E53" s="269"/>
      <c r="F53" s="145">
        <f>'Res (100kWh)'!F53</f>
        <v>0.0048</v>
      </c>
      <c r="G53" s="485">
        <f>F18*(1+F80)</f>
        <v>1574.2500000000002</v>
      </c>
      <c r="H53" s="290">
        <f>G53*F53</f>
        <v>7.5564</v>
      </c>
      <c r="I53" s="269"/>
      <c r="J53" s="145">
        <f>'Res (100kWh)'!J53</f>
        <v>0.0064</v>
      </c>
      <c r="K53" s="486">
        <f>F18*(1+J80)</f>
        <v>1574.2500000000002</v>
      </c>
      <c r="L53" s="258">
        <f>K53*J53</f>
        <v>10.075200000000002</v>
      </c>
      <c r="M53" s="259"/>
      <c r="N53" s="261">
        <f t="shared" si="2"/>
        <v>2.5188000000000024</v>
      </c>
      <c r="O53" s="262">
        <f t="shared" si="8"/>
        <v>0.33333333333333365</v>
      </c>
    </row>
    <row r="54" spans="2:15" s="252" customFormat="1" ht="15">
      <c r="B54" s="298" t="s">
        <v>31</v>
      </c>
      <c r="C54" s="259"/>
      <c r="D54" s="266" t="s">
        <v>63</v>
      </c>
      <c r="E54" s="269"/>
      <c r="F54" s="145">
        <f>'Res (100kWh)'!F54</f>
        <v>0.0019</v>
      </c>
      <c r="G54" s="485">
        <f>G53</f>
        <v>1574.2500000000002</v>
      </c>
      <c r="H54" s="290">
        <f>G54*F54</f>
        <v>2.9910750000000004</v>
      </c>
      <c r="I54" s="269"/>
      <c r="J54" s="145">
        <f>'Res (100kWh)'!J54</f>
        <v>0.003</v>
      </c>
      <c r="K54" s="486">
        <f>K53</f>
        <v>1574.2500000000002</v>
      </c>
      <c r="L54" s="258">
        <f>K54*J54</f>
        <v>4.7227500000000004</v>
      </c>
      <c r="M54" s="259"/>
      <c r="N54" s="261">
        <f t="shared" si="2"/>
        <v>1.731675</v>
      </c>
      <c r="O54" s="262">
        <f t="shared" si="8"/>
        <v>0.5789473684210525</v>
      </c>
    </row>
    <row r="55" spans="2:15" s="252" customFormat="1" ht="15">
      <c r="B55" s="386" t="s">
        <v>32</v>
      </c>
      <c r="C55" s="274"/>
      <c r="D55" s="274"/>
      <c r="E55" s="274"/>
      <c r="F55" s="153"/>
      <c r="G55" s="294"/>
      <c r="H55" s="295">
        <f>SUM(H52:H54)</f>
        <v>56.64137000000003</v>
      </c>
      <c r="I55" s="299"/>
      <c r="J55" s="418"/>
      <c r="K55" s="301"/>
      <c r="L55" s="295">
        <f>SUM(L52:L54)</f>
        <v>70.92184500000003</v>
      </c>
      <c r="M55" s="299"/>
      <c r="N55" s="282">
        <f t="shared" si="2"/>
        <v>14.280475000000003</v>
      </c>
      <c r="O55" s="383">
        <f t="shared" si="8"/>
        <v>0.25212093210316056</v>
      </c>
    </row>
    <row r="56" spans="2:15" s="252" customFormat="1" ht="15">
      <c r="B56" s="265" t="s">
        <v>33</v>
      </c>
      <c r="C56" s="253"/>
      <c r="D56" s="254" t="s">
        <v>63</v>
      </c>
      <c r="E56" s="255"/>
      <c r="F56" s="146">
        <f>'Res (100kWh)'!F56</f>
        <v>0.0044</v>
      </c>
      <c r="G56" s="485">
        <f>G54</f>
        <v>1574.2500000000002</v>
      </c>
      <c r="H56" s="290">
        <f aca="true" t="shared" si="9" ref="H56:H63">G56*F56</f>
        <v>6.926700000000001</v>
      </c>
      <c r="I56" s="269"/>
      <c r="J56" s="479">
        <f>'Res (100kWh)'!J56</f>
        <v>0.0036</v>
      </c>
      <c r="K56" s="486">
        <f>K54</f>
        <v>1574.2500000000002</v>
      </c>
      <c r="L56" s="258">
        <f aca="true" t="shared" si="10" ref="L56:L63">K56*J56</f>
        <v>5.667300000000001</v>
      </c>
      <c r="M56" s="259"/>
      <c r="N56" s="261">
        <f t="shared" si="2"/>
        <v>-1.2594000000000003</v>
      </c>
      <c r="O56" s="262">
        <f t="shared" si="8"/>
        <v>-0.18181818181818182</v>
      </c>
    </row>
    <row r="57" spans="2:15" s="252" customFormat="1" ht="15">
      <c r="B57" s="265" t="s">
        <v>34</v>
      </c>
      <c r="C57" s="253"/>
      <c r="D57" s="254" t="s">
        <v>63</v>
      </c>
      <c r="E57" s="255"/>
      <c r="F57" s="146">
        <f>'Res (100kWh)'!F57</f>
        <v>0.0013</v>
      </c>
      <c r="G57" s="485">
        <f>G54</f>
        <v>1574.2500000000002</v>
      </c>
      <c r="H57" s="290">
        <f t="shared" si="9"/>
        <v>2.0465250000000004</v>
      </c>
      <c r="I57" s="269"/>
      <c r="J57" s="145">
        <f>'Res (100kWh)'!J57</f>
        <v>0.0013</v>
      </c>
      <c r="K57" s="486">
        <f>K54</f>
        <v>1574.2500000000002</v>
      </c>
      <c r="L57" s="258">
        <f t="shared" si="10"/>
        <v>2.0465250000000004</v>
      </c>
      <c r="M57" s="259"/>
      <c r="N57" s="261">
        <f t="shared" si="2"/>
        <v>0</v>
      </c>
      <c r="O57" s="262">
        <f t="shared" si="8"/>
        <v>0</v>
      </c>
    </row>
    <row r="58" spans="2:15" s="252" customFormat="1" ht="15">
      <c r="B58" s="265" t="s">
        <v>121</v>
      </c>
      <c r="C58" s="253"/>
      <c r="D58" s="254" t="s">
        <v>63</v>
      </c>
      <c r="E58" s="255"/>
      <c r="F58" s="146">
        <f>'Res (100kWh)'!F58</f>
        <v>0</v>
      </c>
      <c r="G58" s="485">
        <f>G54</f>
        <v>1574.2500000000002</v>
      </c>
      <c r="H58" s="290">
        <f t="shared" si="9"/>
        <v>0</v>
      </c>
      <c r="I58" s="269"/>
      <c r="J58" s="479">
        <f>'Res (100kWh)'!J58</f>
        <v>0.0011</v>
      </c>
      <c r="K58" s="486">
        <f>K54</f>
        <v>1574.2500000000002</v>
      </c>
      <c r="L58" s="258">
        <f t="shared" si="10"/>
        <v>1.7316750000000003</v>
      </c>
      <c r="M58" s="259"/>
      <c r="N58" s="261">
        <f t="shared" si="2"/>
        <v>1.7316750000000003</v>
      </c>
      <c r="O58" s="262">
        <f t="shared" si="8"/>
      </c>
    </row>
    <row r="59" spans="2:15" s="252" customFormat="1" ht="14.25" customHeight="1">
      <c r="B59" s="253" t="s">
        <v>35</v>
      </c>
      <c r="C59" s="253"/>
      <c r="D59" s="254" t="s">
        <v>62</v>
      </c>
      <c r="E59" s="255"/>
      <c r="F59" s="413">
        <f>'Res (100kWh)'!F59</f>
        <v>0.25</v>
      </c>
      <c r="G59" s="257">
        <v>1</v>
      </c>
      <c r="H59" s="290">
        <f t="shared" si="9"/>
        <v>0.25</v>
      </c>
      <c r="I59" s="269"/>
      <c r="J59" s="414">
        <f>'Res (100kWh)'!J59</f>
        <v>0.25</v>
      </c>
      <c r="K59" s="260">
        <v>1</v>
      </c>
      <c r="L59" s="258">
        <f t="shared" si="10"/>
        <v>0.25</v>
      </c>
      <c r="M59" s="259"/>
      <c r="N59" s="261">
        <f t="shared" si="2"/>
        <v>0</v>
      </c>
      <c r="O59" s="262">
        <f t="shared" si="8"/>
        <v>0</v>
      </c>
    </row>
    <row r="60" spans="2:15" s="252" customFormat="1" ht="15">
      <c r="B60" s="253" t="s">
        <v>36</v>
      </c>
      <c r="C60" s="253"/>
      <c r="D60" s="254" t="s">
        <v>63</v>
      </c>
      <c r="E60" s="255"/>
      <c r="F60" s="146">
        <f>'Res (100kWh)'!F60</f>
        <v>0.007</v>
      </c>
      <c r="G60" s="302">
        <f>F18</f>
        <v>1500</v>
      </c>
      <c r="H60" s="290">
        <f t="shared" si="9"/>
        <v>10.5</v>
      </c>
      <c r="I60" s="269"/>
      <c r="J60" s="145">
        <f>'Res (100kWh)'!J60</f>
        <v>0</v>
      </c>
      <c r="K60" s="303">
        <f>F18</f>
        <v>1500</v>
      </c>
      <c r="L60" s="258">
        <f t="shared" si="10"/>
        <v>0</v>
      </c>
      <c r="M60" s="259"/>
      <c r="N60" s="261">
        <f t="shared" si="2"/>
        <v>-10.5</v>
      </c>
      <c r="O60" s="262">
        <f t="shared" si="8"/>
        <v>-1</v>
      </c>
    </row>
    <row r="61" spans="2:19" s="252" customFormat="1" ht="15">
      <c r="B61" s="384" t="s">
        <v>37</v>
      </c>
      <c r="C61" s="253"/>
      <c r="D61" s="254" t="s">
        <v>63</v>
      </c>
      <c r="E61" s="255"/>
      <c r="F61" s="146">
        <f>'Res (100kWh)'!F61</f>
        <v>0.08</v>
      </c>
      <c r="G61" s="302">
        <f>0.64*$F$18</f>
        <v>960</v>
      </c>
      <c r="H61" s="258">
        <f t="shared" si="9"/>
        <v>76.8</v>
      </c>
      <c r="I61" s="259"/>
      <c r="J61" s="146">
        <f>'Res (100kWh)'!J61</f>
        <v>0.08</v>
      </c>
      <c r="K61" s="302">
        <f>G61</f>
        <v>960</v>
      </c>
      <c r="L61" s="258">
        <f t="shared" si="10"/>
        <v>76.8</v>
      </c>
      <c r="M61" s="259"/>
      <c r="N61" s="261">
        <f t="shared" si="2"/>
        <v>0</v>
      </c>
      <c r="O61" s="262">
        <f t="shared" si="8"/>
        <v>0</v>
      </c>
      <c r="S61" s="304"/>
    </row>
    <row r="62" spans="2:19" s="252" customFormat="1" ht="15">
      <c r="B62" s="384" t="s">
        <v>38</v>
      </c>
      <c r="C62" s="253"/>
      <c r="D62" s="254" t="s">
        <v>63</v>
      </c>
      <c r="E62" s="255"/>
      <c r="F62" s="146">
        <f>'Res (100kWh)'!F62</f>
        <v>0.122</v>
      </c>
      <c r="G62" s="302">
        <f>0.18*$F$18</f>
        <v>270</v>
      </c>
      <c r="H62" s="258">
        <f t="shared" si="9"/>
        <v>32.94</v>
      </c>
      <c r="I62" s="259"/>
      <c r="J62" s="146">
        <f>'Res (100kWh)'!J62</f>
        <v>0.122</v>
      </c>
      <c r="K62" s="302">
        <f>G62</f>
        <v>270</v>
      </c>
      <c r="L62" s="258">
        <f t="shared" si="10"/>
        <v>32.94</v>
      </c>
      <c r="M62" s="259"/>
      <c r="N62" s="261">
        <f t="shared" si="2"/>
        <v>0</v>
      </c>
      <c r="O62" s="262">
        <f t="shared" si="8"/>
        <v>0</v>
      </c>
      <c r="S62" s="304"/>
    </row>
    <row r="63" spans="2:19" s="252" customFormat="1" ht="15">
      <c r="B63" s="373" t="s">
        <v>39</v>
      </c>
      <c r="C63" s="253"/>
      <c r="D63" s="254" t="s">
        <v>63</v>
      </c>
      <c r="E63" s="255"/>
      <c r="F63" s="146">
        <f>'Res (100kWh)'!F63</f>
        <v>0.161</v>
      </c>
      <c r="G63" s="302">
        <f>0.18*$F$18</f>
        <v>270</v>
      </c>
      <c r="H63" s="258">
        <f t="shared" si="9"/>
        <v>43.47</v>
      </c>
      <c r="I63" s="259"/>
      <c r="J63" s="146">
        <f>'Res (100kWh)'!J63</f>
        <v>0.161</v>
      </c>
      <c r="K63" s="302">
        <f>G63</f>
        <v>270</v>
      </c>
      <c r="L63" s="258">
        <f t="shared" si="10"/>
        <v>43.47</v>
      </c>
      <c r="M63" s="259"/>
      <c r="N63" s="261">
        <f t="shared" si="2"/>
        <v>0</v>
      </c>
      <c r="O63" s="262">
        <f t="shared" si="8"/>
        <v>0</v>
      </c>
      <c r="S63" s="304"/>
    </row>
    <row r="64" spans="2:15" s="390" customFormat="1" ht="15">
      <c r="B64" s="387" t="s">
        <v>40</v>
      </c>
      <c r="C64" s="387"/>
      <c r="D64" s="388" t="s">
        <v>63</v>
      </c>
      <c r="E64" s="389"/>
      <c r="F64" s="146">
        <f>'Res (100kWh)'!F64</f>
        <v>0.094</v>
      </c>
      <c r="G64" s="305">
        <f>IF(AND($T$1=1,F18&gt;=600),600,IF(AND($T$1=1,AND(F18&lt;600,F18&gt;=0)),F18,IF(AND($T$1=2,F18&gt;=1000),1000,IF(AND($T$1=2,AND(F18&lt;1000,F18&gt;=0)),F18))))</f>
        <v>600</v>
      </c>
      <c r="H64" s="258">
        <f>G64*F64</f>
        <v>56.4</v>
      </c>
      <c r="I64" s="306"/>
      <c r="J64" s="146">
        <f>'Res (100kWh)'!J64</f>
        <v>0.094</v>
      </c>
      <c r="K64" s="305">
        <f>G64</f>
        <v>600</v>
      </c>
      <c r="L64" s="258">
        <f>K64*J64</f>
        <v>56.4</v>
      </c>
      <c r="M64" s="306"/>
      <c r="N64" s="261">
        <f t="shared" si="2"/>
        <v>0</v>
      </c>
      <c r="O64" s="262">
        <f t="shared" si="8"/>
        <v>0</v>
      </c>
    </row>
    <row r="65" spans="2:15" s="390" customFormat="1" ht="15.75" thickBot="1">
      <c r="B65" s="387" t="s">
        <v>41</v>
      </c>
      <c r="C65" s="387"/>
      <c r="D65" s="388" t="s">
        <v>63</v>
      </c>
      <c r="E65" s="389"/>
      <c r="F65" s="146">
        <f>'Res (100kWh)'!F65</f>
        <v>0.11</v>
      </c>
      <c r="G65" s="305">
        <f>IF(AND($T$1=1,F18&gt;=600),F18-600,IF(AND($T$1=1,AND(F18&lt;600,F18&gt;=0)),0,IF(AND($T$1=2,F18&gt;=1000),F18-1000,IF(AND($T$1=2,AND(F18&lt;1000,F18&gt;=0)),0))))</f>
        <v>900</v>
      </c>
      <c r="H65" s="258">
        <f>G65*F65</f>
        <v>99</v>
      </c>
      <c r="I65" s="306"/>
      <c r="J65" s="146">
        <f>'Res (100kWh)'!J65</f>
        <v>0.11</v>
      </c>
      <c r="K65" s="305">
        <f>G65</f>
        <v>900</v>
      </c>
      <c r="L65" s="258">
        <f>K65*J65</f>
        <v>99</v>
      </c>
      <c r="M65" s="306"/>
      <c r="N65" s="261">
        <f t="shared" si="2"/>
        <v>0</v>
      </c>
      <c r="O65" s="262">
        <f t="shared" si="8"/>
        <v>0</v>
      </c>
    </row>
    <row r="66" spans="2:15" s="252" customFormat="1" ht="8.25" customHeight="1" thickBot="1">
      <c r="B66" s="391"/>
      <c r="C66" s="307"/>
      <c r="D66" s="308"/>
      <c r="E66" s="307"/>
      <c r="F66" s="309"/>
      <c r="G66" s="310"/>
      <c r="H66" s="311"/>
      <c r="I66" s="312"/>
      <c r="J66" s="157"/>
      <c r="K66" s="313"/>
      <c r="L66" s="311"/>
      <c r="M66" s="312"/>
      <c r="N66" s="314"/>
      <c r="O66" s="315"/>
    </row>
    <row r="67" spans="2:19" s="252" customFormat="1" ht="15">
      <c r="B67" s="392" t="s">
        <v>42</v>
      </c>
      <c r="C67" s="253"/>
      <c r="D67" s="253"/>
      <c r="E67" s="253"/>
      <c r="F67" s="316"/>
      <c r="G67" s="317"/>
      <c r="H67" s="318">
        <f>SUM(H56:H63,H55)</f>
        <v>229.57459500000002</v>
      </c>
      <c r="I67" s="319"/>
      <c r="J67" s="197"/>
      <c r="K67" s="320"/>
      <c r="L67" s="321">
        <f>SUM(L56:L63,L55)</f>
        <v>233.82734500000004</v>
      </c>
      <c r="M67" s="322"/>
      <c r="N67" s="323">
        <f>L67-H67</f>
        <v>4.25275000000002</v>
      </c>
      <c r="O67" s="393">
        <f>IF((H67)=0,"",(N67/H67))</f>
        <v>0.018524480027940462</v>
      </c>
      <c r="S67" s="304"/>
    </row>
    <row r="68" spans="2:19" s="252" customFormat="1" ht="15">
      <c r="B68" s="394" t="s">
        <v>43</v>
      </c>
      <c r="C68" s="253"/>
      <c r="D68" s="253"/>
      <c r="E68" s="253"/>
      <c r="F68" s="324">
        <v>0.13</v>
      </c>
      <c r="G68" s="325"/>
      <c r="H68" s="326">
        <f>H67*F68</f>
        <v>29.844697350000004</v>
      </c>
      <c r="I68" s="327"/>
      <c r="J68" s="203">
        <v>0.13</v>
      </c>
      <c r="K68" s="327"/>
      <c r="L68" s="329">
        <f>L67*J68</f>
        <v>30.397554850000006</v>
      </c>
      <c r="M68" s="330"/>
      <c r="N68" s="261">
        <f t="shared" si="2"/>
        <v>0.5528575000000018</v>
      </c>
      <c r="O68" s="395">
        <f t="shared" si="8"/>
        <v>0.01852448002794043</v>
      </c>
      <c r="S68" s="304"/>
    </row>
    <row r="69" spans="2:19" s="252" customFormat="1" ht="15">
      <c r="B69" s="396" t="s">
        <v>127</v>
      </c>
      <c r="C69" s="253"/>
      <c r="D69" s="253"/>
      <c r="E69" s="253"/>
      <c r="F69" s="331"/>
      <c r="G69" s="325"/>
      <c r="H69" s="326">
        <f>H67+H68</f>
        <v>259.41929235000003</v>
      </c>
      <c r="I69" s="327"/>
      <c r="J69" s="202"/>
      <c r="K69" s="327"/>
      <c r="L69" s="329">
        <f>L67+L68</f>
        <v>264.22489985000004</v>
      </c>
      <c r="M69" s="330"/>
      <c r="N69" s="261">
        <f t="shared" si="2"/>
        <v>4.805607500000008</v>
      </c>
      <c r="O69" s="395">
        <f t="shared" si="8"/>
        <v>0.018524480027940403</v>
      </c>
      <c r="S69" s="304"/>
    </row>
    <row r="70" spans="2:15" s="252" customFormat="1" ht="15.75" customHeight="1">
      <c r="B70" s="554" t="s">
        <v>128</v>
      </c>
      <c r="C70" s="554"/>
      <c r="D70" s="554"/>
      <c r="E70" s="253"/>
      <c r="F70" s="331"/>
      <c r="G70" s="325"/>
      <c r="H70" s="332">
        <f>ROUND(-H69*10%,2)</f>
        <v>-25.94</v>
      </c>
      <c r="I70" s="327"/>
      <c r="J70" s="202"/>
      <c r="K70" s="327"/>
      <c r="L70" s="333">
        <v>0</v>
      </c>
      <c r="M70" s="330"/>
      <c r="N70" s="261">
        <f t="shared" si="2"/>
        <v>25.94</v>
      </c>
      <c r="O70" s="397">
        <f t="shared" si="8"/>
        <v>-1</v>
      </c>
    </row>
    <row r="71" spans="2:15" s="252" customFormat="1" ht="15.75" thickBot="1">
      <c r="B71" s="555" t="s">
        <v>46</v>
      </c>
      <c r="C71" s="555"/>
      <c r="D71" s="555"/>
      <c r="E71" s="334"/>
      <c r="F71" s="335"/>
      <c r="G71" s="336"/>
      <c r="H71" s="337">
        <f>H69+H70</f>
        <v>233.47929235000004</v>
      </c>
      <c r="I71" s="338"/>
      <c r="J71" s="338"/>
      <c r="K71" s="338"/>
      <c r="L71" s="339">
        <f>L69+L70</f>
        <v>264.22489985000004</v>
      </c>
      <c r="M71" s="340"/>
      <c r="N71" s="341">
        <f t="shared" si="2"/>
        <v>30.745607500000006</v>
      </c>
      <c r="O71" s="398">
        <f t="shared" si="8"/>
        <v>0.13168451553258273</v>
      </c>
    </row>
    <row r="72" spans="2:15" s="390" customFormat="1" ht="8.25" customHeight="1" thickBot="1">
      <c r="B72" s="399"/>
      <c r="C72" s="400"/>
      <c r="D72" s="401"/>
      <c r="E72" s="400"/>
      <c r="F72" s="309"/>
      <c r="G72" s="342"/>
      <c r="H72" s="311"/>
      <c r="I72" s="343"/>
      <c r="J72" s="309"/>
      <c r="K72" s="344"/>
      <c r="L72" s="311"/>
      <c r="M72" s="343"/>
      <c r="N72" s="345"/>
      <c r="O72" s="315"/>
    </row>
    <row r="73" spans="2:15" s="390" customFormat="1" ht="15">
      <c r="B73" s="402" t="s">
        <v>47</v>
      </c>
      <c r="C73" s="387"/>
      <c r="D73" s="387"/>
      <c r="E73" s="387"/>
      <c r="F73" s="346"/>
      <c r="G73" s="347"/>
      <c r="H73" s="348">
        <f>SUM(H64:H65,H55,H56:H60)</f>
        <v>231.76459500000004</v>
      </c>
      <c r="I73" s="349"/>
      <c r="J73" s="350"/>
      <c r="K73" s="350"/>
      <c r="L73" s="351">
        <f>SUM(L64:L65,L55,L56:L60)</f>
        <v>236.01734500000006</v>
      </c>
      <c r="M73" s="352"/>
      <c r="N73" s="323">
        <f>L73-H73</f>
        <v>4.25275000000002</v>
      </c>
      <c r="O73" s="393">
        <f>IF((H73)=0,"",(N73/H73))</f>
        <v>0.01834943771286559</v>
      </c>
    </row>
    <row r="74" spans="2:15" s="390" customFormat="1" ht="15">
      <c r="B74" s="403" t="s">
        <v>43</v>
      </c>
      <c r="C74" s="387"/>
      <c r="D74" s="387"/>
      <c r="E74" s="387"/>
      <c r="F74" s="353">
        <v>0.13</v>
      </c>
      <c r="G74" s="347"/>
      <c r="H74" s="354">
        <f>H73*F74</f>
        <v>30.129397350000005</v>
      </c>
      <c r="I74" s="355"/>
      <c r="J74" s="353">
        <v>0.13</v>
      </c>
      <c r="K74" s="356"/>
      <c r="L74" s="357">
        <f>L73*J74</f>
        <v>30.68225485000001</v>
      </c>
      <c r="M74" s="358"/>
      <c r="N74" s="261">
        <f>L74-H74</f>
        <v>0.5528575000000053</v>
      </c>
      <c r="O74" s="395">
        <f>IF((H74)=0,"",(N74/H74))</f>
        <v>0.01834943771286568</v>
      </c>
    </row>
    <row r="75" spans="2:15" s="390" customFormat="1" ht="15">
      <c r="B75" s="404" t="s">
        <v>127</v>
      </c>
      <c r="C75" s="387"/>
      <c r="D75" s="387"/>
      <c r="E75" s="387"/>
      <c r="F75" s="359"/>
      <c r="G75" s="358"/>
      <c r="H75" s="354">
        <f>H73+H74</f>
        <v>261.8939923500001</v>
      </c>
      <c r="I75" s="355"/>
      <c r="J75" s="355"/>
      <c r="K75" s="355"/>
      <c r="L75" s="357">
        <f>L73+L74</f>
        <v>266.6995998500001</v>
      </c>
      <c r="M75" s="358"/>
      <c r="N75" s="261">
        <f>L75-H75</f>
        <v>4.805607500000008</v>
      </c>
      <c r="O75" s="395">
        <f>IF((H75)=0,"",(N75/H75))</f>
        <v>0.01834943771286553</v>
      </c>
    </row>
    <row r="76" spans="2:15" s="390" customFormat="1" ht="15.75" customHeight="1">
      <c r="B76" s="556" t="s">
        <v>128</v>
      </c>
      <c r="C76" s="556"/>
      <c r="D76" s="556"/>
      <c r="E76" s="387"/>
      <c r="F76" s="359"/>
      <c r="G76" s="358"/>
      <c r="H76" s="360">
        <f>ROUND(-H75*10%,2)</f>
        <v>-26.19</v>
      </c>
      <c r="I76" s="355"/>
      <c r="J76" s="355"/>
      <c r="K76" s="355"/>
      <c r="L76" s="361">
        <v>0</v>
      </c>
      <c r="M76" s="358"/>
      <c r="N76" s="261">
        <f>L76-H76</f>
        <v>26.19</v>
      </c>
      <c r="O76" s="397">
        <f>IF((H76)=0,"",(N76/H76))</f>
        <v>-1</v>
      </c>
    </row>
    <row r="77" spans="2:15" s="390" customFormat="1" ht="15.75" thickBot="1">
      <c r="B77" s="547" t="s">
        <v>48</v>
      </c>
      <c r="C77" s="547"/>
      <c r="D77" s="547"/>
      <c r="E77" s="405"/>
      <c r="F77" s="362"/>
      <c r="G77" s="363"/>
      <c r="H77" s="364">
        <f>SUM(H75:H76)</f>
        <v>235.70399235000008</v>
      </c>
      <c r="I77" s="365"/>
      <c r="J77" s="365"/>
      <c r="K77" s="365"/>
      <c r="L77" s="366">
        <f>SUM(L75:L76)</f>
        <v>266.6995998500001</v>
      </c>
      <c r="M77" s="367"/>
      <c r="N77" s="341">
        <f>L77-H77</f>
        <v>30.995607500000006</v>
      </c>
      <c r="O77" s="406">
        <f>IF((H77)=0,"",(N77/H77))</f>
        <v>0.1315022592149148</v>
      </c>
    </row>
    <row r="78" spans="2:15" s="390" customFormat="1" ht="8.25" customHeight="1" thickBot="1">
      <c r="B78" s="399"/>
      <c r="C78" s="400"/>
      <c r="D78" s="401"/>
      <c r="E78" s="400"/>
      <c r="F78" s="368"/>
      <c r="G78" s="407"/>
      <c r="H78" s="369"/>
      <c r="I78" s="408"/>
      <c r="J78" s="368"/>
      <c r="K78" s="342"/>
      <c r="L78" s="370"/>
      <c r="M78" s="343"/>
      <c r="N78" s="409"/>
      <c r="O78" s="315"/>
    </row>
    <row r="79" s="252" customFormat="1" ht="10.5" customHeight="1">
      <c r="L79" s="304"/>
    </row>
    <row r="80" spans="2:10" s="252" customFormat="1" ht="15">
      <c r="B80" s="410" t="s">
        <v>49</v>
      </c>
      <c r="F80" s="424">
        <f>'Res (100kWh)'!F80</f>
        <v>0.0495</v>
      </c>
      <c r="G80" s="141"/>
      <c r="H80" s="141"/>
      <c r="I80" s="141"/>
      <c r="J80" s="424">
        <f>'Res (100kWh)'!J80</f>
        <v>0.0495</v>
      </c>
    </row>
    <row r="81" s="252" customFormat="1" ht="10.5" customHeight="1"/>
    <row r="82" spans="2:15" s="252" customFormat="1" ht="15">
      <c r="B82" s="470" t="s">
        <v>137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pans="2:15" s="252" customFormat="1" ht="15">
      <c r="B83" s="470" t="s">
        <v>136</v>
      </c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</row>
    <row r="84" s="252" customFormat="1" ht="17.25">
      <c r="A84" s="411" t="s">
        <v>129</v>
      </c>
    </row>
    <row r="85" s="252" customFormat="1" ht="10.5" customHeight="1"/>
    <row r="86" s="252" customFormat="1" ht="15">
      <c r="A86" s="252" t="s">
        <v>51</v>
      </c>
    </row>
    <row r="87" s="252" customFormat="1" ht="15">
      <c r="A87" s="252" t="s">
        <v>52</v>
      </c>
    </row>
    <row r="88" s="252" customFormat="1" ht="15"/>
    <row r="89" s="252" customFormat="1" ht="15">
      <c r="A89" s="373" t="s">
        <v>53</v>
      </c>
    </row>
    <row r="90" s="252" customFormat="1" ht="15">
      <c r="A90" s="373" t="s">
        <v>54</v>
      </c>
    </row>
    <row r="91" s="252" customFormat="1" ht="15"/>
    <row r="92" s="252" customFormat="1" ht="15">
      <c r="A92" s="252" t="s">
        <v>55</v>
      </c>
    </row>
    <row r="93" s="252" customFormat="1" ht="15">
      <c r="A93" s="252" t="s">
        <v>56</v>
      </c>
    </row>
    <row r="94" s="252" customFormat="1" ht="15">
      <c r="A94" s="252" t="s">
        <v>57</v>
      </c>
    </row>
    <row r="95" s="252" customFormat="1" ht="15">
      <c r="A95" s="252" t="s">
        <v>58</v>
      </c>
    </row>
    <row r="96" s="252" customFormat="1" ht="15">
      <c r="A96" s="252" t="s">
        <v>59</v>
      </c>
    </row>
    <row r="97" s="252" customFormat="1" ht="15"/>
    <row r="98" spans="1:2" s="252" customFormat="1" ht="15">
      <c r="A98" s="372"/>
      <c r="B98" s="252" t="s">
        <v>60</v>
      </c>
    </row>
    <row r="99" s="252" customFormat="1" ht="15"/>
    <row r="100" s="252" customFormat="1" ht="15"/>
  </sheetData>
  <sheetProtection/>
  <mergeCells count="21">
    <mergeCell ref="B77:D77"/>
    <mergeCell ref="D21:D22"/>
    <mergeCell ref="N21:N22"/>
    <mergeCell ref="O21:O22"/>
    <mergeCell ref="B70:D70"/>
    <mergeCell ref="B71:D71"/>
    <mergeCell ref="B76:D76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8 E72 E64:E65">
      <formula1>'Res (1,500kWh)'!#REF!</formula1>
    </dataValidation>
    <dataValidation type="list" allowBlank="1" showInputMessage="1" showErrorMessage="1" prompt="Select Charge Unit - monthly, per kWh, per kW" sqref="D53:D54 D72 D78 D56:D66 D23:D40 D42:D51">
      <formula1>"Monthly, per kWh, per kW"</formula1>
    </dataValidation>
    <dataValidation type="list" allowBlank="1" showInputMessage="1" showErrorMessage="1" sqref="E53:E54 E42:E51 E66 E23:E40 E56:E63">
      <formula1>'Res (1,500kWh)'!#REF!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8"/>
  <sheetViews>
    <sheetView showGridLines="0" zoomScalePageLayoutView="0" workbookViewId="0" topLeftCell="A1">
      <selection activeCell="N7" sqref="N7:O7"/>
    </sheetView>
  </sheetViews>
  <sheetFormatPr defaultColWidth="9.140625" defaultRowHeight="15"/>
  <cols>
    <col min="1" max="1" width="2.140625" style="8" customWidth="1"/>
    <col min="2" max="2" width="58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22" t="s">
        <v>123</v>
      </c>
      <c r="O1" s="522"/>
      <c r="P1" s="20"/>
      <c r="T1" s="86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23"/>
      <c r="O2" s="523"/>
      <c r="P2" s="21"/>
    </row>
    <row r="3" spans="1:16" s="2" customFormat="1" ht="1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3" t="s">
        <v>76</v>
      </c>
      <c r="N3" s="524" t="s">
        <v>122</v>
      </c>
      <c r="O3" s="524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23">
        <v>7</v>
      </c>
      <c r="O4" s="523"/>
      <c r="P4" s="21"/>
    </row>
    <row r="5" spans="3:16" s="2" customFormat="1" ht="15" customHeight="1">
      <c r="C5" s="7"/>
      <c r="D5" s="7"/>
      <c r="E5" s="7"/>
      <c r="L5" s="3" t="s">
        <v>77</v>
      </c>
      <c r="N5" s="525" t="s">
        <v>83</v>
      </c>
      <c r="O5" s="525"/>
      <c r="P5" s="20"/>
    </row>
    <row r="6" spans="12:16" s="2" customFormat="1" ht="9" customHeight="1">
      <c r="L6" s="3"/>
      <c r="N6" s="543"/>
      <c r="O6" s="543"/>
      <c r="P6" s="23"/>
    </row>
    <row r="7" spans="12:16" s="2" customFormat="1" ht="15">
      <c r="L7" s="3" t="s">
        <v>145</v>
      </c>
      <c r="N7" s="526">
        <v>42412</v>
      </c>
      <c r="O7" s="525"/>
      <c r="P7" s="20"/>
    </row>
    <row r="8" spans="14:16" s="2" customFormat="1" ht="15" customHeight="1">
      <c r="N8" s="8"/>
      <c r="O8"/>
      <c r="P8"/>
    </row>
    <row r="9" spans="12:16" ht="7.5" customHeight="1">
      <c r="L9"/>
      <c r="M9"/>
      <c r="N9"/>
      <c r="O9"/>
      <c r="P9"/>
    </row>
    <row r="10" spans="2:16" ht="18.75" customHeight="1">
      <c r="B10" s="528" t="s">
        <v>3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/>
    </row>
    <row r="11" spans="2:16" ht="18.75" customHeight="1">
      <c r="B11" s="528" t="s">
        <v>148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29" t="s">
        <v>61</v>
      </c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2000</v>
      </c>
      <c r="G18" s="14" t="s">
        <v>9</v>
      </c>
    </row>
    <row r="19" ht="15">
      <c r="B19" s="13"/>
    </row>
    <row r="20" spans="2:15" s="90" customFormat="1" ht="15">
      <c r="B20" s="93"/>
      <c r="D20" s="178"/>
      <c r="E20" s="178"/>
      <c r="F20" s="530" t="s">
        <v>10</v>
      </c>
      <c r="G20" s="531"/>
      <c r="H20" s="532"/>
      <c r="J20" s="530" t="s">
        <v>11</v>
      </c>
      <c r="K20" s="531"/>
      <c r="L20" s="532"/>
      <c r="N20" s="530" t="s">
        <v>12</v>
      </c>
      <c r="O20" s="532"/>
    </row>
    <row r="21" spans="2:15" s="90" customFormat="1" ht="15">
      <c r="B21" s="93"/>
      <c r="D21" s="534" t="s">
        <v>13</v>
      </c>
      <c r="E21" s="177"/>
      <c r="F21" s="179" t="s">
        <v>14</v>
      </c>
      <c r="G21" s="179" t="s">
        <v>15</v>
      </c>
      <c r="H21" s="180" t="s">
        <v>16</v>
      </c>
      <c r="J21" s="179" t="s">
        <v>14</v>
      </c>
      <c r="K21" s="181" t="s">
        <v>15</v>
      </c>
      <c r="L21" s="180" t="s">
        <v>16</v>
      </c>
      <c r="N21" s="536" t="s">
        <v>17</v>
      </c>
      <c r="O21" s="538" t="s">
        <v>18</v>
      </c>
    </row>
    <row r="22" spans="2:15" s="90" customFormat="1" ht="15">
      <c r="B22" s="93"/>
      <c r="D22" s="535"/>
      <c r="E22" s="177"/>
      <c r="F22" s="182" t="s">
        <v>19</v>
      </c>
      <c r="G22" s="182"/>
      <c r="H22" s="183" t="s">
        <v>19</v>
      </c>
      <c r="J22" s="182" t="s">
        <v>19</v>
      </c>
      <c r="K22" s="183"/>
      <c r="L22" s="183" t="s">
        <v>19</v>
      </c>
      <c r="N22" s="537"/>
      <c r="O22" s="539"/>
    </row>
    <row r="23" spans="2:15" s="90" customFormat="1" ht="15">
      <c r="B23" s="94" t="s">
        <v>20</v>
      </c>
      <c r="C23" s="94"/>
      <c r="D23" s="117" t="s">
        <v>62</v>
      </c>
      <c r="E23" s="118"/>
      <c r="F23" s="413">
        <f>'Res (100kWh)'!F23</f>
        <v>11.22</v>
      </c>
      <c r="G23" s="120">
        <v>1</v>
      </c>
      <c r="H23" s="121">
        <f>G23*F23</f>
        <v>11.22</v>
      </c>
      <c r="I23" s="103"/>
      <c r="J23" s="481">
        <f>'Res (100kWh)'!J23</f>
        <v>15.59</v>
      </c>
      <c r="K23" s="122">
        <v>1</v>
      </c>
      <c r="L23" s="121">
        <f>K23*J23</f>
        <v>15.59</v>
      </c>
      <c r="M23" s="103"/>
      <c r="N23" s="249">
        <f>L23-H23</f>
        <v>4.369999999999999</v>
      </c>
      <c r="O23" s="124">
        <f>IF((H23)=0,"",(N23/H23))</f>
        <v>0.3894830659536541</v>
      </c>
    </row>
    <row r="24" spans="2:15" s="90" customFormat="1" ht="22.5" customHeight="1" hidden="1">
      <c r="B24" s="94" t="s">
        <v>92</v>
      </c>
      <c r="C24" s="94"/>
      <c r="D24" s="117" t="s">
        <v>62</v>
      </c>
      <c r="E24" s="118"/>
      <c r="F24" s="422">
        <f>'Res (100kWh)'!F24</f>
        <v>0</v>
      </c>
      <c r="G24" s="120">
        <v>1</v>
      </c>
      <c r="H24" s="121">
        <f>G24*F24</f>
        <v>0</v>
      </c>
      <c r="I24" s="103"/>
      <c r="J24" s="414">
        <v>0</v>
      </c>
      <c r="K24" s="122">
        <v>1</v>
      </c>
      <c r="L24" s="121">
        <f>K24*J24</f>
        <v>0</v>
      </c>
      <c r="M24" s="103"/>
      <c r="N24" s="249">
        <f>L24-H24</f>
        <v>0</v>
      </c>
      <c r="O24" s="124">
        <f>IF((H24)=0,"",(N24/H24))</f>
      </c>
    </row>
    <row r="25" spans="2:15" s="90" customFormat="1" ht="15" customHeight="1" hidden="1">
      <c r="B25" s="95" t="s">
        <v>111</v>
      </c>
      <c r="C25" s="94"/>
      <c r="D25" s="127" t="s">
        <v>62</v>
      </c>
      <c r="E25" s="118"/>
      <c r="F25" s="414">
        <v>0</v>
      </c>
      <c r="G25" s="120">
        <v>1</v>
      </c>
      <c r="H25" s="121">
        <f>G25*F25</f>
        <v>0</v>
      </c>
      <c r="I25" s="103"/>
      <c r="J25" s="145">
        <v>0</v>
      </c>
      <c r="K25" s="122">
        <v>1</v>
      </c>
      <c r="L25" s="121">
        <f>K25*J25</f>
        <v>0</v>
      </c>
      <c r="M25" s="103"/>
      <c r="N25" s="249">
        <f>L25-H25</f>
        <v>0</v>
      </c>
      <c r="O25" s="124">
        <f>IF((H25)=0,"",(N25/H25))</f>
      </c>
    </row>
    <row r="26" spans="2:15" s="90" customFormat="1" ht="30">
      <c r="B26" s="419" t="s">
        <v>64</v>
      </c>
      <c r="C26" s="94"/>
      <c r="D26" s="127" t="s">
        <v>62</v>
      </c>
      <c r="E26" s="129"/>
      <c r="F26" s="414">
        <f>'Res (100kWh)'!F26</f>
        <v>1.75</v>
      </c>
      <c r="G26" s="120">
        <v>1</v>
      </c>
      <c r="H26" s="121">
        <f aca="true" t="shared" si="0" ref="H26:H40">G26*F26</f>
        <v>1.75</v>
      </c>
      <c r="I26" s="103"/>
      <c r="J26" s="414">
        <f>'Res (100kWh)'!J26</f>
        <v>1.75</v>
      </c>
      <c r="K26" s="122">
        <v>1</v>
      </c>
      <c r="L26" s="121">
        <f aca="true" t="shared" si="1" ref="L26:L40">K26*J26</f>
        <v>1.75</v>
      </c>
      <c r="M26" s="103"/>
      <c r="N26" s="249">
        <f aca="true" t="shared" si="2" ref="N26:N71">L26-H26</f>
        <v>0</v>
      </c>
      <c r="O26" s="124">
        <f aca="true" t="shared" si="3" ref="O26:O50">IF((H26)=0,"",(N26/H26))</f>
        <v>0</v>
      </c>
    </row>
    <row r="27" spans="2:15" s="90" customFormat="1" ht="15" hidden="1">
      <c r="B27" s="419" t="s">
        <v>65</v>
      </c>
      <c r="C27" s="94"/>
      <c r="D27" s="117" t="s">
        <v>62</v>
      </c>
      <c r="E27" s="118"/>
      <c r="F27" s="146">
        <f>'Res (100kWh)'!F27</f>
        <v>0</v>
      </c>
      <c r="G27" s="120">
        <v>1</v>
      </c>
      <c r="H27" s="121">
        <f t="shared" si="0"/>
        <v>0</v>
      </c>
      <c r="I27" s="103"/>
      <c r="J27" s="414">
        <f>'Res (100kWh)'!J27</f>
        <v>0</v>
      </c>
      <c r="K27" s="122">
        <v>1</v>
      </c>
      <c r="L27" s="121">
        <f t="shared" si="1"/>
        <v>0</v>
      </c>
      <c r="M27" s="103"/>
      <c r="N27" s="249">
        <f t="shared" si="2"/>
        <v>0</v>
      </c>
      <c r="O27" s="124">
        <f t="shared" si="3"/>
      </c>
    </row>
    <row r="28" spans="2:15" s="90" customFormat="1" ht="15">
      <c r="B28" s="420" t="s">
        <v>66</v>
      </c>
      <c r="C28" s="94"/>
      <c r="D28" s="117" t="s">
        <v>62</v>
      </c>
      <c r="E28" s="118"/>
      <c r="F28" s="146">
        <f>'Res (100kWh)'!F28</f>
        <v>0</v>
      </c>
      <c r="G28" s="120">
        <v>1</v>
      </c>
      <c r="H28" s="121">
        <f t="shared" si="0"/>
        <v>0</v>
      </c>
      <c r="I28" s="103"/>
      <c r="J28" s="477">
        <f>'Res (100kWh)'!J28</f>
        <v>-0.04</v>
      </c>
      <c r="K28" s="120">
        <v>1</v>
      </c>
      <c r="L28" s="121">
        <f t="shared" si="1"/>
        <v>-0.04</v>
      </c>
      <c r="M28" s="103"/>
      <c r="N28" s="249">
        <f t="shared" si="2"/>
        <v>-0.04</v>
      </c>
      <c r="O28" s="124">
        <f t="shared" si="3"/>
      </c>
    </row>
    <row r="29" spans="2:15" s="90" customFormat="1" ht="15">
      <c r="B29" s="118" t="s">
        <v>110</v>
      </c>
      <c r="C29" s="94"/>
      <c r="D29" s="117" t="s">
        <v>63</v>
      </c>
      <c r="E29" s="118"/>
      <c r="F29" s="423">
        <f>'Res (100kWh)'!F29</f>
        <v>0</v>
      </c>
      <c r="G29" s="120">
        <f>$F$18</f>
        <v>2000</v>
      </c>
      <c r="H29" s="121">
        <f t="shared" si="0"/>
        <v>0</v>
      </c>
      <c r="I29" s="103"/>
      <c r="J29" s="479">
        <f>'Res (100kWh)'!J29</f>
        <v>0</v>
      </c>
      <c r="K29" s="120">
        <f>$F$18</f>
        <v>2000</v>
      </c>
      <c r="L29" s="121">
        <f t="shared" si="1"/>
        <v>0</v>
      </c>
      <c r="M29" s="103"/>
      <c r="N29" s="249">
        <f t="shared" si="2"/>
        <v>0</v>
      </c>
      <c r="O29" s="124">
        <f t="shared" si="3"/>
      </c>
    </row>
    <row r="30" spans="2:15" s="90" customFormat="1" ht="15" hidden="1">
      <c r="B30" s="420" t="s">
        <v>93</v>
      </c>
      <c r="C30" s="94"/>
      <c r="D30" s="117" t="s">
        <v>63</v>
      </c>
      <c r="E30" s="118"/>
      <c r="F30" s="146">
        <f>'Res (100kWh)'!F30</f>
        <v>0</v>
      </c>
      <c r="G30" s="120">
        <f>$F$18</f>
        <v>2000</v>
      </c>
      <c r="H30" s="121">
        <f t="shared" si="0"/>
        <v>0</v>
      </c>
      <c r="I30" s="103"/>
      <c r="J30" s="145">
        <f>'Res (100kWh)'!J30</f>
        <v>0</v>
      </c>
      <c r="K30" s="120">
        <f>$F$18</f>
        <v>2000</v>
      </c>
      <c r="L30" s="121">
        <f>K30*J30</f>
        <v>0</v>
      </c>
      <c r="M30" s="103"/>
      <c r="N30" s="249">
        <f>L30-H30</f>
        <v>0</v>
      </c>
      <c r="O30" s="124">
        <f>IF((H30)=0,"",(N30/H30))</f>
      </c>
    </row>
    <row r="31" spans="2:15" s="90" customFormat="1" ht="15">
      <c r="B31" s="118" t="s">
        <v>21</v>
      </c>
      <c r="C31" s="94"/>
      <c r="D31" s="117" t="s">
        <v>63</v>
      </c>
      <c r="E31" s="118"/>
      <c r="F31" s="146">
        <f>'Res (100kWh)'!F31</f>
        <v>0.0211</v>
      </c>
      <c r="G31" s="120">
        <f>$F$18</f>
        <v>2000</v>
      </c>
      <c r="H31" s="121">
        <f t="shared" si="0"/>
        <v>42.2</v>
      </c>
      <c r="I31" s="103"/>
      <c r="J31" s="482">
        <f>'Res (100kWh)'!J31</f>
        <v>0.0158</v>
      </c>
      <c r="K31" s="120">
        <f>$F$18</f>
        <v>2000</v>
      </c>
      <c r="L31" s="121">
        <f t="shared" si="1"/>
        <v>31.6</v>
      </c>
      <c r="M31" s="103"/>
      <c r="N31" s="249">
        <f t="shared" si="2"/>
        <v>-10.600000000000001</v>
      </c>
      <c r="O31" s="124">
        <f t="shared" si="3"/>
        <v>-0.2511848341232228</v>
      </c>
    </row>
    <row r="32" spans="2:15" s="90" customFormat="1" ht="15" hidden="1">
      <c r="B32" s="118" t="s">
        <v>22</v>
      </c>
      <c r="C32" s="94"/>
      <c r="D32" s="117"/>
      <c r="E32" s="118"/>
      <c r="F32" s="130">
        <f>'Res (100kWh)'!F32</f>
        <v>0</v>
      </c>
      <c r="G32" s="120">
        <f>$F$18</f>
        <v>2000</v>
      </c>
      <c r="H32" s="121">
        <f t="shared" si="0"/>
        <v>0</v>
      </c>
      <c r="I32" s="103"/>
      <c r="J32" s="145"/>
      <c r="K32" s="120">
        <f aca="true" t="shared" si="4" ref="K32:K40">$F$18</f>
        <v>2000</v>
      </c>
      <c r="L32" s="121">
        <f t="shared" si="1"/>
        <v>0</v>
      </c>
      <c r="M32" s="103"/>
      <c r="N32" s="123">
        <f t="shared" si="2"/>
        <v>0</v>
      </c>
      <c r="O32" s="124">
        <f t="shared" si="3"/>
      </c>
    </row>
    <row r="33" spans="2:15" s="90" customFormat="1" ht="15" hidden="1">
      <c r="B33" s="118" t="s">
        <v>110</v>
      </c>
      <c r="C33" s="94"/>
      <c r="D33" s="117" t="s">
        <v>63</v>
      </c>
      <c r="E33" s="118"/>
      <c r="F33" s="130">
        <f>'Res (100kWh)'!F33</f>
        <v>0</v>
      </c>
      <c r="G33" s="120">
        <f>$F$18</f>
        <v>2000</v>
      </c>
      <c r="H33" s="121">
        <f t="shared" si="0"/>
        <v>0</v>
      </c>
      <c r="I33" s="103"/>
      <c r="J33" s="145">
        <v>0</v>
      </c>
      <c r="K33" s="120">
        <f t="shared" si="4"/>
        <v>2000</v>
      </c>
      <c r="L33" s="121">
        <f t="shared" si="1"/>
        <v>0</v>
      </c>
      <c r="M33" s="103"/>
      <c r="N33" s="123">
        <f t="shared" si="2"/>
        <v>0</v>
      </c>
      <c r="O33" s="124">
        <f t="shared" si="3"/>
      </c>
    </row>
    <row r="34" spans="2:15" s="90" customFormat="1" ht="15" hidden="1">
      <c r="B34" s="412"/>
      <c r="C34" s="94"/>
      <c r="D34" s="117"/>
      <c r="E34" s="118"/>
      <c r="F34" s="130">
        <f>'Res (100kWh)'!F34</f>
        <v>0</v>
      </c>
      <c r="G34" s="120">
        <f aca="true" t="shared" si="5" ref="G34:G40">$F$18</f>
        <v>2000</v>
      </c>
      <c r="H34" s="121">
        <f t="shared" si="0"/>
        <v>0</v>
      </c>
      <c r="I34" s="103"/>
      <c r="J34" s="145"/>
      <c r="K34" s="120">
        <f t="shared" si="4"/>
        <v>2000</v>
      </c>
      <c r="L34" s="121">
        <f t="shared" si="1"/>
        <v>0</v>
      </c>
      <c r="M34" s="103"/>
      <c r="N34" s="123">
        <f t="shared" si="2"/>
        <v>0</v>
      </c>
      <c r="O34" s="124">
        <f t="shared" si="3"/>
      </c>
    </row>
    <row r="35" spans="2:15" s="90" customFormat="1" ht="15" hidden="1">
      <c r="B35" s="412"/>
      <c r="C35" s="94"/>
      <c r="D35" s="117"/>
      <c r="E35" s="118"/>
      <c r="F35" s="130">
        <f>'Res (100kWh)'!F35</f>
        <v>0</v>
      </c>
      <c r="G35" s="120">
        <f t="shared" si="5"/>
        <v>2000</v>
      </c>
      <c r="H35" s="121">
        <f t="shared" si="0"/>
        <v>0</v>
      </c>
      <c r="I35" s="103"/>
      <c r="J35" s="145"/>
      <c r="K35" s="120">
        <f t="shared" si="4"/>
        <v>2000</v>
      </c>
      <c r="L35" s="121">
        <f t="shared" si="1"/>
        <v>0</v>
      </c>
      <c r="M35" s="103"/>
      <c r="N35" s="123">
        <f t="shared" si="2"/>
        <v>0</v>
      </c>
      <c r="O35" s="124">
        <f t="shared" si="3"/>
      </c>
    </row>
    <row r="36" spans="2:15" s="90" customFormat="1" ht="15" hidden="1">
      <c r="B36" s="412"/>
      <c r="C36" s="94"/>
      <c r="D36" s="117"/>
      <c r="E36" s="118"/>
      <c r="F36" s="130">
        <f>'Res (100kWh)'!F36</f>
        <v>0</v>
      </c>
      <c r="G36" s="120">
        <f t="shared" si="5"/>
        <v>2000</v>
      </c>
      <c r="H36" s="121">
        <f t="shared" si="0"/>
        <v>0</v>
      </c>
      <c r="I36" s="103"/>
      <c r="J36" s="145"/>
      <c r="K36" s="120">
        <f t="shared" si="4"/>
        <v>2000</v>
      </c>
      <c r="L36" s="121">
        <f t="shared" si="1"/>
        <v>0</v>
      </c>
      <c r="M36" s="103"/>
      <c r="N36" s="123">
        <f t="shared" si="2"/>
        <v>0</v>
      </c>
      <c r="O36" s="124">
        <f t="shared" si="3"/>
      </c>
    </row>
    <row r="37" spans="2:15" s="90" customFormat="1" ht="15" hidden="1">
      <c r="B37" s="412"/>
      <c r="C37" s="94"/>
      <c r="D37" s="117"/>
      <c r="E37" s="118"/>
      <c r="F37" s="130">
        <f>'Res (100kWh)'!F37</f>
        <v>0</v>
      </c>
      <c r="G37" s="120">
        <f t="shared" si="5"/>
        <v>2000</v>
      </c>
      <c r="H37" s="121">
        <f t="shared" si="0"/>
        <v>0</v>
      </c>
      <c r="I37" s="103"/>
      <c r="J37" s="145"/>
      <c r="K37" s="120">
        <f t="shared" si="4"/>
        <v>2000</v>
      </c>
      <c r="L37" s="121">
        <f t="shared" si="1"/>
        <v>0</v>
      </c>
      <c r="M37" s="103"/>
      <c r="N37" s="123">
        <f t="shared" si="2"/>
        <v>0</v>
      </c>
      <c r="O37" s="124">
        <f t="shared" si="3"/>
      </c>
    </row>
    <row r="38" spans="2:15" s="90" customFormat="1" ht="15" hidden="1">
      <c r="B38" s="412"/>
      <c r="C38" s="94"/>
      <c r="D38" s="117"/>
      <c r="E38" s="118"/>
      <c r="F38" s="130">
        <f>'Res (100kWh)'!F38</f>
        <v>0</v>
      </c>
      <c r="G38" s="120">
        <f t="shared" si="5"/>
        <v>2000</v>
      </c>
      <c r="H38" s="121">
        <f t="shared" si="0"/>
        <v>0</v>
      </c>
      <c r="I38" s="103"/>
      <c r="J38" s="145"/>
      <c r="K38" s="120">
        <f t="shared" si="4"/>
        <v>2000</v>
      </c>
      <c r="L38" s="121">
        <f t="shared" si="1"/>
        <v>0</v>
      </c>
      <c r="M38" s="103"/>
      <c r="N38" s="123">
        <f t="shared" si="2"/>
        <v>0</v>
      </c>
      <c r="O38" s="124">
        <f t="shared" si="3"/>
      </c>
    </row>
    <row r="39" spans="2:15" s="90" customFormat="1" ht="15" hidden="1">
      <c r="B39" s="412"/>
      <c r="C39" s="94"/>
      <c r="D39" s="117"/>
      <c r="E39" s="118"/>
      <c r="F39" s="130">
        <f>'Res (100kWh)'!F39</f>
        <v>0</v>
      </c>
      <c r="G39" s="120">
        <f t="shared" si="5"/>
        <v>2000</v>
      </c>
      <c r="H39" s="121">
        <f t="shared" si="0"/>
        <v>0</v>
      </c>
      <c r="I39" s="103"/>
      <c r="J39" s="145"/>
      <c r="K39" s="120">
        <f t="shared" si="4"/>
        <v>2000</v>
      </c>
      <c r="L39" s="121">
        <f t="shared" si="1"/>
        <v>0</v>
      </c>
      <c r="M39" s="103"/>
      <c r="N39" s="123">
        <f t="shared" si="2"/>
        <v>0</v>
      </c>
      <c r="O39" s="124">
        <f t="shared" si="3"/>
      </c>
    </row>
    <row r="40" spans="2:15" s="90" customFormat="1" ht="15" hidden="1">
      <c r="B40" s="412"/>
      <c r="C40" s="94"/>
      <c r="D40" s="117"/>
      <c r="E40" s="118"/>
      <c r="F40" s="130">
        <f>'Res (100kWh)'!F40</f>
        <v>0</v>
      </c>
      <c r="G40" s="120">
        <f t="shared" si="5"/>
        <v>2000</v>
      </c>
      <c r="H40" s="121">
        <f t="shared" si="0"/>
        <v>0</v>
      </c>
      <c r="I40" s="103"/>
      <c r="J40" s="145"/>
      <c r="K40" s="120">
        <f t="shared" si="4"/>
        <v>2000</v>
      </c>
      <c r="L40" s="121">
        <f t="shared" si="1"/>
        <v>0</v>
      </c>
      <c r="M40" s="103"/>
      <c r="N40" s="123">
        <f t="shared" si="2"/>
        <v>0</v>
      </c>
      <c r="O40" s="124">
        <f t="shared" si="3"/>
      </c>
    </row>
    <row r="41" spans="2:15" s="141" customFormat="1" ht="15">
      <c r="B41" s="421" t="s">
        <v>24</v>
      </c>
      <c r="C41" s="133"/>
      <c r="D41" s="134"/>
      <c r="E41" s="133"/>
      <c r="F41" s="135"/>
      <c r="G41" s="136"/>
      <c r="H41" s="137">
        <f>SUM(H23:H40)</f>
        <v>55.17</v>
      </c>
      <c r="I41" s="138"/>
      <c r="J41" s="415"/>
      <c r="K41" s="140"/>
      <c r="L41" s="137">
        <f>SUM(L23:L40)</f>
        <v>48.900000000000006</v>
      </c>
      <c r="M41" s="138"/>
      <c r="N41" s="184">
        <f t="shared" si="2"/>
        <v>-6.269999999999996</v>
      </c>
      <c r="O41" s="185">
        <f t="shared" si="3"/>
        <v>-0.11364872213159319</v>
      </c>
    </row>
    <row r="42" spans="2:15" s="90" customFormat="1" ht="15" hidden="1">
      <c r="B42" s="419"/>
      <c r="C42" s="94"/>
      <c r="D42" s="127" t="s">
        <v>62</v>
      </c>
      <c r="E42" s="118"/>
      <c r="F42" s="130">
        <f>'Res (100kWh)'!F42</f>
        <v>0</v>
      </c>
      <c r="G42" s="120">
        <v>1</v>
      </c>
      <c r="H42" s="121">
        <f>G42*F42</f>
        <v>0</v>
      </c>
      <c r="I42" s="103"/>
      <c r="J42" s="414"/>
      <c r="K42" s="122">
        <v>1</v>
      </c>
      <c r="L42" s="121">
        <f>K42*J42</f>
        <v>0</v>
      </c>
      <c r="M42" s="103"/>
      <c r="N42" s="123">
        <f>L42-H42</f>
        <v>0</v>
      </c>
      <c r="O42" s="124">
        <f>IF((H42)=0,"",(N42/H42))</f>
      </c>
    </row>
    <row r="43" spans="2:15" s="90" customFormat="1" ht="15">
      <c r="B43" s="420" t="s">
        <v>25</v>
      </c>
      <c r="C43" s="94"/>
      <c r="D43" s="127" t="s">
        <v>63</v>
      </c>
      <c r="E43" s="129"/>
      <c r="F43" s="416">
        <f>'Res (100kWh)'!F43</f>
        <v>-0.007</v>
      </c>
      <c r="G43" s="120">
        <f>$F$18</f>
        <v>2000</v>
      </c>
      <c r="H43" s="121">
        <f aca="true" t="shared" si="6" ref="H43:H51">G43*F43</f>
        <v>-14</v>
      </c>
      <c r="I43" s="103"/>
      <c r="J43" s="416">
        <f>'Res (100kWh)'!J43</f>
        <v>0.0021</v>
      </c>
      <c r="K43" s="120">
        <f>$F$18</f>
        <v>2000</v>
      </c>
      <c r="L43" s="121">
        <f aca="true" t="shared" si="7" ref="L43:L51">K43*J43</f>
        <v>4.2</v>
      </c>
      <c r="M43" s="103"/>
      <c r="N43" s="249">
        <f t="shared" si="2"/>
        <v>18.2</v>
      </c>
      <c r="O43" s="124">
        <f t="shared" si="3"/>
        <v>-1.3</v>
      </c>
    </row>
    <row r="44" spans="2:15" s="90" customFormat="1" ht="15" hidden="1">
      <c r="B44" s="420"/>
      <c r="C44" s="94"/>
      <c r="D44" s="117" t="s">
        <v>63</v>
      </c>
      <c r="E44" s="118"/>
      <c r="F44" s="146">
        <f>'Res (100kWh)'!F44</f>
        <v>0</v>
      </c>
      <c r="G44" s="120">
        <f>$F$18</f>
        <v>2000</v>
      </c>
      <c r="H44" s="121">
        <f t="shared" si="6"/>
        <v>0</v>
      </c>
      <c r="I44" s="143"/>
      <c r="J44" s="145">
        <f>'Res (100kWh)'!J44</f>
        <v>0</v>
      </c>
      <c r="K44" s="120">
        <f>$F$18</f>
        <v>2000</v>
      </c>
      <c r="L44" s="121">
        <f t="shared" si="7"/>
        <v>0</v>
      </c>
      <c r="M44" s="144"/>
      <c r="N44" s="249">
        <f t="shared" si="2"/>
        <v>0</v>
      </c>
      <c r="O44" s="124">
        <f t="shared" si="3"/>
      </c>
    </row>
    <row r="45" spans="2:15" s="90" customFormat="1" ht="15" hidden="1">
      <c r="B45" s="420"/>
      <c r="C45" s="94"/>
      <c r="D45" s="117" t="s">
        <v>63</v>
      </c>
      <c r="E45" s="118"/>
      <c r="F45" s="146">
        <f>'Res (100kWh)'!F45</f>
        <v>0</v>
      </c>
      <c r="G45" s="120">
        <f>$F$18</f>
        <v>2000</v>
      </c>
      <c r="H45" s="121">
        <f t="shared" si="6"/>
        <v>0</v>
      </c>
      <c r="I45" s="143"/>
      <c r="J45" s="145">
        <f>'Res (100kWh)'!J45</f>
        <v>0</v>
      </c>
      <c r="K45" s="120">
        <f>$F$18</f>
        <v>2000</v>
      </c>
      <c r="L45" s="121">
        <f t="shared" si="7"/>
        <v>0</v>
      </c>
      <c r="M45" s="144"/>
      <c r="N45" s="249">
        <f t="shared" si="2"/>
        <v>0</v>
      </c>
      <c r="O45" s="124">
        <f t="shared" si="3"/>
      </c>
    </row>
    <row r="46" spans="2:15" s="90" customFormat="1" ht="15" hidden="1">
      <c r="B46" s="420"/>
      <c r="C46" s="94"/>
      <c r="D46" s="117"/>
      <c r="E46" s="118"/>
      <c r="F46" s="146">
        <f>'Res (100kWh)'!F46</f>
        <v>0</v>
      </c>
      <c r="G46" s="120">
        <f>$F$18</f>
        <v>2000</v>
      </c>
      <c r="H46" s="121">
        <f t="shared" si="6"/>
        <v>0</v>
      </c>
      <c r="I46" s="143"/>
      <c r="J46" s="145">
        <f>'Res (100kWh)'!J46</f>
        <v>0</v>
      </c>
      <c r="K46" s="120">
        <f>$F$18</f>
        <v>2000</v>
      </c>
      <c r="L46" s="121">
        <f t="shared" si="7"/>
        <v>0</v>
      </c>
      <c r="M46" s="144"/>
      <c r="N46" s="249">
        <f t="shared" si="2"/>
        <v>0</v>
      </c>
      <c r="O46" s="124">
        <f t="shared" si="3"/>
      </c>
    </row>
    <row r="47" spans="2:15" s="90" customFormat="1" ht="15" hidden="1">
      <c r="B47" s="420"/>
      <c r="C47" s="94"/>
      <c r="D47" s="117" t="s">
        <v>62</v>
      </c>
      <c r="E47" s="118"/>
      <c r="F47" s="146">
        <f>'Res (100kWh)'!F47</f>
        <v>0</v>
      </c>
      <c r="G47" s="120">
        <v>1</v>
      </c>
      <c r="H47" s="121">
        <f t="shared" si="6"/>
        <v>0</v>
      </c>
      <c r="I47" s="103"/>
      <c r="J47" s="249">
        <f>'Res (100kWh)'!J47</f>
        <v>0</v>
      </c>
      <c r="K47" s="120">
        <v>1</v>
      </c>
      <c r="L47" s="121">
        <f t="shared" si="7"/>
        <v>0</v>
      </c>
      <c r="M47" s="103"/>
      <c r="N47" s="249">
        <f>L47-H47</f>
        <v>0</v>
      </c>
      <c r="O47" s="124">
        <f>IF((H47)=0,"",(N47/H47))</f>
      </c>
    </row>
    <row r="48" spans="2:15" s="90" customFormat="1" ht="15" hidden="1">
      <c r="B48" s="118"/>
      <c r="C48" s="94"/>
      <c r="D48" s="117" t="s">
        <v>63</v>
      </c>
      <c r="E48" s="118"/>
      <c r="F48" s="146">
        <f>'Res (100kWh)'!F48</f>
        <v>0</v>
      </c>
      <c r="G48" s="120">
        <f>$F$18</f>
        <v>2000</v>
      </c>
      <c r="H48" s="121">
        <f t="shared" si="6"/>
        <v>0</v>
      </c>
      <c r="I48" s="103"/>
      <c r="J48" s="145">
        <f>'Res (100kWh)'!J48</f>
        <v>0</v>
      </c>
      <c r="K48" s="120">
        <f>$F$18</f>
        <v>2000</v>
      </c>
      <c r="L48" s="121">
        <f t="shared" si="7"/>
        <v>0</v>
      </c>
      <c r="M48" s="103"/>
      <c r="N48" s="249">
        <f>L48-H48</f>
        <v>0</v>
      </c>
      <c r="O48" s="124">
        <f>IF((H48)=0,"",(N48/H48))</f>
      </c>
    </row>
    <row r="49" spans="2:15" s="90" customFormat="1" ht="15">
      <c r="B49" s="100" t="s">
        <v>26</v>
      </c>
      <c r="C49" s="94"/>
      <c r="D49" s="117" t="s">
        <v>63</v>
      </c>
      <c r="E49" s="118"/>
      <c r="F49" s="146">
        <f>'Res (100kWh)'!F49</f>
        <v>0.0024</v>
      </c>
      <c r="G49" s="120">
        <f>$F$18</f>
        <v>2000</v>
      </c>
      <c r="H49" s="121">
        <f t="shared" si="6"/>
        <v>4.8</v>
      </c>
      <c r="I49" s="103"/>
      <c r="J49" s="145">
        <f>'Res (100kWh)'!J49</f>
        <v>0.0024</v>
      </c>
      <c r="K49" s="120">
        <f>$F$18</f>
        <v>2000</v>
      </c>
      <c r="L49" s="121">
        <f t="shared" si="7"/>
        <v>4.8</v>
      </c>
      <c r="M49" s="103"/>
      <c r="N49" s="249">
        <f t="shared" si="2"/>
        <v>0</v>
      </c>
      <c r="O49" s="124">
        <f t="shared" si="3"/>
        <v>0</v>
      </c>
    </row>
    <row r="50" spans="2:15" s="141" customFormat="1" ht="15">
      <c r="B50" s="101" t="s">
        <v>27</v>
      </c>
      <c r="C50" s="118"/>
      <c r="D50" s="117" t="s">
        <v>63</v>
      </c>
      <c r="E50" s="118"/>
      <c r="F50" s="478">
        <f>IF(ISBLANK(D16)=TRUE,0,IF(D16="TOU",0.64*$F$61+0.18*$F$62+0.18*$F$63,IF(AND(D16="non-TOU",G65&gt;0),F65,F64)))</f>
        <v>0.10214000000000001</v>
      </c>
      <c r="G50" s="120">
        <f>$F$18*(1+$F$80)-$F$18</f>
        <v>99</v>
      </c>
      <c r="H50" s="147">
        <f t="shared" si="6"/>
        <v>10.11186</v>
      </c>
      <c r="I50" s="129"/>
      <c r="J50" s="479">
        <f>0.64*$F$61+0.18*$F$62+0.18*$F$63</f>
        <v>0.10214000000000001</v>
      </c>
      <c r="K50" s="120">
        <f>$F$18*(1+$J$80)-$F$18</f>
        <v>99</v>
      </c>
      <c r="L50" s="147">
        <f t="shared" si="7"/>
        <v>10.11186</v>
      </c>
      <c r="M50" s="129"/>
      <c r="N50" s="249">
        <f t="shared" si="2"/>
        <v>0</v>
      </c>
      <c r="O50" s="148">
        <f t="shared" si="3"/>
        <v>0</v>
      </c>
    </row>
    <row r="51" spans="2:15" s="90" customFormat="1" ht="15">
      <c r="B51" s="100" t="s">
        <v>28</v>
      </c>
      <c r="C51" s="94"/>
      <c r="D51" s="117" t="s">
        <v>62</v>
      </c>
      <c r="E51" s="118"/>
      <c r="F51" s="413">
        <f>'Res (100kWh)'!F51</f>
        <v>0.79</v>
      </c>
      <c r="G51" s="120">
        <v>1</v>
      </c>
      <c r="H51" s="121">
        <f t="shared" si="6"/>
        <v>0.79</v>
      </c>
      <c r="I51" s="103"/>
      <c r="J51" s="413">
        <f>'Res (100kWh)'!J51</f>
        <v>0.79</v>
      </c>
      <c r="K51" s="120">
        <v>1</v>
      </c>
      <c r="L51" s="121">
        <f t="shared" si="7"/>
        <v>0.79</v>
      </c>
      <c r="M51" s="103"/>
      <c r="N51" s="249">
        <f t="shared" si="2"/>
        <v>0</v>
      </c>
      <c r="O51" s="124"/>
    </row>
    <row r="52" spans="2:15" s="90" customFormat="1" ht="15">
      <c r="B52" s="102" t="s">
        <v>29</v>
      </c>
      <c r="C52" s="149"/>
      <c r="D52" s="149"/>
      <c r="E52" s="149"/>
      <c r="F52" s="150"/>
      <c r="G52" s="151"/>
      <c r="H52" s="186">
        <f>SUM(H42:H51)+H41</f>
        <v>56.871860000000005</v>
      </c>
      <c r="I52" s="138"/>
      <c r="J52" s="417"/>
      <c r="K52" s="152"/>
      <c r="L52" s="186">
        <f>SUM(L42:L51)+L41</f>
        <v>68.80186</v>
      </c>
      <c r="M52" s="138"/>
      <c r="N52" s="184">
        <f t="shared" si="2"/>
        <v>11.93</v>
      </c>
      <c r="O52" s="185">
        <f aca="true" t="shared" si="8" ref="O52:O71">IF((H52)=0,"",(N52/H52))</f>
        <v>0.20976982289659593</v>
      </c>
    </row>
    <row r="53" spans="2:15" s="90" customFormat="1" ht="15">
      <c r="B53" s="103" t="s">
        <v>30</v>
      </c>
      <c r="C53" s="103"/>
      <c r="D53" s="127" t="s">
        <v>63</v>
      </c>
      <c r="E53" s="129"/>
      <c r="F53" s="145">
        <f>'Res (100kWh)'!F53</f>
        <v>0.0048</v>
      </c>
      <c r="G53" s="490">
        <f>F18*(1+F80)</f>
        <v>2099</v>
      </c>
      <c r="H53" s="147">
        <f>G53*F53</f>
        <v>10.075199999999999</v>
      </c>
      <c r="I53" s="129"/>
      <c r="J53" s="145">
        <f>'Res (100kWh)'!J53</f>
        <v>0.0064</v>
      </c>
      <c r="K53" s="491">
        <f>F18*(1+J80)</f>
        <v>2099</v>
      </c>
      <c r="L53" s="121">
        <f>K53*J53</f>
        <v>13.4336</v>
      </c>
      <c r="M53" s="103"/>
      <c r="N53" s="249">
        <f t="shared" si="2"/>
        <v>3.3584000000000014</v>
      </c>
      <c r="O53" s="124">
        <f t="shared" si="8"/>
        <v>0.33333333333333354</v>
      </c>
    </row>
    <row r="54" spans="2:15" s="90" customFormat="1" ht="15">
      <c r="B54" s="104" t="s">
        <v>31</v>
      </c>
      <c r="C54" s="103"/>
      <c r="D54" s="127" t="s">
        <v>63</v>
      </c>
      <c r="E54" s="129"/>
      <c r="F54" s="145">
        <f>'Res (100kWh)'!F54</f>
        <v>0.0019</v>
      </c>
      <c r="G54" s="490">
        <f>G53</f>
        <v>2099</v>
      </c>
      <c r="H54" s="147">
        <f>G54*F54</f>
        <v>3.9881</v>
      </c>
      <c r="I54" s="129"/>
      <c r="J54" s="145">
        <f>'Res (100kWh)'!J54</f>
        <v>0.003</v>
      </c>
      <c r="K54" s="491">
        <f>K53</f>
        <v>2099</v>
      </c>
      <c r="L54" s="121">
        <f>K54*J54</f>
        <v>6.297</v>
      </c>
      <c r="M54" s="103"/>
      <c r="N54" s="249">
        <f t="shared" si="2"/>
        <v>2.3088999999999995</v>
      </c>
      <c r="O54" s="124">
        <f t="shared" si="8"/>
        <v>0.5789473684210524</v>
      </c>
    </row>
    <row r="55" spans="2:15" s="90" customFormat="1" ht="15">
      <c r="B55" s="102" t="s">
        <v>32</v>
      </c>
      <c r="C55" s="133"/>
      <c r="D55" s="133"/>
      <c r="E55" s="133"/>
      <c r="F55" s="153"/>
      <c r="G55" s="151"/>
      <c r="H55" s="186">
        <f>SUM(H52:H54)</f>
        <v>70.93516000000001</v>
      </c>
      <c r="I55" s="187"/>
      <c r="J55" s="418"/>
      <c r="K55" s="189"/>
      <c r="L55" s="186">
        <f>SUM(L52:L54)</f>
        <v>88.53246</v>
      </c>
      <c r="M55" s="187"/>
      <c r="N55" s="184">
        <f t="shared" si="2"/>
        <v>17.59729999999999</v>
      </c>
      <c r="O55" s="185">
        <f t="shared" si="8"/>
        <v>0.24807584842270022</v>
      </c>
    </row>
    <row r="56" spans="2:15" s="90" customFormat="1" ht="15">
      <c r="B56" s="95" t="s">
        <v>33</v>
      </c>
      <c r="C56" s="94"/>
      <c r="D56" s="117" t="s">
        <v>63</v>
      </c>
      <c r="E56" s="118"/>
      <c r="F56" s="146">
        <f>'Res (100kWh)'!F56</f>
        <v>0.0044</v>
      </c>
      <c r="G56" s="490">
        <f>G54</f>
        <v>2099</v>
      </c>
      <c r="H56" s="147">
        <f aca="true" t="shared" si="9" ref="H56:H63">G56*F56</f>
        <v>9.2356</v>
      </c>
      <c r="I56" s="129"/>
      <c r="J56" s="479">
        <f>'Res (100kWh)'!J56</f>
        <v>0.0036</v>
      </c>
      <c r="K56" s="491">
        <f>K54</f>
        <v>2099</v>
      </c>
      <c r="L56" s="121">
        <f aca="true" t="shared" si="10" ref="L56:L63">K56*J56</f>
        <v>7.5564</v>
      </c>
      <c r="M56" s="103"/>
      <c r="N56" s="249">
        <f t="shared" si="2"/>
        <v>-1.6791999999999998</v>
      </c>
      <c r="O56" s="124">
        <f t="shared" si="8"/>
        <v>-0.1818181818181818</v>
      </c>
    </row>
    <row r="57" spans="2:15" s="90" customFormat="1" ht="15">
      <c r="B57" s="95" t="s">
        <v>34</v>
      </c>
      <c r="C57" s="94"/>
      <c r="D57" s="117" t="s">
        <v>63</v>
      </c>
      <c r="E57" s="118"/>
      <c r="F57" s="146">
        <f>'Res (100kWh)'!F57</f>
        <v>0.0013</v>
      </c>
      <c r="G57" s="490">
        <f>G54</f>
        <v>2099</v>
      </c>
      <c r="H57" s="147">
        <f t="shared" si="9"/>
        <v>2.7287</v>
      </c>
      <c r="I57" s="129"/>
      <c r="J57" s="145">
        <f>'Res (100kWh)'!J57</f>
        <v>0.0013</v>
      </c>
      <c r="K57" s="491">
        <f>K54</f>
        <v>2099</v>
      </c>
      <c r="L57" s="121">
        <f t="shared" si="10"/>
        <v>2.7287</v>
      </c>
      <c r="M57" s="103"/>
      <c r="N57" s="249">
        <f t="shared" si="2"/>
        <v>0</v>
      </c>
      <c r="O57" s="124">
        <f t="shared" si="8"/>
        <v>0</v>
      </c>
    </row>
    <row r="58" spans="2:15" s="90" customFormat="1" ht="15">
      <c r="B58" s="95" t="s">
        <v>121</v>
      </c>
      <c r="C58" s="94"/>
      <c r="D58" s="117" t="s">
        <v>63</v>
      </c>
      <c r="E58" s="118"/>
      <c r="F58" s="146">
        <f>'Res (100kWh)'!F58</f>
        <v>0</v>
      </c>
      <c r="G58" s="490">
        <f>G54</f>
        <v>2099</v>
      </c>
      <c r="H58" s="147">
        <f t="shared" si="9"/>
        <v>0</v>
      </c>
      <c r="I58" s="129"/>
      <c r="J58" s="479">
        <f>'Res (100kWh)'!J58</f>
        <v>0.0011</v>
      </c>
      <c r="K58" s="491">
        <f>K54</f>
        <v>2099</v>
      </c>
      <c r="L58" s="121">
        <f t="shared" si="10"/>
        <v>2.3089</v>
      </c>
      <c r="M58" s="103"/>
      <c r="N58" s="249">
        <f t="shared" si="2"/>
        <v>2.3089</v>
      </c>
      <c r="O58" s="124">
        <f t="shared" si="8"/>
      </c>
    </row>
    <row r="59" spans="2:15" s="90" customFormat="1" ht="15">
      <c r="B59" s="94" t="s">
        <v>35</v>
      </c>
      <c r="C59" s="94"/>
      <c r="D59" s="117" t="s">
        <v>62</v>
      </c>
      <c r="E59" s="118"/>
      <c r="F59" s="413">
        <f>'Res (100kWh)'!F59</f>
        <v>0.25</v>
      </c>
      <c r="G59" s="120">
        <v>1</v>
      </c>
      <c r="H59" s="147">
        <f t="shared" si="9"/>
        <v>0.25</v>
      </c>
      <c r="I59" s="129"/>
      <c r="J59" s="414">
        <f>'Res (100kWh)'!J59</f>
        <v>0.25</v>
      </c>
      <c r="K59" s="122">
        <v>1</v>
      </c>
      <c r="L59" s="121">
        <f t="shared" si="10"/>
        <v>0.25</v>
      </c>
      <c r="M59" s="103"/>
      <c r="N59" s="249">
        <f t="shared" si="2"/>
        <v>0</v>
      </c>
      <c r="O59" s="124">
        <f t="shared" si="8"/>
        <v>0</v>
      </c>
    </row>
    <row r="60" spans="2:15" s="90" customFormat="1" ht="15">
      <c r="B60" s="94" t="s">
        <v>36</v>
      </c>
      <c r="C60" s="94"/>
      <c r="D60" s="117" t="s">
        <v>63</v>
      </c>
      <c r="E60" s="118"/>
      <c r="F60" s="146">
        <f>'Res (100kWh)'!F60</f>
        <v>0.007</v>
      </c>
      <c r="G60" s="154">
        <f>F18</f>
        <v>2000</v>
      </c>
      <c r="H60" s="121">
        <f t="shared" si="9"/>
        <v>14</v>
      </c>
      <c r="I60" s="103"/>
      <c r="J60" s="145">
        <f>'Res (100kWh)'!J60</f>
        <v>0</v>
      </c>
      <c r="K60" s="155">
        <f>F18</f>
        <v>2000</v>
      </c>
      <c r="L60" s="121">
        <f t="shared" si="10"/>
        <v>0</v>
      </c>
      <c r="M60" s="103"/>
      <c r="N60" s="249">
        <f t="shared" si="2"/>
        <v>-14</v>
      </c>
      <c r="O60" s="124">
        <f t="shared" si="8"/>
        <v>-1</v>
      </c>
    </row>
    <row r="61" spans="2:19" s="90" customFormat="1" ht="15">
      <c r="B61" s="100" t="s">
        <v>37</v>
      </c>
      <c r="C61" s="94"/>
      <c r="D61" s="117" t="s">
        <v>63</v>
      </c>
      <c r="E61" s="118"/>
      <c r="F61" s="478">
        <f>'Res (100kWh)'!F61</f>
        <v>0.08</v>
      </c>
      <c r="G61" s="154">
        <f>0.64*$F$18</f>
        <v>1280</v>
      </c>
      <c r="H61" s="121">
        <f t="shared" si="9"/>
        <v>102.4</v>
      </c>
      <c r="I61" s="103"/>
      <c r="J61" s="478">
        <f>'Res (100kWh)'!J61</f>
        <v>0.08</v>
      </c>
      <c r="K61" s="154">
        <f>G61</f>
        <v>1280</v>
      </c>
      <c r="L61" s="121">
        <f t="shared" si="10"/>
        <v>102.4</v>
      </c>
      <c r="M61" s="103"/>
      <c r="N61" s="249">
        <f t="shared" si="2"/>
        <v>0</v>
      </c>
      <c r="O61" s="124">
        <f t="shared" si="8"/>
        <v>0</v>
      </c>
      <c r="S61" s="156"/>
    </row>
    <row r="62" spans="2:19" s="90" customFormat="1" ht="15">
      <c r="B62" s="100" t="s">
        <v>38</v>
      </c>
      <c r="C62" s="94"/>
      <c r="D62" s="117" t="s">
        <v>63</v>
      </c>
      <c r="E62" s="118"/>
      <c r="F62" s="478">
        <f>'Res (100kWh)'!F62</f>
        <v>0.122</v>
      </c>
      <c r="G62" s="154">
        <f>0.18*$F$18</f>
        <v>360</v>
      </c>
      <c r="H62" s="121">
        <f t="shared" si="9"/>
        <v>43.92</v>
      </c>
      <c r="I62" s="103"/>
      <c r="J62" s="478">
        <f>'Res (100kWh)'!J62</f>
        <v>0.122</v>
      </c>
      <c r="K62" s="154">
        <f>G62</f>
        <v>360</v>
      </c>
      <c r="L62" s="121">
        <f t="shared" si="10"/>
        <v>43.92</v>
      </c>
      <c r="M62" s="103"/>
      <c r="N62" s="249">
        <f t="shared" si="2"/>
        <v>0</v>
      </c>
      <c r="O62" s="124">
        <f t="shared" si="8"/>
        <v>0</v>
      </c>
      <c r="S62" s="156"/>
    </row>
    <row r="63" spans="2:19" s="90" customFormat="1" ht="15">
      <c r="B63" s="93" t="s">
        <v>39</v>
      </c>
      <c r="C63" s="94"/>
      <c r="D63" s="117" t="s">
        <v>63</v>
      </c>
      <c r="E63" s="118"/>
      <c r="F63" s="478">
        <f>'Res (100kWh)'!F63</f>
        <v>0.161</v>
      </c>
      <c r="G63" s="154">
        <f>0.18*$F$18</f>
        <v>360</v>
      </c>
      <c r="H63" s="121">
        <f t="shared" si="9"/>
        <v>57.96</v>
      </c>
      <c r="I63" s="103"/>
      <c r="J63" s="478">
        <f>'Res (100kWh)'!J63</f>
        <v>0.161</v>
      </c>
      <c r="K63" s="154">
        <f>G63</f>
        <v>360</v>
      </c>
      <c r="L63" s="121">
        <f t="shared" si="10"/>
        <v>57.96</v>
      </c>
      <c r="M63" s="103"/>
      <c r="N63" s="249">
        <f t="shared" si="2"/>
        <v>0</v>
      </c>
      <c r="O63" s="124">
        <f t="shared" si="8"/>
        <v>0</v>
      </c>
      <c r="S63" s="156"/>
    </row>
    <row r="64" spans="2:15" s="194" customFormat="1" ht="15">
      <c r="B64" s="105" t="s">
        <v>40</v>
      </c>
      <c r="C64" s="105"/>
      <c r="D64" s="190" t="s">
        <v>63</v>
      </c>
      <c r="E64" s="191"/>
      <c r="F64" s="478">
        <f>'Res (100kWh)'!F64</f>
        <v>0.094</v>
      </c>
      <c r="G64" s="192">
        <f>IF(AND($T$1=1,F18&gt;=600),600,IF(AND($T$1=1,AND(F18&lt;600,F18&gt;=0)),F18,IF(AND($T$1=2,F18&gt;=1000),1000,IF(AND($T$1=2,AND(F18&lt;1000,F18&gt;=0)),F18))))</f>
        <v>600</v>
      </c>
      <c r="H64" s="121">
        <f>G64*F64</f>
        <v>56.4</v>
      </c>
      <c r="I64" s="193"/>
      <c r="J64" s="478">
        <f>'Res (100kWh)'!J64</f>
        <v>0.094</v>
      </c>
      <c r="K64" s="192">
        <f>G64</f>
        <v>600</v>
      </c>
      <c r="L64" s="121">
        <f>K64*J64</f>
        <v>56.4</v>
      </c>
      <c r="M64" s="193"/>
      <c r="N64" s="249">
        <f t="shared" si="2"/>
        <v>0</v>
      </c>
      <c r="O64" s="124">
        <f t="shared" si="8"/>
        <v>0</v>
      </c>
    </row>
    <row r="65" spans="2:15" s="194" customFormat="1" ht="15.75" thickBot="1">
      <c r="B65" s="105" t="s">
        <v>41</v>
      </c>
      <c r="C65" s="105"/>
      <c r="D65" s="190" t="s">
        <v>63</v>
      </c>
      <c r="E65" s="191"/>
      <c r="F65" s="478">
        <f>'Res (100kWh)'!F65</f>
        <v>0.11</v>
      </c>
      <c r="G65" s="192">
        <f>IF(AND($T$1=1,F18&gt;=600),F18-600,IF(AND($T$1=1,AND(F18&lt;600,F18&gt;=0)),0,IF(AND($T$1=2,F18&gt;=1000),F18-1000,IF(AND($T$1=2,AND(F18&lt;1000,F18&gt;=0)),0))))</f>
        <v>1400</v>
      </c>
      <c r="H65" s="121">
        <f>G65*F65</f>
        <v>154</v>
      </c>
      <c r="I65" s="193"/>
      <c r="J65" s="478">
        <f>'Res (100kWh)'!J65</f>
        <v>0.11</v>
      </c>
      <c r="K65" s="192">
        <f>G65</f>
        <v>1400</v>
      </c>
      <c r="L65" s="121">
        <f>K65*J65</f>
        <v>154</v>
      </c>
      <c r="M65" s="193"/>
      <c r="N65" s="249">
        <f t="shared" si="2"/>
        <v>0</v>
      </c>
      <c r="O65" s="124">
        <f t="shared" si="8"/>
        <v>0</v>
      </c>
    </row>
    <row r="66" spans="2:15" s="90" customFormat="1" ht="8.25" customHeight="1" thickBot="1">
      <c r="B66" s="106"/>
      <c r="C66" s="115"/>
      <c r="D66" s="116"/>
      <c r="E66" s="115"/>
      <c r="F66" s="157"/>
      <c r="G66" s="158"/>
      <c r="H66" s="159"/>
      <c r="I66" s="160"/>
      <c r="J66" s="157"/>
      <c r="K66" s="161"/>
      <c r="L66" s="159"/>
      <c r="M66" s="160"/>
      <c r="N66" s="162"/>
      <c r="O66" s="163"/>
    </row>
    <row r="67" spans="2:19" s="90" customFormat="1" ht="15">
      <c r="B67" s="107" t="s">
        <v>42</v>
      </c>
      <c r="C67" s="94"/>
      <c r="D67" s="94"/>
      <c r="E67" s="94"/>
      <c r="F67" s="164"/>
      <c r="G67" s="165"/>
      <c r="H67" s="195">
        <f>SUM(H56:H63,H55)</f>
        <v>301.42946000000006</v>
      </c>
      <c r="I67" s="196"/>
      <c r="J67" s="197"/>
      <c r="K67" s="197"/>
      <c r="L67" s="198">
        <f>SUM(L56:L63,L55)</f>
        <v>305.65646</v>
      </c>
      <c r="M67" s="199"/>
      <c r="N67" s="250">
        <f>L67-H67</f>
        <v>4.226999999999919</v>
      </c>
      <c r="O67" s="200">
        <f>IF((H67)=0,"",(N67/H67))</f>
        <v>0.014023181410336991</v>
      </c>
      <c r="S67" s="156"/>
    </row>
    <row r="68" spans="2:19" s="90" customFormat="1" ht="15">
      <c r="B68" s="108" t="s">
        <v>43</v>
      </c>
      <c r="C68" s="94"/>
      <c r="D68" s="94"/>
      <c r="E68" s="94"/>
      <c r="F68" s="166">
        <v>0.13</v>
      </c>
      <c r="G68" s="167"/>
      <c r="H68" s="201">
        <f>H67*F68</f>
        <v>39.18582980000001</v>
      </c>
      <c r="I68" s="202"/>
      <c r="J68" s="203">
        <v>0.13</v>
      </c>
      <c r="K68" s="202"/>
      <c r="L68" s="204">
        <f>L67*J68</f>
        <v>39.7353398</v>
      </c>
      <c r="M68" s="205"/>
      <c r="N68" s="249">
        <f t="shared" si="2"/>
        <v>0.5495099999999908</v>
      </c>
      <c r="O68" s="206">
        <f t="shared" si="8"/>
        <v>0.014023181410337027</v>
      </c>
      <c r="S68" s="156"/>
    </row>
    <row r="69" spans="2:19" s="90" customFormat="1" ht="15">
      <c r="B69" s="109" t="s">
        <v>124</v>
      </c>
      <c r="C69" s="94"/>
      <c r="D69" s="94"/>
      <c r="E69" s="94"/>
      <c r="F69" s="168"/>
      <c r="G69" s="167"/>
      <c r="H69" s="201">
        <f>H67+H68</f>
        <v>340.6152898000001</v>
      </c>
      <c r="I69" s="202"/>
      <c r="J69" s="202"/>
      <c r="K69" s="202"/>
      <c r="L69" s="204">
        <f>L67+L68</f>
        <v>345.3917998</v>
      </c>
      <c r="M69" s="205"/>
      <c r="N69" s="249">
        <f t="shared" si="2"/>
        <v>4.7765099999999165</v>
      </c>
      <c r="O69" s="206">
        <f t="shared" si="8"/>
        <v>0.014023181410337015</v>
      </c>
      <c r="S69" s="156"/>
    </row>
    <row r="70" spans="2:15" s="90" customFormat="1" ht="15.75" customHeight="1">
      <c r="B70" s="540" t="s">
        <v>125</v>
      </c>
      <c r="C70" s="540"/>
      <c r="D70" s="540"/>
      <c r="E70" s="94"/>
      <c r="F70" s="168"/>
      <c r="G70" s="167"/>
      <c r="H70" s="207">
        <f>ROUND(-H69*10%,2)</f>
        <v>-34.06</v>
      </c>
      <c r="I70" s="202"/>
      <c r="J70" s="202"/>
      <c r="K70" s="202"/>
      <c r="L70" s="208">
        <v>0</v>
      </c>
      <c r="M70" s="205"/>
      <c r="N70" s="249">
        <f t="shared" si="2"/>
        <v>34.06</v>
      </c>
      <c r="O70" s="209">
        <f t="shared" si="8"/>
        <v>-1</v>
      </c>
    </row>
    <row r="71" spans="2:15" s="90" customFormat="1" ht="15.75" thickBot="1">
      <c r="B71" s="541" t="s">
        <v>46</v>
      </c>
      <c r="C71" s="541"/>
      <c r="D71" s="541"/>
      <c r="E71" s="169"/>
      <c r="F71" s="170"/>
      <c r="G71" s="171"/>
      <c r="H71" s="210">
        <f>H69+H70</f>
        <v>306.5552898000001</v>
      </c>
      <c r="I71" s="211"/>
      <c r="J71" s="211"/>
      <c r="K71" s="211"/>
      <c r="L71" s="212">
        <f>L69+L70</f>
        <v>345.3917998</v>
      </c>
      <c r="M71" s="213"/>
      <c r="N71" s="251">
        <f t="shared" si="2"/>
        <v>38.83650999999992</v>
      </c>
      <c r="O71" s="214">
        <f t="shared" si="8"/>
        <v>0.12668680428035434</v>
      </c>
    </row>
    <row r="72" spans="2:15" s="194" customFormat="1" ht="8.25" customHeight="1" thickBot="1">
      <c r="B72" s="110"/>
      <c r="C72" s="215"/>
      <c r="D72" s="216"/>
      <c r="E72" s="215"/>
      <c r="F72" s="157"/>
      <c r="G72" s="217"/>
      <c r="H72" s="159"/>
      <c r="I72" s="218"/>
      <c r="J72" s="157"/>
      <c r="K72" s="219"/>
      <c r="L72" s="159"/>
      <c r="M72" s="218"/>
      <c r="N72" s="220"/>
      <c r="O72" s="163"/>
    </row>
    <row r="73" spans="2:15" s="194" customFormat="1" ht="15">
      <c r="B73" s="111" t="s">
        <v>47</v>
      </c>
      <c r="C73" s="105"/>
      <c r="D73" s="105"/>
      <c r="E73" s="105"/>
      <c r="F73" s="221"/>
      <c r="G73" s="222"/>
      <c r="H73" s="223">
        <f>SUM(H64:H65,H55,H56:H60)</f>
        <v>307.54946</v>
      </c>
      <c r="I73" s="224"/>
      <c r="J73" s="225"/>
      <c r="K73" s="225"/>
      <c r="L73" s="226">
        <f>SUM(L64:L65,L55,L56:L60)</f>
        <v>311.77646</v>
      </c>
      <c r="M73" s="227"/>
      <c r="N73" s="250">
        <f>L73-H73</f>
        <v>4.226999999999975</v>
      </c>
      <c r="O73" s="200">
        <f>IF((H73)=0,"",(N73/H73))</f>
        <v>0.013744130781435855</v>
      </c>
    </row>
    <row r="74" spans="2:15" s="194" customFormat="1" ht="15">
      <c r="B74" s="112" t="s">
        <v>43</v>
      </c>
      <c r="C74" s="105"/>
      <c r="D74" s="105"/>
      <c r="E74" s="105"/>
      <c r="F74" s="228">
        <v>0.13</v>
      </c>
      <c r="G74" s="222"/>
      <c r="H74" s="229">
        <f>H73*F74</f>
        <v>39.9814298</v>
      </c>
      <c r="I74" s="230"/>
      <c r="J74" s="228">
        <v>0.13</v>
      </c>
      <c r="K74" s="231"/>
      <c r="L74" s="232">
        <f>L73*J74</f>
        <v>40.5309398</v>
      </c>
      <c r="M74" s="233"/>
      <c r="N74" s="249">
        <f>L74-H74</f>
        <v>0.549509999999998</v>
      </c>
      <c r="O74" s="206">
        <f>IF((H74)=0,"",(N74/H74))</f>
        <v>0.013744130781435883</v>
      </c>
    </row>
    <row r="75" spans="2:15" s="194" customFormat="1" ht="15">
      <c r="B75" s="113" t="s">
        <v>124</v>
      </c>
      <c r="C75" s="105"/>
      <c r="D75" s="105"/>
      <c r="E75" s="105"/>
      <c r="F75" s="234"/>
      <c r="G75" s="233"/>
      <c r="H75" s="229">
        <f>H73+H74</f>
        <v>347.5308898</v>
      </c>
      <c r="I75" s="230"/>
      <c r="J75" s="230"/>
      <c r="K75" s="230"/>
      <c r="L75" s="232">
        <f>L73+L74</f>
        <v>352.3073998</v>
      </c>
      <c r="M75" s="233"/>
      <c r="N75" s="249">
        <f>L75-H75</f>
        <v>4.776509999999973</v>
      </c>
      <c r="O75" s="206">
        <f>IF((H75)=0,"",(N75/H75))</f>
        <v>0.013744130781435859</v>
      </c>
    </row>
    <row r="76" spans="2:15" s="194" customFormat="1" ht="15.75" customHeight="1">
      <c r="B76" s="542" t="s">
        <v>125</v>
      </c>
      <c r="C76" s="542"/>
      <c r="D76" s="542"/>
      <c r="E76" s="105"/>
      <c r="F76" s="234"/>
      <c r="G76" s="233"/>
      <c r="H76" s="235">
        <f>ROUND(-H75*10%,2)</f>
        <v>-34.75</v>
      </c>
      <c r="I76" s="230"/>
      <c r="J76" s="230"/>
      <c r="K76" s="230"/>
      <c r="L76" s="236">
        <v>0</v>
      </c>
      <c r="M76" s="233"/>
      <c r="N76" s="249">
        <f>L76-H76</f>
        <v>34.75</v>
      </c>
      <c r="O76" s="209">
        <f>IF((H76)=0,"",(N76/H76))</f>
        <v>-1</v>
      </c>
    </row>
    <row r="77" spans="2:15" s="194" customFormat="1" ht="15.75" thickBot="1">
      <c r="B77" s="533" t="s">
        <v>48</v>
      </c>
      <c r="C77" s="533"/>
      <c r="D77" s="533"/>
      <c r="E77" s="237"/>
      <c r="F77" s="238"/>
      <c r="G77" s="239"/>
      <c r="H77" s="240">
        <f>SUM(H75:H76)</f>
        <v>312.7808898</v>
      </c>
      <c r="I77" s="241"/>
      <c r="J77" s="241"/>
      <c r="K77" s="241"/>
      <c r="L77" s="242">
        <f>SUM(L75:L76)</f>
        <v>352.3073998</v>
      </c>
      <c r="M77" s="243"/>
      <c r="N77" s="251">
        <f>L77-H77</f>
        <v>39.52650999999997</v>
      </c>
      <c r="O77" s="244">
        <f>IF((H77)=0,"",(N77/H77))</f>
        <v>0.12637124354136284</v>
      </c>
    </row>
    <row r="78" spans="2:15" s="194" customFormat="1" ht="8.25" customHeight="1" thickBot="1">
      <c r="B78" s="110"/>
      <c r="C78" s="215"/>
      <c r="D78" s="216"/>
      <c r="E78" s="215"/>
      <c r="F78" s="172"/>
      <c r="G78" s="245"/>
      <c r="H78" s="173"/>
      <c r="I78" s="246"/>
      <c r="J78" s="172"/>
      <c r="K78" s="217"/>
      <c r="L78" s="174"/>
      <c r="M78" s="218"/>
      <c r="N78" s="247"/>
      <c r="O78" s="163"/>
    </row>
    <row r="79" s="90" customFormat="1" ht="10.5" customHeight="1">
      <c r="L79" s="156"/>
    </row>
    <row r="80" spans="2:10" s="90" customFormat="1" ht="15">
      <c r="B80" s="114" t="s">
        <v>49</v>
      </c>
      <c r="F80" s="424">
        <f>'Res (100kWh)'!F80</f>
        <v>0.0495</v>
      </c>
      <c r="G80" s="141"/>
      <c r="H80" s="141"/>
      <c r="I80" s="141"/>
      <c r="J80" s="424">
        <f>'Res (100kWh)'!J80</f>
        <v>0.0495</v>
      </c>
    </row>
    <row r="81" s="90" customFormat="1" ht="10.5" customHeight="1"/>
    <row r="82" spans="2:15" s="90" customFormat="1" ht="15">
      <c r="B82" s="470" t="s">
        <v>139</v>
      </c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</row>
    <row r="83" spans="2:15" s="90" customFormat="1" ht="15">
      <c r="B83" s="470" t="s">
        <v>138</v>
      </c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</row>
    <row r="84" s="90" customFormat="1" ht="17.25">
      <c r="A84" s="248" t="s">
        <v>126</v>
      </c>
    </row>
    <row r="85" s="90" customFormat="1" ht="10.5" customHeight="1"/>
    <row r="86" s="90" customFormat="1" ht="15">
      <c r="A86" s="90" t="s">
        <v>51</v>
      </c>
    </row>
    <row r="87" s="90" customFormat="1" ht="15">
      <c r="A87" s="90" t="s">
        <v>52</v>
      </c>
    </row>
    <row r="88" s="90" customFormat="1" ht="15"/>
    <row r="89" s="90" customFormat="1" ht="15">
      <c r="A89" s="93" t="s">
        <v>53</v>
      </c>
    </row>
    <row r="90" s="90" customFormat="1" ht="15">
      <c r="A90" s="93" t="s">
        <v>54</v>
      </c>
    </row>
    <row r="91" s="90" customFormat="1" ht="15"/>
    <row r="92" s="90" customFormat="1" ht="15">
      <c r="A92" s="90" t="s">
        <v>55</v>
      </c>
    </row>
    <row r="93" s="90" customFormat="1" ht="15">
      <c r="A93" s="90" t="s">
        <v>56</v>
      </c>
    </row>
    <row r="94" s="90" customFormat="1" ht="15">
      <c r="A94" s="90" t="s">
        <v>57</v>
      </c>
    </row>
    <row r="95" s="90" customFormat="1" ht="15">
      <c r="A95" s="90" t="s">
        <v>58</v>
      </c>
    </row>
    <row r="96" s="90" customFormat="1" ht="15">
      <c r="A96" s="90" t="s">
        <v>59</v>
      </c>
    </row>
    <row r="97" s="90" customFormat="1" ht="15"/>
    <row r="98" spans="1:2" s="90" customFormat="1" ht="15">
      <c r="A98" s="176"/>
      <c r="B98" s="90" t="s">
        <v>60</v>
      </c>
    </row>
    <row r="99" s="90" customFormat="1" ht="15"/>
  </sheetData>
  <sheetProtection/>
  <mergeCells count="21">
    <mergeCell ref="B77:D77"/>
    <mergeCell ref="D21:D22"/>
    <mergeCell ref="N21:N22"/>
    <mergeCell ref="O21:O22"/>
    <mergeCell ref="B70:D70"/>
    <mergeCell ref="B71:D71"/>
    <mergeCell ref="B76:D76"/>
    <mergeCell ref="B11:O11"/>
    <mergeCell ref="D14:O14"/>
    <mergeCell ref="F20:H20"/>
    <mergeCell ref="J20:L20"/>
    <mergeCell ref="N20:O20"/>
    <mergeCell ref="N3:O3"/>
    <mergeCell ref="N4:O4"/>
    <mergeCell ref="N5:O5"/>
    <mergeCell ref="N1:O1"/>
    <mergeCell ref="N2:O2"/>
    <mergeCell ref="N6:O6"/>
    <mergeCell ref="N7:O7"/>
    <mergeCell ref="A3:K3"/>
    <mergeCell ref="B10:O10"/>
  </mergeCells>
  <dataValidations count="4">
    <dataValidation type="list" allowBlank="1" showInputMessage="1" showErrorMessage="1" sqref="E53:E54 E42:E51 E66 E23:E40 E56:E63">
      <formula1>'Res (2,000kWh)'!#REF!</formula1>
    </dataValidation>
    <dataValidation type="list" allowBlank="1" showInputMessage="1" showErrorMessage="1" prompt="Select Charge Unit - monthly, per kWh, per kW" sqref="D53:D54 D72 D78 D56:D66 D23:D40 D42:D51">
      <formula1>"Monthly, per kWh, per kW"</formula1>
    </dataValidation>
    <dataValidation type="list" allowBlank="1" showInputMessage="1" showErrorMessage="1" sqref="E78 E72 E64:E65">
      <formula1>'Res (2,000kWh)'!#REF!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and North Dumfries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Calhoun</dc:creator>
  <cp:keywords/>
  <dc:description/>
  <cp:lastModifiedBy>Patti Eitel</cp:lastModifiedBy>
  <cp:lastPrinted>2016-01-11T19:32:47Z</cp:lastPrinted>
  <dcterms:created xsi:type="dcterms:W3CDTF">2013-08-28T15:11:04Z</dcterms:created>
  <dcterms:modified xsi:type="dcterms:W3CDTF">2016-02-10T21:31:02Z</dcterms:modified>
  <cp:category/>
  <cp:version/>
  <cp:contentType/>
  <cp:contentStatus/>
</cp:coreProperties>
</file>